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2-24\2023\Usage statistics 2022\"/>
    </mc:Choice>
  </mc:AlternateContent>
  <bookViews>
    <workbookView xWindow="0" yWindow="0" windowWidth="19180" windowHeight="7030"/>
  </bookViews>
  <sheets>
    <sheet name="Ebooks Summary" sheetId="2" r:id="rId1"/>
    <sheet name="Ebooks Details" sheetId="1" r:id="rId2"/>
  </sheets>
  <calcPr calcId="162913"/>
</workbook>
</file>

<file path=xl/calcChain.xml><?xml version="1.0" encoding="utf-8"?>
<calcChain xmlns="http://schemas.openxmlformats.org/spreadsheetml/2006/main">
  <c r="F2" i="1" l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F1259" i="1"/>
  <c r="G1259" i="1"/>
  <c r="F1260" i="1"/>
  <c r="G1260" i="1"/>
  <c r="F1261" i="1"/>
  <c r="G1261" i="1"/>
  <c r="F1262" i="1"/>
  <c r="G1262" i="1"/>
  <c r="F1263" i="1"/>
  <c r="G1263" i="1"/>
  <c r="F1264" i="1"/>
  <c r="G1264" i="1"/>
  <c r="F1265" i="1"/>
  <c r="G1265" i="1"/>
  <c r="F1266" i="1"/>
  <c r="G1266" i="1"/>
  <c r="F1267" i="1"/>
  <c r="G1267" i="1"/>
  <c r="F1268" i="1"/>
  <c r="G1268" i="1"/>
  <c r="F1269" i="1"/>
  <c r="G1269" i="1"/>
  <c r="F1270" i="1"/>
  <c r="G1270" i="1"/>
  <c r="F1271" i="1"/>
  <c r="G1271" i="1"/>
  <c r="F1272" i="1"/>
  <c r="G1272" i="1"/>
  <c r="F1273" i="1"/>
  <c r="G1273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F1291" i="1"/>
  <c r="G1291" i="1"/>
  <c r="F1292" i="1"/>
  <c r="G1292" i="1"/>
  <c r="F1293" i="1"/>
  <c r="G1293" i="1"/>
  <c r="F1294" i="1"/>
  <c r="G1294" i="1"/>
  <c r="F1295" i="1"/>
  <c r="G1295" i="1"/>
  <c r="F1296" i="1"/>
  <c r="G1296" i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F1314" i="1"/>
  <c r="G1314" i="1"/>
  <c r="F1315" i="1"/>
  <c r="G1315" i="1"/>
  <c r="F1316" i="1"/>
  <c r="G1316" i="1"/>
  <c r="F1317" i="1"/>
  <c r="G1317" i="1"/>
  <c r="F1318" i="1"/>
  <c r="G1318" i="1"/>
  <c r="F1319" i="1"/>
  <c r="G1319" i="1"/>
  <c r="F1320" i="1"/>
  <c r="G1320" i="1"/>
  <c r="F1321" i="1"/>
  <c r="G1321" i="1"/>
  <c r="F1322" i="1"/>
  <c r="G1322" i="1"/>
  <c r="F1323" i="1"/>
  <c r="G1323" i="1"/>
  <c r="F1324" i="1"/>
  <c r="G1324" i="1"/>
  <c r="F1325" i="1"/>
  <c r="G1325" i="1"/>
  <c r="F1326" i="1"/>
  <c r="G1326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F1337" i="1"/>
  <c r="G1337" i="1"/>
  <c r="F1338" i="1"/>
  <c r="G1338" i="1"/>
  <c r="F1339" i="1"/>
  <c r="G1339" i="1"/>
  <c r="F1340" i="1"/>
  <c r="G1340" i="1"/>
  <c r="F1341" i="1"/>
  <c r="G1341" i="1"/>
  <c r="F1342" i="1"/>
  <c r="G1342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F1351" i="1"/>
  <c r="G1351" i="1"/>
  <c r="F1352" i="1"/>
  <c r="G1352" i="1"/>
  <c r="F1353" i="1"/>
  <c r="G1353" i="1"/>
  <c r="F1354" i="1"/>
  <c r="G1354" i="1"/>
  <c r="F1355" i="1"/>
  <c r="G1355" i="1"/>
  <c r="F1356" i="1"/>
  <c r="G1356" i="1"/>
  <c r="F1357" i="1"/>
  <c r="G1357" i="1"/>
  <c r="F1358" i="1"/>
  <c r="G1358" i="1"/>
  <c r="F1359" i="1"/>
  <c r="G1359" i="1"/>
  <c r="F1360" i="1"/>
  <c r="G1360" i="1"/>
  <c r="F1361" i="1"/>
  <c r="G1361" i="1"/>
  <c r="F1362" i="1"/>
  <c r="G1362" i="1"/>
  <c r="F1363" i="1"/>
  <c r="G1363" i="1"/>
  <c r="F1364" i="1"/>
  <c r="G1364" i="1"/>
  <c r="F1365" i="1"/>
  <c r="G1365" i="1"/>
  <c r="F1366" i="1"/>
  <c r="G1366" i="1"/>
  <c r="F1367" i="1"/>
  <c r="G1367" i="1"/>
  <c r="F1368" i="1"/>
  <c r="G1368" i="1"/>
  <c r="F1369" i="1"/>
  <c r="G1369" i="1"/>
  <c r="F1370" i="1"/>
  <c r="G1370" i="1"/>
  <c r="F1371" i="1"/>
  <c r="G1371" i="1"/>
  <c r="F1372" i="1"/>
  <c r="G1372" i="1"/>
  <c r="F1373" i="1"/>
  <c r="G1373" i="1"/>
  <c r="F1374" i="1"/>
  <c r="G1374" i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F1384" i="1"/>
  <c r="G1384" i="1"/>
  <c r="F1385" i="1"/>
  <c r="G1385" i="1"/>
  <c r="F1386" i="1"/>
  <c r="G1386" i="1"/>
  <c r="F1387" i="1"/>
  <c r="G1387" i="1"/>
  <c r="F1388" i="1"/>
  <c r="G1388" i="1"/>
  <c r="F1389" i="1"/>
  <c r="G1389" i="1"/>
  <c r="F1390" i="1"/>
  <c r="G1390" i="1"/>
  <c r="F1391" i="1"/>
  <c r="G1391" i="1"/>
  <c r="F1392" i="1"/>
  <c r="G1392" i="1"/>
  <c r="F1393" i="1"/>
  <c r="G1393" i="1"/>
  <c r="F1394" i="1"/>
  <c r="G1394" i="1"/>
  <c r="F1395" i="1"/>
  <c r="G1395" i="1"/>
  <c r="F1396" i="1"/>
  <c r="G1396" i="1"/>
  <c r="F1397" i="1"/>
  <c r="G1397" i="1"/>
  <c r="F1398" i="1"/>
  <c r="G1398" i="1"/>
  <c r="F1399" i="1"/>
  <c r="G1399" i="1"/>
  <c r="F1400" i="1"/>
  <c r="G1400" i="1"/>
  <c r="F1401" i="1"/>
  <c r="G1401" i="1"/>
  <c r="F1402" i="1"/>
  <c r="G1402" i="1"/>
  <c r="F1403" i="1"/>
  <c r="G1403" i="1"/>
  <c r="F1404" i="1"/>
  <c r="G1404" i="1"/>
  <c r="F1405" i="1"/>
  <c r="G1405" i="1"/>
  <c r="F1406" i="1"/>
  <c r="G1406" i="1"/>
  <c r="F1407" i="1"/>
  <c r="G1407" i="1"/>
  <c r="F1408" i="1"/>
  <c r="G1408" i="1"/>
  <c r="F1409" i="1"/>
  <c r="G1409" i="1"/>
  <c r="F1410" i="1"/>
  <c r="G1410" i="1"/>
  <c r="F1411" i="1"/>
  <c r="G1411" i="1"/>
  <c r="F1412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F1436" i="1"/>
  <c r="G1436" i="1"/>
  <c r="F1437" i="1"/>
  <c r="G1437" i="1"/>
  <c r="F1438" i="1"/>
  <c r="G1438" i="1"/>
  <c r="F1439" i="1"/>
  <c r="G1439" i="1"/>
  <c r="F1440" i="1"/>
  <c r="G1440" i="1"/>
  <c r="F1441" i="1"/>
  <c r="G1441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F1560" i="1"/>
  <c r="G1560" i="1"/>
  <c r="F1561" i="1"/>
  <c r="G1561" i="1"/>
  <c r="F1562" i="1"/>
  <c r="G1562" i="1"/>
  <c r="F1563" i="1"/>
  <c r="G1563" i="1"/>
  <c r="F1564" i="1"/>
  <c r="G1564" i="1"/>
  <c r="F1565" i="1"/>
  <c r="G1565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F1613" i="1"/>
  <c r="G1613" i="1"/>
  <c r="F1614" i="1"/>
  <c r="G1614" i="1"/>
  <c r="F1615" i="1"/>
  <c r="G1615" i="1"/>
  <c r="F1616" i="1"/>
  <c r="G1616" i="1"/>
  <c r="F1617" i="1"/>
  <c r="G1617" i="1"/>
  <c r="F1618" i="1"/>
  <c r="G1618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F1635" i="1"/>
  <c r="G1635" i="1"/>
  <c r="F1636" i="1"/>
  <c r="G1636" i="1"/>
  <c r="F1637" i="1"/>
  <c r="G1637" i="1"/>
  <c r="F1638" i="1"/>
  <c r="G1638" i="1"/>
  <c r="F1639" i="1"/>
  <c r="G1639" i="1"/>
  <c r="F1640" i="1"/>
  <c r="G1640" i="1"/>
  <c r="F1641" i="1"/>
  <c r="G1641" i="1"/>
  <c r="F1642" i="1"/>
  <c r="G1642" i="1"/>
  <c r="F1643" i="1"/>
  <c r="G1643" i="1"/>
  <c r="F1644" i="1"/>
  <c r="G1644" i="1"/>
  <c r="F1645" i="1"/>
  <c r="G1645" i="1"/>
  <c r="F1646" i="1"/>
  <c r="G1646" i="1"/>
  <c r="F1647" i="1"/>
  <c r="G1647" i="1"/>
  <c r="F1648" i="1"/>
  <c r="G1648" i="1"/>
  <c r="F1649" i="1"/>
  <c r="G1649" i="1"/>
  <c r="F1650" i="1"/>
  <c r="G1650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F1660" i="1"/>
  <c r="G1660" i="1"/>
  <c r="F1661" i="1"/>
  <c r="G1661" i="1"/>
  <c r="F1662" i="1"/>
  <c r="G1662" i="1"/>
  <c r="F1663" i="1"/>
  <c r="G1663" i="1"/>
  <c r="F1664" i="1"/>
  <c r="G1664" i="1"/>
  <c r="F1665" i="1"/>
  <c r="G1665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F1688" i="1"/>
  <c r="G1688" i="1"/>
  <c r="F1689" i="1"/>
  <c r="G1689" i="1"/>
  <c r="F1690" i="1"/>
  <c r="G1690" i="1"/>
  <c r="F1691" i="1"/>
  <c r="G1691" i="1"/>
  <c r="F1692" i="1"/>
  <c r="G1692" i="1"/>
  <c r="F1693" i="1"/>
  <c r="G1693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F1710" i="1"/>
  <c r="G1710" i="1"/>
  <c r="F1711" i="1"/>
  <c r="G1711" i="1"/>
  <c r="F1712" i="1"/>
  <c r="G1712" i="1"/>
  <c r="F1713" i="1"/>
  <c r="G1713" i="1"/>
  <c r="F1714" i="1"/>
  <c r="G1714" i="1"/>
  <c r="F1715" i="1"/>
  <c r="G1715" i="1"/>
  <c r="F1716" i="1"/>
  <c r="G1716" i="1"/>
  <c r="F1717" i="1"/>
  <c r="G1717" i="1"/>
  <c r="F1718" i="1"/>
  <c r="G1718" i="1"/>
  <c r="F1719" i="1"/>
  <c r="G1719" i="1"/>
  <c r="F1720" i="1"/>
  <c r="G1720" i="1"/>
  <c r="F1721" i="1"/>
  <c r="G1721" i="1"/>
  <c r="F1722" i="1"/>
  <c r="G1722" i="1"/>
  <c r="F1723" i="1"/>
  <c r="G1723" i="1"/>
  <c r="F1724" i="1"/>
  <c r="G1724" i="1"/>
  <c r="F1725" i="1"/>
  <c r="G1725" i="1"/>
  <c r="F1726" i="1"/>
  <c r="G1726" i="1"/>
  <c r="F1727" i="1"/>
  <c r="G1727" i="1"/>
  <c r="F1728" i="1"/>
  <c r="G1728" i="1"/>
  <c r="F1729" i="1"/>
  <c r="G1729" i="1"/>
  <c r="F1730" i="1"/>
  <c r="G1730" i="1"/>
  <c r="F1731" i="1"/>
  <c r="G1731" i="1"/>
  <c r="F1732" i="1"/>
  <c r="G1732" i="1"/>
  <c r="F1733" i="1"/>
  <c r="G1733" i="1"/>
  <c r="F1734" i="1"/>
  <c r="G1734" i="1"/>
  <c r="F1735" i="1"/>
  <c r="G1735" i="1"/>
  <c r="F1736" i="1"/>
  <c r="G1736" i="1"/>
  <c r="F1737" i="1"/>
  <c r="G1737" i="1"/>
  <c r="F1738" i="1"/>
  <c r="G1738" i="1"/>
  <c r="F1739" i="1"/>
  <c r="G1739" i="1"/>
  <c r="F1740" i="1"/>
  <c r="G1740" i="1"/>
  <c r="F1741" i="1"/>
  <c r="G1741" i="1"/>
  <c r="F1742" i="1"/>
  <c r="G1742" i="1"/>
  <c r="F1743" i="1"/>
  <c r="G1743" i="1"/>
  <c r="F1744" i="1"/>
  <c r="G1744" i="1"/>
  <c r="F1745" i="1"/>
  <c r="G1745" i="1"/>
  <c r="F1746" i="1"/>
  <c r="G1746" i="1"/>
  <c r="F1747" i="1"/>
  <c r="G1747" i="1"/>
  <c r="F1748" i="1"/>
  <c r="G1748" i="1"/>
  <c r="F1749" i="1"/>
  <c r="G1749" i="1"/>
  <c r="F1750" i="1"/>
  <c r="G1750" i="1"/>
  <c r="F1751" i="1"/>
  <c r="G1751" i="1"/>
  <c r="F1752" i="1"/>
  <c r="G1752" i="1"/>
  <c r="F1753" i="1"/>
  <c r="G1753" i="1"/>
  <c r="F1754" i="1"/>
  <c r="G1754" i="1"/>
  <c r="F1755" i="1"/>
  <c r="G1755" i="1"/>
  <c r="F1756" i="1"/>
  <c r="G1756" i="1"/>
  <c r="F1757" i="1"/>
  <c r="G1757" i="1"/>
  <c r="F1758" i="1"/>
  <c r="G1758" i="1"/>
  <c r="F1759" i="1"/>
  <c r="G1759" i="1"/>
  <c r="F1760" i="1"/>
  <c r="G1760" i="1"/>
  <c r="F1761" i="1"/>
  <c r="G1761" i="1"/>
  <c r="F1762" i="1"/>
  <c r="G1762" i="1"/>
  <c r="F1763" i="1"/>
  <c r="G1763" i="1"/>
  <c r="F1764" i="1"/>
  <c r="G1764" i="1"/>
  <c r="F1765" i="1"/>
  <c r="G1765" i="1"/>
  <c r="F1766" i="1"/>
  <c r="G1766" i="1"/>
  <c r="F1767" i="1"/>
  <c r="G1767" i="1"/>
  <c r="F1768" i="1"/>
  <c r="G1768" i="1"/>
  <c r="F1769" i="1"/>
  <c r="G1769" i="1"/>
  <c r="F1770" i="1"/>
  <c r="G1770" i="1"/>
  <c r="F1771" i="1"/>
  <c r="G1771" i="1"/>
  <c r="F1772" i="1"/>
  <c r="G1772" i="1"/>
  <c r="F1773" i="1"/>
  <c r="G1773" i="1"/>
  <c r="F1774" i="1"/>
  <c r="G1774" i="1"/>
  <c r="F1775" i="1"/>
  <c r="G1775" i="1"/>
  <c r="F1776" i="1"/>
  <c r="G1776" i="1"/>
  <c r="F1777" i="1"/>
  <c r="G1777" i="1"/>
  <c r="F1778" i="1"/>
  <c r="G1778" i="1"/>
  <c r="F1779" i="1"/>
  <c r="G1779" i="1"/>
  <c r="F1780" i="1"/>
  <c r="G1780" i="1"/>
  <c r="F1781" i="1"/>
  <c r="G1781" i="1"/>
  <c r="F1782" i="1"/>
  <c r="G1782" i="1"/>
  <c r="F1783" i="1"/>
  <c r="G1783" i="1"/>
  <c r="F1784" i="1"/>
  <c r="G1784" i="1"/>
  <c r="F1785" i="1"/>
  <c r="G1785" i="1"/>
  <c r="F1786" i="1"/>
  <c r="G1786" i="1"/>
  <c r="F1787" i="1"/>
  <c r="G1787" i="1"/>
  <c r="F1788" i="1"/>
  <c r="G1788" i="1"/>
  <c r="F1789" i="1"/>
  <c r="G1789" i="1"/>
  <c r="F1790" i="1"/>
  <c r="G1790" i="1"/>
  <c r="F1791" i="1"/>
  <c r="G1791" i="1"/>
  <c r="F1792" i="1"/>
  <c r="G1792" i="1"/>
  <c r="F1793" i="1"/>
  <c r="G1793" i="1"/>
  <c r="F1794" i="1"/>
  <c r="G1794" i="1"/>
  <c r="F1795" i="1"/>
  <c r="G1795" i="1"/>
  <c r="F1796" i="1"/>
  <c r="G1796" i="1"/>
  <c r="F1797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F1804" i="1"/>
  <c r="G1804" i="1"/>
  <c r="F1805" i="1"/>
  <c r="G1805" i="1"/>
  <c r="F1806" i="1"/>
  <c r="G1806" i="1"/>
  <c r="F1807" i="1"/>
  <c r="G1807" i="1"/>
  <c r="F1808" i="1"/>
  <c r="G1808" i="1"/>
  <c r="F1809" i="1"/>
  <c r="G1809" i="1"/>
  <c r="F1810" i="1"/>
  <c r="G1810" i="1"/>
  <c r="F1811" i="1"/>
  <c r="G1811" i="1"/>
  <c r="F1812" i="1"/>
  <c r="G1812" i="1"/>
  <c r="F1813" i="1"/>
  <c r="G1813" i="1"/>
  <c r="F1814" i="1"/>
  <c r="G1814" i="1"/>
  <c r="F1815" i="1"/>
  <c r="G1815" i="1"/>
  <c r="F1816" i="1"/>
  <c r="G1816" i="1"/>
  <c r="F1817" i="1"/>
  <c r="G1817" i="1"/>
  <c r="F1818" i="1"/>
  <c r="G1818" i="1"/>
  <c r="F1819" i="1"/>
  <c r="G1819" i="1"/>
  <c r="F1820" i="1"/>
  <c r="G1820" i="1"/>
  <c r="F1821" i="1"/>
  <c r="G1821" i="1"/>
  <c r="F1822" i="1"/>
  <c r="G1822" i="1"/>
  <c r="F1823" i="1"/>
  <c r="G1823" i="1"/>
  <c r="F1824" i="1"/>
  <c r="G1824" i="1"/>
  <c r="F1825" i="1"/>
  <c r="G1825" i="1"/>
  <c r="F1826" i="1"/>
  <c r="G1826" i="1"/>
  <c r="F1827" i="1"/>
  <c r="G1827" i="1"/>
  <c r="F1828" i="1"/>
  <c r="G1828" i="1"/>
  <c r="F1829" i="1"/>
  <c r="G1829" i="1"/>
  <c r="F1830" i="1"/>
  <c r="G1830" i="1"/>
  <c r="F1831" i="1"/>
  <c r="G1831" i="1"/>
  <c r="F1832" i="1"/>
  <c r="G1832" i="1"/>
  <c r="F1833" i="1"/>
  <c r="G1833" i="1"/>
  <c r="F1834" i="1"/>
  <c r="G1834" i="1"/>
  <c r="F1835" i="1"/>
  <c r="G1835" i="1"/>
  <c r="F1836" i="1"/>
  <c r="G1836" i="1"/>
  <c r="F1837" i="1"/>
  <c r="G1837" i="1"/>
  <c r="F1838" i="1"/>
  <c r="G1838" i="1"/>
  <c r="F1839" i="1"/>
  <c r="G1839" i="1"/>
  <c r="F1840" i="1"/>
  <c r="G1840" i="1"/>
  <c r="F1841" i="1"/>
  <c r="G1841" i="1"/>
  <c r="F1842" i="1"/>
  <c r="G1842" i="1"/>
  <c r="F1843" i="1"/>
  <c r="G1843" i="1"/>
  <c r="F1844" i="1"/>
  <c r="G1844" i="1"/>
  <c r="F1845" i="1"/>
  <c r="G1845" i="1"/>
  <c r="F1846" i="1"/>
  <c r="G1846" i="1"/>
  <c r="F1847" i="1"/>
  <c r="G1847" i="1"/>
  <c r="F1848" i="1"/>
  <c r="G1848" i="1"/>
  <c r="F1849" i="1"/>
  <c r="G1849" i="1"/>
  <c r="F1850" i="1"/>
  <c r="G1850" i="1"/>
  <c r="F1851" i="1"/>
  <c r="G1851" i="1"/>
  <c r="F1852" i="1"/>
  <c r="G1852" i="1"/>
  <c r="F1853" i="1"/>
  <c r="G1853" i="1"/>
  <c r="F1854" i="1"/>
  <c r="G1854" i="1"/>
  <c r="F1855" i="1"/>
  <c r="G1855" i="1"/>
  <c r="F1856" i="1"/>
  <c r="G1856" i="1"/>
  <c r="F1857" i="1"/>
  <c r="G1857" i="1"/>
  <c r="F1858" i="1"/>
  <c r="G1858" i="1"/>
  <c r="F1859" i="1"/>
  <c r="G1859" i="1"/>
  <c r="F1860" i="1"/>
  <c r="G1860" i="1"/>
  <c r="F1861" i="1"/>
  <c r="G1861" i="1"/>
  <c r="F1862" i="1"/>
  <c r="G1862" i="1"/>
  <c r="F1863" i="1"/>
  <c r="G1863" i="1"/>
  <c r="F1864" i="1"/>
  <c r="G1864" i="1"/>
  <c r="F1865" i="1"/>
  <c r="G1865" i="1"/>
  <c r="F1866" i="1"/>
  <c r="G1866" i="1"/>
  <c r="F1867" i="1"/>
  <c r="G1867" i="1"/>
  <c r="F1868" i="1"/>
  <c r="G1868" i="1"/>
  <c r="F1869" i="1"/>
  <c r="G1869" i="1"/>
  <c r="F1870" i="1"/>
  <c r="G1870" i="1"/>
  <c r="F1871" i="1"/>
  <c r="G1871" i="1"/>
  <c r="F1872" i="1"/>
  <c r="G1872" i="1"/>
  <c r="F1873" i="1"/>
  <c r="G1873" i="1"/>
  <c r="F1874" i="1"/>
  <c r="G1874" i="1"/>
  <c r="F1875" i="1"/>
  <c r="G1875" i="1"/>
  <c r="F1876" i="1"/>
  <c r="G1876" i="1"/>
  <c r="F1877" i="1"/>
  <c r="G1877" i="1"/>
  <c r="F1878" i="1"/>
  <c r="G1878" i="1"/>
  <c r="F1879" i="1"/>
  <c r="G1879" i="1"/>
  <c r="F1880" i="1"/>
  <c r="G1880" i="1"/>
  <c r="F1881" i="1"/>
  <c r="G1881" i="1"/>
  <c r="F1882" i="1"/>
  <c r="G1882" i="1"/>
  <c r="F1883" i="1"/>
  <c r="G1883" i="1"/>
  <c r="F1884" i="1"/>
  <c r="G1884" i="1"/>
  <c r="F1885" i="1"/>
  <c r="G1885" i="1"/>
  <c r="F1886" i="1"/>
  <c r="G1886" i="1"/>
  <c r="F1887" i="1"/>
  <c r="G1887" i="1"/>
  <c r="F1888" i="1"/>
  <c r="G1888" i="1"/>
  <c r="F1889" i="1"/>
  <c r="G1889" i="1"/>
  <c r="F1890" i="1"/>
  <c r="G1890" i="1"/>
  <c r="F1891" i="1"/>
  <c r="G1891" i="1"/>
  <c r="F1892" i="1"/>
  <c r="G1892" i="1"/>
  <c r="F1893" i="1"/>
  <c r="G1893" i="1"/>
  <c r="F1894" i="1"/>
  <c r="G1894" i="1"/>
  <c r="F1895" i="1"/>
  <c r="G1895" i="1"/>
  <c r="F1896" i="1"/>
  <c r="G1896" i="1"/>
  <c r="F1897" i="1"/>
  <c r="G1897" i="1"/>
  <c r="F1898" i="1"/>
  <c r="G1898" i="1"/>
  <c r="F1899" i="1"/>
  <c r="G1899" i="1"/>
  <c r="F1900" i="1"/>
  <c r="G1900" i="1"/>
  <c r="F1901" i="1"/>
  <c r="G1901" i="1"/>
  <c r="F1902" i="1"/>
  <c r="G1902" i="1"/>
  <c r="F1903" i="1"/>
  <c r="G1903" i="1"/>
  <c r="F1904" i="1"/>
  <c r="G1904" i="1"/>
  <c r="F1905" i="1"/>
  <c r="G1905" i="1"/>
  <c r="F1906" i="1"/>
  <c r="G1906" i="1"/>
  <c r="F1907" i="1"/>
  <c r="G1907" i="1"/>
  <c r="F1908" i="1"/>
  <c r="G1908" i="1"/>
  <c r="F1909" i="1"/>
  <c r="G1909" i="1"/>
  <c r="F1910" i="1"/>
  <c r="G1910" i="1"/>
  <c r="F1911" i="1"/>
  <c r="G1911" i="1"/>
  <c r="F1912" i="1"/>
  <c r="G1912" i="1"/>
  <c r="F1913" i="1"/>
  <c r="G1913" i="1"/>
  <c r="F1914" i="1"/>
  <c r="G1914" i="1"/>
  <c r="F1915" i="1"/>
  <c r="G1915" i="1"/>
  <c r="F1916" i="1"/>
  <c r="G1916" i="1"/>
  <c r="F1917" i="1"/>
  <c r="G1917" i="1"/>
  <c r="F1918" i="1"/>
  <c r="G1918" i="1"/>
  <c r="F1919" i="1"/>
  <c r="G1919" i="1"/>
  <c r="F1920" i="1"/>
  <c r="G1920" i="1"/>
  <c r="F1921" i="1"/>
  <c r="G1921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F1929" i="1"/>
  <c r="G1929" i="1"/>
  <c r="F1930" i="1"/>
  <c r="G1930" i="1"/>
  <c r="F1931" i="1"/>
  <c r="G1931" i="1"/>
  <c r="F1932" i="1"/>
  <c r="G1932" i="1"/>
  <c r="F1933" i="1"/>
  <c r="G1933" i="1"/>
  <c r="F1934" i="1"/>
  <c r="G1934" i="1"/>
  <c r="F1935" i="1"/>
  <c r="G1935" i="1"/>
  <c r="F1936" i="1"/>
  <c r="G1936" i="1"/>
  <c r="F1937" i="1"/>
  <c r="G1937" i="1"/>
  <c r="F1938" i="1"/>
  <c r="G1938" i="1"/>
  <c r="F1939" i="1"/>
  <c r="G1939" i="1"/>
  <c r="F1940" i="1"/>
  <c r="G1940" i="1"/>
  <c r="F1941" i="1"/>
  <c r="G1941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F1965" i="1"/>
  <c r="G1965" i="1"/>
  <c r="F1966" i="1"/>
  <c r="G1966" i="1"/>
  <c r="F1967" i="1"/>
  <c r="G1967" i="1"/>
  <c r="F1968" i="1"/>
  <c r="G1968" i="1"/>
  <c r="F1969" i="1"/>
  <c r="G1969" i="1"/>
  <c r="F1970" i="1"/>
  <c r="G1970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F1985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F2002" i="1"/>
  <c r="G2002" i="1"/>
  <c r="F2003" i="1"/>
  <c r="G2003" i="1"/>
  <c r="F2004" i="1"/>
  <c r="G2004" i="1"/>
  <c r="F2005" i="1"/>
  <c r="G2005" i="1"/>
  <c r="F2006" i="1"/>
  <c r="G2006" i="1"/>
  <c r="F2007" i="1"/>
  <c r="G2007" i="1"/>
  <c r="F2008" i="1"/>
  <c r="G2008" i="1"/>
  <c r="F2009" i="1"/>
  <c r="G2009" i="1"/>
  <c r="F2010" i="1"/>
  <c r="G2010" i="1"/>
  <c r="F2011" i="1"/>
  <c r="G2011" i="1"/>
  <c r="F2012" i="1"/>
  <c r="G2012" i="1"/>
  <c r="F2013" i="1"/>
  <c r="G2013" i="1"/>
  <c r="F2014" i="1"/>
  <c r="G2014" i="1"/>
  <c r="F2015" i="1"/>
  <c r="G2015" i="1"/>
  <c r="F2016" i="1"/>
  <c r="G2016" i="1"/>
  <c r="F2017" i="1"/>
  <c r="G2017" i="1"/>
  <c r="F2018" i="1"/>
  <c r="G2018" i="1"/>
  <c r="F2019" i="1"/>
  <c r="G2019" i="1"/>
  <c r="F2020" i="1"/>
  <c r="G2020" i="1"/>
  <c r="F2021" i="1"/>
  <c r="G2021" i="1"/>
  <c r="F2022" i="1"/>
  <c r="G2022" i="1"/>
  <c r="F2023" i="1"/>
  <c r="G2023" i="1"/>
  <c r="F2024" i="1"/>
  <c r="G2024" i="1"/>
  <c r="F2025" i="1"/>
  <c r="G2025" i="1"/>
  <c r="F2026" i="1"/>
  <c r="G2026" i="1"/>
  <c r="F2027" i="1"/>
  <c r="G2027" i="1"/>
  <c r="F2028" i="1"/>
  <c r="G2028" i="1"/>
  <c r="F2029" i="1"/>
  <c r="G2029" i="1"/>
  <c r="F2030" i="1"/>
  <c r="G2030" i="1"/>
  <c r="F2031" i="1"/>
  <c r="G2031" i="1"/>
  <c r="F2032" i="1"/>
  <c r="G2032" i="1"/>
  <c r="F2033" i="1"/>
  <c r="G2033" i="1"/>
  <c r="F2034" i="1"/>
  <c r="G2034" i="1"/>
  <c r="F2035" i="1"/>
  <c r="G2035" i="1"/>
  <c r="F2036" i="1"/>
  <c r="G2036" i="1"/>
  <c r="F2037" i="1"/>
  <c r="G2037" i="1"/>
  <c r="F2038" i="1"/>
  <c r="G2038" i="1"/>
  <c r="F2039" i="1"/>
  <c r="G2039" i="1"/>
  <c r="F2040" i="1"/>
  <c r="G2040" i="1"/>
  <c r="F2041" i="1"/>
  <c r="G2041" i="1"/>
  <c r="F2042" i="1"/>
  <c r="G2042" i="1"/>
  <c r="F2043" i="1"/>
  <c r="G2043" i="1"/>
  <c r="F2044" i="1"/>
  <c r="G2044" i="1"/>
  <c r="F2045" i="1"/>
  <c r="G2045" i="1"/>
  <c r="F2046" i="1"/>
  <c r="G2046" i="1"/>
  <c r="F2047" i="1"/>
  <c r="G2047" i="1"/>
  <c r="F2048" i="1"/>
  <c r="G2048" i="1"/>
  <c r="F2049" i="1"/>
  <c r="G2049" i="1"/>
  <c r="F2050" i="1"/>
  <c r="G2050" i="1"/>
  <c r="F2051" i="1"/>
  <c r="G2051" i="1"/>
  <c r="F2052" i="1"/>
  <c r="G2052" i="1"/>
  <c r="F2053" i="1"/>
  <c r="G2053" i="1"/>
  <c r="F2054" i="1"/>
  <c r="G2054" i="1"/>
  <c r="F2055" i="1"/>
  <c r="G2055" i="1"/>
  <c r="F2056" i="1"/>
  <c r="G2056" i="1"/>
  <c r="F2057" i="1"/>
  <c r="G2057" i="1"/>
  <c r="F2058" i="1"/>
  <c r="G2058" i="1"/>
  <c r="F2059" i="1"/>
  <c r="G2059" i="1"/>
  <c r="F2060" i="1"/>
  <c r="G2060" i="1"/>
  <c r="F2061" i="1"/>
  <c r="G2061" i="1"/>
  <c r="F2062" i="1"/>
  <c r="G2062" i="1"/>
  <c r="F2063" i="1"/>
  <c r="G2063" i="1"/>
  <c r="F2064" i="1"/>
  <c r="G2064" i="1"/>
  <c r="F2065" i="1"/>
  <c r="G2065" i="1"/>
  <c r="F2066" i="1"/>
  <c r="G2066" i="1"/>
  <c r="F2067" i="1"/>
  <c r="G2067" i="1"/>
  <c r="F2068" i="1"/>
  <c r="G2068" i="1"/>
  <c r="F2069" i="1"/>
  <c r="G2069" i="1"/>
  <c r="F2070" i="1"/>
  <c r="G2070" i="1"/>
  <c r="F2071" i="1"/>
  <c r="G2071" i="1"/>
  <c r="F2072" i="1"/>
  <c r="G2072" i="1"/>
  <c r="F2073" i="1"/>
  <c r="G2073" i="1"/>
  <c r="F2074" i="1"/>
  <c r="G2074" i="1"/>
  <c r="F2075" i="1"/>
  <c r="G2075" i="1"/>
  <c r="F2076" i="1"/>
  <c r="G2076" i="1"/>
  <c r="F2077" i="1"/>
  <c r="G2077" i="1"/>
  <c r="F2078" i="1"/>
  <c r="G2078" i="1"/>
  <c r="F2079" i="1"/>
  <c r="G2079" i="1"/>
  <c r="F2080" i="1"/>
  <c r="G2080" i="1"/>
  <c r="F2081" i="1"/>
  <c r="G2081" i="1"/>
  <c r="F2082" i="1"/>
  <c r="G2082" i="1"/>
  <c r="F2083" i="1"/>
  <c r="G2083" i="1"/>
  <c r="F2084" i="1"/>
  <c r="G2084" i="1"/>
  <c r="F2085" i="1"/>
  <c r="G2085" i="1"/>
  <c r="F2086" i="1"/>
  <c r="G2086" i="1"/>
  <c r="F2087" i="1"/>
  <c r="G2087" i="1"/>
  <c r="F2088" i="1"/>
  <c r="G2088" i="1"/>
  <c r="F2089" i="1"/>
  <c r="G2089" i="1"/>
  <c r="F2090" i="1"/>
  <c r="G2090" i="1"/>
  <c r="F2091" i="1"/>
  <c r="G2091" i="1"/>
  <c r="F2092" i="1"/>
  <c r="G2092" i="1"/>
  <c r="F2093" i="1"/>
  <c r="G2093" i="1"/>
  <c r="F2094" i="1"/>
  <c r="G2094" i="1"/>
  <c r="F2095" i="1"/>
  <c r="G2095" i="1"/>
  <c r="F2096" i="1"/>
  <c r="G2096" i="1"/>
  <c r="F2097" i="1"/>
  <c r="G2097" i="1"/>
  <c r="F2098" i="1"/>
  <c r="G2098" i="1"/>
  <c r="F2099" i="1"/>
  <c r="G2099" i="1"/>
  <c r="F2100" i="1"/>
  <c r="G2100" i="1"/>
  <c r="F2101" i="1"/>
  <c r="G2101" i="1"/>
  <c r="F2102" i="1"/>
  <c r="G2102" i="1"/>
  <c r="F2103" i="1"/>
  <c r="G2103" i="1"/>
  <c r="F2104" i="1"/>
  <c r="G2104" i="1"/>
  <c r="F2105" i="1"/>
  <c r="G2105" i="1"/>
  <c r="F2106" i="1"/>
  <c r="G2106" i="1"/>
  <c r="F2107" i="1"/>
  <c r="G2107" i="1"/>
  <c r="F2108" i="1"/>
  <c r="G2108" i="1"/>
  <c r="F2109" i="1"/>
  <c r="G2109" i="1"/>
  <c r="F2110" i="1"/>
  <c r="G2110" i="1"/>
  <c r="F2111" i="1"/>
  <c r="G2111" i="1"/>
  <c r="F2112" i="1"/>
  <c r="G2112" i="1"/>
  <c r="F2113" i="1"/>
  <c r="G2113" i="1"/>
  <c r="F2114" i="1"/>
  <c r="G2114" i="1"/>
  <c r="F2115" i="1"/>
  <c r="G2115" i="1"/>
  <c r="F2116" i="1"/>
  <c r="G2116" i="1"/>
  <c r="F2117" i="1"/>
  <c r="G2117" i="1"/>
  <c r="F2118" i="1"/>
  <c r="G2118" i="1"/>
  <c r="F2119" i="1"/>
  <c r="G2119" i="1"/>
  <c r="F2120" i="1"/>
  <c r="G2120" i="1"/>
  <c r="F2121" i="1"/>
  <c r="G2121" i="1"/>
  <c r="F2122" i="1"/>
  <c r="G2122" i="1"/>
  <c r="F2123" i="1"/>
  <c r="G2123" i="1"/>
  <c r="F2124" i="1"/>
  <c r="G2124" i="1"/>
  <c r="F2125" i="1"/>
  <c r="G2125" i="1"/>
  <c r="F2126" i="1"/>
  <c r="G2126" i="1"/>
  <c r="F2127" i="1"/>
  <c r="G2127" i="1"/>
  <c r="F2128" i="1"/>
  <c r="G2128" i="1"/>
  <c r="F2129" i="1"/>
  <c r="G2129" i="1"/>
  <c r="F2130" i="1"/>
  <c r="G2130" i="1"/>
  <c r="F2131" i="1"/>
  <c r="G2131" i="1"/>
  <c r="F2132" i="1"/>
  <c r="G2132" i="1"/>
  <c r="F2133" i="1"/>
  <c r="G2133" i="1"/>
  <c r="F2134" i="1"/>
  <c r="G2134" i="1"/>
  <c r="F2135" i="1"/>
  <c r="G2135" i="1"/>
  <c r="F2136" i="1"/>
  <c r="G2136" i="1"/>
  <c r="F2137" i="1"/>
  <c r="G2137" i="1"/>
  <c r="F2138" i="1"/>
  <c r="G2138" i="1"/>
  <c r="F2139" i="1"/>
  <c r="G2139" i="1"/>
  <c r="F2140" i="1"/>
  <c r="G2140" i="1"/>
  <c r="F2141" i="1"/>
  <c r="G2141" i="1"/>
  <c r="F2142" i="1"/>
  <c r="G2142" i="1"/>
  <c r="F2143" i="1"/>
  <c r="G2143" i="1"/>
  <c r="F2144" i="1"/>
  <c r="G2144" i="1"/>
  <c r="F2145" i="1"/>
  <c r="G2145" i="1"/>
  <c r="F2146" i="1"/>
  <c r="G2146" i="1"/>
  <c r="F2147" i="1"/>
  <c r="G2147" i="1"/>
  <c r="F2148" i="1"/>
  <c r="G2148" i="1"/>
  <c r="F2149" i="1"/>
  <c r="G2149" i="1"/>
  <c r="F2150" i="1"/>
  <c r="G2150" i="1"/>
  <c r="F2151" i="1"/>
  <c r="G2151" i="1"/>
  <c r="F2152" i="1"/>
  <c r="G2152" i="1"/>
  <c r="F2153" i="1"/>
  <c r="G2153" i="1"/>
  <c r="F2154" i="1"/>
  <c r="G2154" i="1"/>
  <c r="F2155" i="1"/>
  <c r="G2155" i="1"/>
  <c r="F2156" i="1"/>
  <c r="G2156" i="1"/>
  <c r="F2157" i="1"/>
  <c r="G2157" i="1"/>
  <c r="F2158" i="1"/>
  <c r="G2158" i="1"/>
  <c r="F2159" i="1"/>
  <c r="G2159" i="1"/>
  <c r="F2160" i="1"/>
  <c r="G2160" i="1"/>
  <c r="F2161" i="1"/>
  <c r="G2161" i="1"/>
  <c r="F2162" i="1"/>
  <c r="G2162" i="1"/>
  <c r="F2163" i="1"/>
  <c r="G2163" i="1"/>
  <c r="F2164" i="1"/>
  <c r="G2164" i="1"/>
  <c r="F2165" i="1"/>
  <c r="G2165" i="1"/>
  <c r="F2166" i="1"/>
  <c r="G2166" i="1"/>
  <c r="F2167" i="1"/>
  <c r="G2167" i="1"/>
  <c r="F2168" i="1"/>
  <c r="G2168" i="1"/>
  <c r="F2169" i="1"/>
  <c r="G2169" i="1"/>
  <c r="F2170" i="1"/>
  <c r="G2170" i="1"/>
  <c r="F2171" i="1"/>
  <c r="G2171" i="1"/>
  <c r="F2172" i="1"/>
  <c r="G2172" i="1"/>
  <c r="F2173" i="1"/>
  <c r="G2173" i="1"/>
  <c r="F2174" i="1"/>
  <c r="G2174" i="1"/>
  <c r="F2175" i="1"/>
  <c r="G2175" i="1"/>
  <c r="F2176" i="1"/>
  <c r="G2176" i="1"/>
  <c r="F2177" i="1"/>
  <c r="G2177" i="1"/>
  <c r="F2178" i="1"/>
  <c r="G2178" i="1"/>
  <c r="F2179" i="1"/>
  <c r="G2179" i="1"/>
  <c r="F2180" i="1"/>
  <c r="G2180" i="1"/>
  <c r="F2181" i="1"/>
  <c r="G2181" i="1"/>
  <c r="F2182" i="1"/>
  <c r="G2182" i="1"/>
  <c r="F2183" i="1"/>
  <c r="G2183" i="1"/>
  <c r="F2184" i="1"/>
  <c r="G2184" i="1"/>
  <c r="F2185" i="1"/>
  <c r="G2185" i="1"/>
  <c r="F2186" i="1"/>
  <c r="G2186" i="1"/>
  <c r="F2187" i="1"/>
  <c r="G2187" i="1"/>
  <c r="F2188" i="1"/>
  <c r="G2188" i="1"/>
  <c r="F2189" i="1"/>
  <c r="G2189" i="1"/>
  <c r="F2190" i="1"/>
  <c r="G2190" i="1"/>
  <c r="F2191" i="1"/>
  <c r="G2191" i="1"/>
  <c r="F2192" i="1"/>
  <c r="G2192" i="1"/>
  <c r="F2193" i="1"/>
  <c r="G2193" i="1"/>
  <c r="F2194" i="1"/>
  <c r="G2194" i="1"/>
  <c r="F2195" i="1"/>
  <c r="G2195" i="1"/>
  <c r="F2196" i="1"/>
  <c r="G2196" i="1"/>
  <c r="F2197" i="1"/>
  <c r="G2197" i="1"/>
  <c r="F2198" i="1"/>
  <c r="G2198" i="1"/>
  <c r="F2199" i="1"/>
  <c r="G2199" i="1"/>
  <c r="F2200" i="1"/>
  <c r="G2200" i="1"/>
  <c r="F2201" i="1"/>
  <c r="G2201" i="1"/>
  <c r="F2202" i="1"/>
  <c r="G2202" i="1"/>
  <c r="F2203" i="1"/>
  <c r="G2203" i="1"/>
  <c r="F2204" i="1"/>
  <c r="G2204" i="1"/>
  <c r="F2205" i="1"/>
  <c r="G2205" i="1"/>
  <c r="F2206" i="1"/>
  <c r="G2206" i="1"/>
  <c r="F2207" i="1"/>
  <c r="G2207" i="1"/>
  <c r="F2208" i="1"/>
  <c r="G2208" i="1"/>
  <c r="F2209" i="1"/>
  <c r="G2209" i="1"/>
  <c r="F2210" i="1"/>
  <c r="G2210" i="1"/>
  <c r="F2211" i="1"/>
  <c r="G2211" i="1"/>
  <c r="F2212" i="1"/>
  <c r="G2212" i="1"/>
  <c r="F2213" i="1"/>
  <c r="G2213" i="1"/>
  <c r="F2214" i="1"/>
  <c r="G2214" i="1"/>
  <c r="F2215" i="1"/>
  <c r="G2215" i="1"/>
  <c r="F2216" i="1"/>
  <c r="G2216" i="1"/>
  <c r="F2217" i="1"/>
  <c r="G2217" i="1"/>
  <c r="F2218" i="1"/>
  <c r="G2218" i="1"/>
  <c r="F2219" i="1"/>
  <c r="G2219" i="1"/>
  <c r="F2220" i="1"/>
  <c r="G2220" i="1"/>
  <c r="F2221" i="1"/>
  <c r="G2221" i="1"/>
  <c r="F2222" i="1"/>
  <c r="G2222" i="1"/>
  <c r="F2223" i="1"/>
  <c r="G2223" i="1"/>
  <c r="F2224" i="1"/>
  <c r="G2224" i="1"/>
  <c r="F2225" i="1"/>
  <c r="G2225" i="1"/>
  <c r="F2226" i="1"/>
  <c r="G2226" i="1"/>
  <c r="F2227" i="1"/>
  <c r="G2227" i="1"/>
  <c r="F2228" i="1"/>
  <c r="G2228" i="1"/>
  <c r="F2229" i="1"/>
  <c r="G2229" i="1"/>
  <c r="F2230" i="1"/>
  <c r="G2230" i="1"/>
  <c r="F2231" i="1"/>
  <c r="G2231" i="1"/>
  <c r="F2232" i="1"/>
  <c r="G2232" i="1"/>
  <c r="F2233" i="1"/>
  <c r="G2233" i="1"/>
  <c r="F2234" i="1"/>
  <c r="G2234" i="1"/>
  <c r="F2235" i="1"/>
  <c r="G2235" i="1"/>
  <c r="F2236" i="1"/>
  <c r="G2236" i="1"/>
  <c r="F2237" i="1"/>
  <c r="G2237" i="1"/>
  <c r="F2238" i="1"/>
  <c r="G2238" i="1"/>
  <c r="F2239" i="1"/>
  <c r="G2239" i="1"/>
  <c r="F2240" i="1"/>
  <c r="G2240" i="1"/>
  <c r="F2241" i="1"/>
  <c r="G2241" i="1"/>
  <c r="F2242" i="1"/>
  <c r="G2242" i="1"/>
  <c r="F2243" i="1"/>
  <c r="G2243" i="1"/>
  <c r="F2244" i="1"/>
  <c r="G2244" i="1"/>
  <c r="F2245" i="1"/>
  <c r="G2245" i="1"/>
  <c r="F2246" i="1"/>
  <c r="G2246" i="1"/>
  <c r="F2247" i="1"/>
  <c r="G2247" i="1"/>
  <c r="F2248" i="1"/>
  <c r="G2248" i="1"/>
  <c r="F2249" i="1"/>
  <c r="G2249" i="1"/>
  <c r="F2250" i="1"/>
  <c r="G2250" i="1"/>
  <c r="F2251" i="1"/>
  <c r="G2251" i="1"/>
  <c r="F2252" i="1"/>
  <c r="G2252" i="1"/>
  <c r="F2253" i="1"/>
  <c r="G2253" i="1"/>
  <c r="F2254" i="1"/>
  <c r="G2254" i="1"/>
  <c r="F2255" i="1"/>
  <c r="G2255" i="1"/>
  <c r="F2256" i="1"/>
  <c r="G2256" i="1"/>
  <c r="F2257" i="1"/>
  <c r="G2257" i="1"/>
  <c r="F2258" i="1"/>
  <c r="G2258" i="1"/>
  <c r="F2259" i="1"/>
  <c r="G2259" i="1"/>
  <c r="F2260" i="1"/>
  <c r="G2260" i="1"/>
  <c r="F2261" i="1"/>
  <c r="G2261" i="1"/>
  <c r="F2262" i="1"/>
  <c r="G2262" i="1"/>
  <c r="F2263" i="1"/>
  <c r="G2263" i="1"/>
  <c r="F2264" i="1"/>
  <c r="G2264" i="1"/>
  <c r="F2265" i="1"/>
  <c r="G2265" i="1"/>
  <c r="F2266" i="1"/>
  <c r="G2266" i="1"/>
  <c r="F2267" i="1"/>
  <c r="G2267" i="1"/>
  <c r="F2268" i="1"/>
  <c r="G2268" i="1"/>
  <c r="F2269" i="1"/>
  <c r="G2269" i="1"/>
  <c r="F2270" i="1"/>
  <c r="G2270" i="1"/>
  <c r="F2271" i="1"/>
  <c r="G2271" i="1"/>
  <c r="F2272" i="1"/>
  <c r="G2272" i="1"/>
  <c r="F2273" i="1"/>
  <c r="G2273" i="1"/>
  <c r="F2274" i="1"/>
  <c r="G2274" i="1"/>
  <c r="F2275" i="1"/>
  <c r="G2275" i="1"/>
  <c r="F2276" i="1"/>
  <c r="G2276" i="1"/>
  <c r="F2277" i="1"/>
  <c r="G2277" i="1"/>
  <c r="F2278" i="1"/>
  <c r="G2278" i="1"/>
  <c r="F2279" i="1"/>
  <c r="G2279" i="1"/>
  <c r="F2280" i="1"/>
  <c r="G2280" i="1"/>
  <c r="F2281" i="1"/>
  <c r="G2281" i="1"/>
  <c r="F2282" i="1"/>
  <c r="G2282" i="1"/>
  <c r="F2283" i="1"/>
  <c r="G2283" i="1"/>
  <c r="F2284" i="1"/>
  <c r="G2284" i="1"/>
  <c r="F2285" i="1"/>
  <c r="G2285" i="1"/>
  <c r="F2286" i="1"/>
  <c r="G2286" i="1"/>
  <c r="F2287" i="1"/>
  <c r="G2287" i="1"/>
  <c r="F2288" i="1"/>
  <c r="G2288" i="1"/>
  <c r="F2289" i="1"/>
  <c r="G2289" i="1"/>
  <c r="F2290" i="1"/>
  <c r="G2290" i="1"/>
  <c r="F2291" i="1"/>
  <c r="G2291" i="1"/>
  <c r="F2292" i="1"/>
  <c r="G2292" i="1"/>
  <c r="F2293" i="1"/>
  <c r="G2293" i="1"/>
  <c r="F2294" i="1"/>
  <c r="G2294" i="1"/>
  <c r="F2295" i="1"/>
  <c r="G2295" i="1"/>
  <c r="F2296" i="1"/>
  <c r="G2296" i="1"/>
  <c r="F2297" i="1"/>
  <c r="G2297" i="1"/>
  <c r="F2298" i="1"/>
  <c r="G2298" i="1"/>
  <c r="F2299" i="1"/>
  <c r="G2299" i="1"/>
  <c r="F2300" i="1"/>
  <c r="G2300" i="1"/>
  <c r="F2301" i="1"/>
  <c r="G2301" i="1"/>
  <c r="F2302" i="1"/>
  <c r="G2302" i="1"/>
  <c r="F2303" i="1"/>
  <c r="G2303" i="1"/>
  <c r="F2304" i="1"/>
  <c r="G2304" i="1"/>
  <c r="F2305" i="1"/>
  <c r="G2305" i="1"/>
  <c r="F2306" i="1"/>
  <c r="G2306" i="1"/>
  <c r="F2307" i="1"/>
  <c r="G2307" i="1"/>
  <c r="F2308" i="1"/>
  <c r="G2308" i="1"/>
  <c r="F2309" i="1"/>
  <c r="G2309" i="1"/>
  <c r="F2310" i="1"/>
  <c r="G2310" i="1"/>
  <c r="F2311" i="1"/>
  <c r="G2311" i="1"/>
  <c r="F2312" i="1"/>
  <c r="G2312" i="1"/>
  <c r="F2313" i="1"/>
  <c r="G2313" i="1"/>
  <c r="F2314" i="1"/>
  <c r="G2314" i="1"/>
  <c r="F2315" i="1"/>
  <c r="G2315" i="1"/>
  <c r="F2316" i="1"/>
  <c r="G2316" i="1"/>
  <c r="F2317" i="1"/>
  <c r="G2317" i="1"/>
  <c r="F2318" i="1"/>
  <c r="G2318" i="1"/>
  <c r="F2319" i="1"/>
  <c r="G2319" i="1"/>
  <c r="F2320" i="1"/>
  <c r="G2320" i="1"/>
  <c r="F2321" i="1"/>
  <c r="G2321" i="1"/>
  <c r="F2322" i="1"/>
  <c r="G2322" i="1"/>
  <c r="F2323" i="1"/>
  <c r="G2323" i="1"/>
  <c r="F2324" i="1"/>
  <c r="G2324" i="1"/>
  <c r="F2325" i="1"/>
  <c r="G2325" i="1"/>
  <c r="F2326" i="1"/>
  <c r="G2326" i="1"/>
  <c r="F2327" i="1"/>
  <c r="G2327" i="1"/>
  <c r="F2328" i="1"/>
  <c r="G2328" i="1"/>
  <c r="F2329" i="1"/>
  <c r="G2329" i="1"/>
  <c r="F2330" i="1"/>
  <c r="G2330" i="1"/>
  <c r="F2331" i="1"/>
  <c r="G2331" i="1"/>
  <c r="F2332" i="1"/>
  <c r="G2332" i="1"/>
  <c r="F2333" i="1"/>
  <c r="G2333" i="1"/>
  <c r="F2334" i="1"/>
  <c r="G2334" i="1"/>
  <c r="F2335" i="1"/>
  <c r="G2335" i="1"/>
  <c r="F2336" i="1"/>
  <c r="G2336" i="1"/>
  <c r="F2337" i="1"/>
  <c r="G2337" i="1"/>
  <c r="F2338" i="1"/>
  <c r="G2338" i="1"/>
  <c r="F2339" i="1"/>
  <c r="G2339" i="1"/>
  <c r="F2340" i="1"/>
  <c r="G2340" i="1"/>
  <c r="F2341" i="1"/>
  <c r="G2341" i="1"/>
  <c r="F2342" i="1"/>
  <c r="G2342" i="1"/>
  <c r="F2343" i="1"/>
  <c r="G2343" i="1"/>
  <c r="F2344" i="1"/>
  <c r="G2344" i="1"/>
  <c r="F2345" i="1"/>
  <c r="G2345" i="1"/>
  <c r="F2346" i="1"/>
  <c r="G2346" i="1"/>
  <c r="F2347" i="1"/>
  <c r="G2347" i="1"/>
  <c r="F2348" i="1"/>
  <c r="G2348" i="1"/>
  <c r="F2349" i="1"/>
  <c r="G2349" i="1"/>
  <c r="F2350" i="1"/>
  <c r="G2350" i="1"/>
  <c r="F2351" i="1"/>
  <c r="G2351" i="1"/>
  <c r="F2352" i="1"/>
  <c r="G2352" i="1"/>
  <c r="F2353" i="1"/>
  <c r="G2353" i="1"/>
  <c r="F2354" i="1"/>
  <c r="G2354" i="1"/>
  <c r="F2355" i="1"/>
  <c r="G2355" i="1"/>
  <c r="F2356" i="1"/>
  <c r="G2356" i="1"/>
  <c r="F2357" i="1"/>
  <c r="G2357" i="1"/>
  <c r="F2358" i="1"/>
  <c r="G2358" i="1"/>
  <c r="F2359" i="1"/>
  <c r="G2359" i="1"/>
  <c r="F2360" i="1"/>
  <c r="G2360" i="1"/>
  <c r="F2361" i="1"/>
  <c r="G2361" i="1"/>
  <c r="F2362" i="1"/>
  <c r="G2362" i="1"/>
  <c r="F2363" i="1"/>
  <c r="G2363" i="1"/>
  <c r="F2364" i="1"/>
  <c r="G2364" i="1"/>
  <c r="F2365" i="1"/>
  <c r="G2365" i="1"/>
  <c r="F2366" i="1"/>
  <c r="G2366" i="1"/>
  <c r="F2367" i="1"/>
  <c r="G2367" i="1"/>
  <c r="F2368" i="1"/>
  <c r="G2368" i="1"/>
  <c r="F2369" i="1"/>
  <c r="G2369" i="1"/>
  <c r="F2370" i="1"/>
  <c r="G2370" i="1"/>
  <c r="F2371" i="1"/>
  <c r="G2371" i="1"/>
  <c r="F2372" i="1"/>
  <c r="G2372" i="1"/>
  <c r="F2373" i="1"/>
  <c r="G2373" i="1"/>
  <c r="F2374" i="1"/>
  <c r="G2374" i="1"/>
  <c r="F2375" i="1"/>
  <c r="G2375" i="1"/>
  <c r="F2376" i="1"/>
  <c r="G2376" i="1"/>
  <c r="F2377" i="1"/>
  <c r="G2377" i="1"/>
  <c r="F2378" i="1"/>
  <c r="G2378" i="1"/>
  <c r="F2379" i="1"/>
  <c r="G2379" i="1"/>
  <c r="F2380" i="1"/>
  <c r="G2380" i="1"/>
  <c r="F2381" i="1"/>
  <c r="G2381" i="1"/>
  <c r="F2382" i="1"/>
  <c r="G2382" i="1"/>
  <c r="F2383" i="1"/>
  <c r="G2383" i="1"/>
  <c r="F2384" i="1"/>
  <c r="G2384" i="1"/>
  <c r="F2385" i="1"/>
  <c r="G2385" i="1"/>
  <c r="F2386" i="1"/>
  <c r="G2386" i="1"/>
  <c r="F2387" i="1"/>
  <c r="G2387" i="1"/>
  <c r="F2388" i="1"/>
  <c r="G2388" i="1"/>
  <c r="F2389" i="1"/>
  <c r="G2389" i="1"/>
  <c r="F2390" i="1"/>
  <c r="G2390" i="1"/>
  <c r="F2391" i="1"/>
  <c r="G2391" i="1"/>
  <c r="F2392" i="1"/>
  <c r="G2392" i="1"/>
  <c r="F2393" i="1"/>
  <c r="G2393" i="1"/>
  <c r="F2394" i="1"/>
  <c r="G2394" i="1"/>
  <c r="F2395" i="1"/>
  <c r="G2395" i="1"/>
  <c r="F2396" i="1"/>
  <c r="G2396" i="1"/>
  <c r="F2397" i="1"/>
  <c r="G2397" i="1"/>
  <c r="F2398" i="1"/>
  <c r="G2398" i="1"/>
  <c r="F2399" i="1"/>
  <c r="G2399" i="1"/>
  <c r="F2400" i="1"/>
  <c r="G2400" i="1"/>
  <c r="F2401" i="1"/>
  <c r="G2401" i="1"/>
  <c r="F2402" i="1"/>
  <c r="G2402" i="1"/>
  <c r="F2403" i="1"/>
  <c r="G2403" i="1"/>
  <c r="F2404" i="1"/>
  <c r="G2404" i="1"/>
  <c r="F2405" i="1"/>
  <c r="G2405" i="1"/>
  <c r="F2406" i="1"/>
  <c r="G2406" i="1"/>
  <c r="F2407" i="1"/>
  <c r="G2407" i="1"/>
  <c r="F2408" i="1"/>
  <c r="G2408" i="1"/>
  <c r="F2409" i="1"/>
  <c r="G2409" i="1"/>
  <c r="F2410" i="1"/>
  <c r="G2410" i="1"/>
  <c r="F2411" i="1"/>
  <c r="G2411" i="1"/>
  <c r="F2412" i="1"/>
  <c r="G2412" i="1"/>
  <c r="F2413" i="1"/>
  <c r="G2413" i="1"/>
  <c r="F2414" i="1"/>
  <c r="G2414" i="1"/>
  <c r="F2415" i="1"/>
  <c r="G2415" i="1"/>
  <c r="F2416" i="1"/>
  <c r="G2416" i="1"/>
  <c r="F2417" i="1"/>
  <c r="G2417" i="1"/>
  <c r="F2418" i="1"/>
  <c r="G2418" i="1"/>
  <c r="F2419" i="1"/>
  <c r="G2419" i="1"/>
  <c r="F2420" i="1"/>
  <c r="G2420" i="1"/>
  <c r="F2421" i="1"/>
  <c r="G2421" i="1"/>
  <c r="F2422" i="1"/>
  <c r="G2422" i="1"/>
  <c r="F2423" i="1"/>
  <c r="G2423" i="1"/>
  <c r="F2424" i="1"/>
  <c r="G2424" i="1"/>
  <c r="F2425" i="1"/>
  <c r="G2425" i="1"/>
  <c r="F2426" i="1"/>
  <c r="G2426" i="1"/>
  <c r="F2427" i="1"/>
  <c r="G2427" i="1"/>
  <c r="F2428" i="1"/>
  <c r="G2428" i="1"/>
  <c r="F2429" i="1"/>
  <c r="G2429" i="1"/>
  <c r="F2430" i="1"/>
  <c r="G2430" i="1"/>
  <c r="F2431" i="1"/>
  <c r="G2431" i="1"/>
  <c r="F2432" i="1"/>
  <c r="G2432" i="1"/>
  <c r="F2433" i="1"/>
  <c r="G2433" i="1"/>
  <c r="F2434" i="1"/>
  <c r="G2434" i="1"/>
  <c r="F2435" i="1"/>
  <c r="G2435" i="1"/>
  <c r="F2436" i="1"/>
  <c r="G2436" i="1"/>
  <c r="F2437" i="1"/>
  <c r="G2437" i="1"/>
  <c r="F2438" i="1"/>
  <c r="G2438" i="1"/>
  <c r="F2439" i="1"/>
  <c r="G2439" i="1"/>
  <c r="F2440" i="1"/>
  <c r="G2440" i="1"/>
  <c r="F2441" i="1"/>
  <c r="G2441" i="1"/>
  <c r="F2442" i="1"/>
  <c r="G2442" i="1"/>
  <c r="F2443" i="1"/>
  <c r="G2443" i="1"/>
  <c r="F2444" i="1"/>
  <c r="G2444" i="1"/>
  <c r="F2445" i="1"/>
  <c r="G2445" i="1"/>
  <c r="F2446" i="1"/>
  <c r="G2446" i="1"/>
  <c r="F2447" i="1"/>
  <c r="G2447" i="1"/>
  <c r="F2448" i="1"/>
  <c r="G2448" i="1"/>
  <c r="F2449" i="1"/>
  <c r="G2449" i="1"/>
  <c r="F2450" i="1"/>
  <c r="G2450" i="1"/>
  <c r="F2451" i="1"/>
  <c r="G2451" i="1"/>
  <c r="F2452" i="1"/>
  <c r="G2452" i="1"/>
  <c r="F2453" i="1"/>
  <c r="G2453" i="1"/>
  <c r="F2454" i="1"/>
  <c r="G2454" i="1"/>
  <c r="F2455" i="1"/>
  <c r="G2455" i="1"/>
  <c r="F2456" i="1"/>
  <c r="G2456" i="1"/>
  <c r="F2457" i="1"/>
  <c r="G2457" i="1"/>
  <c r="F2458" i="1"/>
  <c r="G2458" i="1"/>
  <c r="F2459" i="1"/>
  <c r="G2459" i="1"/>
  <c r="F2460" i="1"/>
  <c r="G2460" i="1"/>
  <c r="F2461" i="1"/>
  <c r="G2461" i="1"/>
  <c r="F2462" i="1"/>
  <c r="G2462" i="1"/>
  <c r="F2463" i="1"/>
  <c r="G2463" i="1"/>
  <c r="F2464" i="1"/>
  <c r="G2464" i="1"/>
  <c r="F2465" i="1"/>
  <c r="G2465" i="1"/>
  <c r="F2466" i="1"/>
  <c r="G2466" i="1"/>
  <c r="F2467" i="1"/>
  <c r="G2467" i="1"/>
  <c r="F2468" i="1"/>
  <c r="G2468" i="1"/>
  <c r="F2469" i="1"/>
  <c r="G2469" i="1"/>
  <c r="F2470" i="1"/>
  <c r="G2470" i="1"/>
  <c r="F2471" i="1"/>
  <c r="G2471" i="1"/>
  <c r="F2472" i="1"/>
  <c r="G2472" i="1"/>
  <c r="F2473" i="1"/>
  <c r="G2473" i="1"/>
  <c r="F2474" i="1"/>
  <c r="G2474" i="1"/>
  <c r="F2475" i="1"/>
  <c r="G2475" i="1"/>
  <c r="F2476" i="1"/>
  <c r="G2476" i="1"/>
  <c r="F2477" i="1"/>
  <c r="G2477" i="1"/>
  <c r="F2478" i="1"/>
  <c r="G2478" i="1"/>
  <c r="F2479" i="1"/>
  <c r="G2479" i="1"/>
  <c r="F2480" i="1"/>
  <c r="G2480" i="1"/>
  <c r="F2481" i="1"/>
  <c r="G2481" i="1"/>
  <c r="F2482" i="1"/>
  <c r="G2482" i="1"/>
  <c r="F2483" i="1"/>
  <c r="G2483" i="1"/>
  <c r="F2484" i="1"/>
  <c r="G2484" i="1"/>
  <c r="F2485" i="1"/>
  <c r="G2485" i="1"/>
  <c r="F2486" i="1"/>
  <c r="G2486" i="1"/>
  <c r="F2487" i="1"/>
  <c r="G2487" i="1"/>
  <c r="F2488" i="1"/>
  <c r="G2488" i="1"/>
  <c r="F2489" i="1"/>
  <c r="G2489" i="1"/>
  <c r="F2490" i="1"/>
  <c r="G2490" i="1"/>
  <c r="F2491" i="1"/>
  <c r="G2491" i="1"/>
  <c r="F2492" i="1"/>
  <c r="G2492" i="1"/>
  <c r="F2493" i="1"/>
  <c r="G2493" i="1"/>
  <c r="F2494" i="1"/>
  <c r="G2494" i="1"/>
  <c r="F2495" i="1"/>
  <c r="G2495" i="1"/>
  <c r="F2496" i="1"/>
  <c r="G2496" i="1"/>
  <c r="F2497" i="1"/>
  <c r="G2497" i="1"/>
  <c r="F2498" i="1"/>
  <c r="G2498" i="1"/>
  <c r="F2499" i="1"/>
  <c r="G2499" i="1"/>
  <c r="F2500" i="1"/>
  <c r="G2500" i="1"/>
  <c r="F2501" i="1"/>
  <c r="G2501" i="1"/>
  <c r="F2502" i="1"/>
  <c r="G2502" i="1"/>
  <c r="F2503" i="1"/>
  <c r="G2503" i="1"/>
  <c r="F2504" i="1"/>
  <c r="G2504" i="1"/>
  <c r="F2505" i="1"/>
  <c r="G2505" i="1"/>
  <c r="F2506" i="1"/>
  <c r="G2506" i="1"/>
  <c r="F2507" i="1"/>
  <c r="G2507" i="1"/>
  <c r="F2508" i="1"/>
  <c r="G2508" i="1"/>
  <c r="F2509" i="1"/>
  <c r="G2509" i="1"/>
  <c r="F2510" i="1"/>
  <c r="G2510" i="1"/>
  <c r="F2511" i="1"/>
  <c r="G2511" i="1"/>
  <c r="F2512" i="1"/>
  <c r="G2512" i="1"/>
  <c r="F2513" i="1"/>
  <c r="G2513" i="1"/>
  <c r="F2514" i="1"/>
  <c r="G2514" i="1"/>
  <c r="F2515" i="1"/>
  <c r="G2515" i="1"/>
  <c r="F2516" i="1"/>
  <c r="G2516" i="1"/>
  <c r="F2517" i="1"/>
  <c r="G2517" i="1"/>
  <c r="F2518" i="1"/>
  <c r="G2518" i="1"/>
  <c r="F2519" i="1"/>
  <c r="G2519" i="1"/>
  <c r="F2520" i="1"/>
  <c r="G2520" i="1"/>
  <c r="F2521" i="1"/>
  <c r="G2521" i="1"/>
  <c r="F2522" i="1"/>
  <c r="G2522" i="1"/>
  <c r="F2523" i="1"/>
  <c r="G2523" i="1"/>
  <c r="F2524" i="1"/>
  <c r="G2524" i="1"/>
  <c r="F2525" i="1"/>
  <c r="G2525" i="1"/>
  <c r="F2526" i="1"/>
  <c r="G2526" i="1"/>
  <c r="F2527" i="1"/>
  <c r="G2527" i="1"/>
  <c r="F2528" i="1"/>
  <c r="G2528" i="1"/>
  <c r="F2529" i="1"/>
  <c r="G2529" i="1"/>
  <c r="F2530" i="1"/>
  <c r="G2530" i="1"/>
  <c r="F2531" i="1"/>
  <c r="G2531" i="1"/>
  <c r="F2532" i="1"/>
  <c r="G2532" i="1"/>
  <c r="F2533" i="1"/>
  <c r="G2533" i="1"/>
  <c r="F2534" i="1"/>
  <c r="G2534" i="1"/>
  <c r="F2535" i="1"/>
  <c r="G2535" i="1"/>
  <c r="F2536" i="1"/>
  <c r="G2536" i="1"/>
  <c r="F2537" i="1"/>
  <c r="G2537" i="1"/>
  <c r="F2538" i="1"/>
  <c r="G2538" i="1"/>
  <c r="F2539" i="1"/>
  <c r="G2539" i="1"/>
  <c r="F2540" i="1"/>
  <c r="G2540" i="1"/>
  <c r="F2541" i="1"/>
  <c r="G2541" i="1"/>
  <c r="F2542" i="1"/>
  <c r="G2542" i="1"/>
  <c r="F2543" i="1"/>
  <c r="G2543" i="1"/>
  <c r="F2544" i="1"/>
  <c r="G2544" i="1"/>
  <c r="F2545" i="1"/>
  <c r="G2545" i="1"/>
  <c r="F2546" i="1"/>
  <c r="G2546" i="1"/>
  <c r="F2547" i="1"/>
  <c r="G2547" i="1"/>
  <c r="F2548" i="1"/>
  <c r="G2548" i="1"/>
  <c r="F2549" i="1"/>
  <c r="G2549" i="1"/>
  <c r="F2550" i="1"/>
  <c r="G2550" i="1"/>
  <c r="F2551" i="1"/>
  <c r="G2551" i="1"/>
  <c r="F2552" i="1"/>
  <c r="G2552" i="1"/>
  <c r="F2553" i="1"/>
  <c r="G2553" i="1"/>
  <c r="F2554" i="1"/>
  <c r="G2554" i="1"/>
  <c r="F2555" i="1"/>
  <c r="G2555" i="1"/>
  <c r="F2556" i="1"/>
  <c r="G2556" i="1"/>
  <c r="F2557" i="1"/>
  <c r="G2557" i="1"/>
  <c r="F2558" i="1"/>
  <c r="G2558" i="1"/>
  <c r="F2559" i="1"/>
  <c r="G2559" i="1"/>
  <c r="F2560" i="1"/>
  <c r="G2560" i="1"/>
  <c r="F2561" i="1"/>
  <c r="G2561" i="1"/>
  <c r="F2562" i="1"/>
  <c r="G2562" i="1"/>
  <c r="F2563" i="1"/>
  <c r="G2563" i="1"/>
  <c r="F2564" i="1"/>
  <c r="G2564" i="1"/>
  <c r="F2565" i="1"/>
  <c r="G2565" i="1"/>
  <c r="F2566" i="1"/>
  <c r="G2566" i="1"/>
  <c r="F2567" i="1"/>
  <c r="G2567" i="1"/>
  <c r="F2568" i="1"/>
  <c r="G2568" i="1"/>
  <c r="F2569" i="1"/>
  <c r="G2569" i="1"/>
  <c r="F2570" i="1"/>
  <c r="G2570" i="1"/>
  <c r="F2571" i="1"/>
  <c r="G2571" i="1"/>
  <c r="F2572" i="1"/>
  <c r="G2572" i="1"/>
  <c r="F2573" i="1"/>
  <c r="G2573" i="1"/>
  <c r="F2574" i="1"/>
  <c r="G2574" i="1"/>
  <c r="F2575" i="1"/>
  <c r="G2575" i="1"/>
  <c r="F2576" i="1"/>
  <c r="G2576" i="1"/>
  <c r="F2577" i="1"/>
  <c r="G2577" i="1"/>
  <c r="F2578" i="1"/>
  <c r="G2578" i="1"/>
  <c r="F2579" i="1"/>
  <c r="G2579" i="1"/>
  <c r="F2580" i="1"/>
  <c r="G2580" i="1"/>
  <c r="F2581" i="1"/>
  <c r="G2581" i="1"/>
  <c r="F2582" i="1"/>
  <c r="G2582" i="1"/>
  <c r="F2583" i="1"/>
  <c r="G2583" i="1"/>
  <c r="F2584" i="1"/>
  <c r="G2584" i="1"/>
  <c r="F2585" i="1"/>
  <c r="G2585" i="1"/>
  <c r="F2586" i="1"/>
  <c r="G2586" i="1"/>
  <c r="F2587" i="1"/>
  <c r="G2587" i="1"/>
  <c r="F2588" i="1"/>
  <c r="G2588" i="1"/>
  <c r="F2589" i="1"/>
  <c r="G2589" i="1"/>
  <c r="F2590" i="1"/>
  <c r="G2590" i="1"/>
  <c r="F2591" i="1"/>
  <c r="G2591" i="1"/>
  <c r="F2592" i="1"/>
  <c r="G2592" i="1"/>
  <c r="F2593" i="1"/>
  <c r="G2593" i="1"/>
  <c r="F2594" i="1"/>
  <c r="G2594" i="1"/>
  <c r="F2595" i="1"/>
  <c r="G2595" i="1"/>
  <c r="F2596" i="1"/>
  <c r="G2596" i="1"/>
  <c r="F2597" i="1"/>
  <c r="G2597" i="1"/>
  <c r="F2598" i="1"/>
  <c r="G2598" i="1"/>
  <c r="F2599" i="1"/>
  <c r="G2599" i="1"/>
  <c r="F2600" i="1"/>
  <c r="G2600" i="1"/>
  <c r="F2601" i="1"/>
  <c r="G2601" i="1"/>
  <c r="F2602" i="1"/>
  <c r="G2602" i="1"/>
  <c r="F2603" i="1"/>
  <c r="G2603" i="1"/>
  <c r="F2604" i="1"/>
  <c r="G2604" i="1"/>
  <c r="F2605" i="1"/>
  <c r="G2605" i="1"/>
  <c r="F2606" i="1"/>
  <c r="G2606" i="1"/>
  <c r="F2607" i="1"/>
  <c r="G2607" i="1"/>
  <c r="F2608" i="1"/>
  <c r="G2608" i="1"/>
  <c r="F2609" i="1"/>
  <c r="G2609" i="1"/>
  <c r="F2610" i="1"/>
  <c r="G2610" i="1"/>
  <c r="F2611" i="1"/>
  <c r="G2611" i="1"/>
  <c r="F2612" i="1"/>
  <c r="G2612" i="1"/>
  <c r="F2613" i="1"/>
  <c r="G2613" i="1"/>
  <c r="F2614" i="1"/>
  <c r="G2614" i="1"/>
  <c r="F2615" i="1"/>
  <c r="G2615" i="1"/>
  <c r="F2616" i="1"/>
  <c r="G2616" i="1"/>
  <c r="F2617" i="1"/>
  <c r="G2617" i="1"/>
  <c r="F2618" i="1"/>
  <c r="G2618" i="1"/>
  <c r="F2619" i="1"/>
  <c r="G2619" i="1"/>
  <c r="F2620" i="1"/>
  <c r="G2620" i="1"/>
  <c r="F2621" i="1"/>
  <c r="G2621" i="1"/>
  <c r="F2622" i="1"/>
  <c r="G2622" i="1"/>
  <c r="F2623" i="1"/>
  <c r="G2623" i="1"/>
  <c r="F2624" i="1"/>
  <c r="G2624" i="1"/>
  <c r="F2625" i="1"/>
  <c r="G2625" i="1"/>
  <c r="F2626" i="1"/>
  <c r="G2626" i="1"/>
  <c r="F2627" i="1"/>
  <c r="G2627" i="1"/>
  <c r="F2628" i="1"/>
  <c r="G2628" i="1"/>
  <c r="F2629" i="1"/>
  <c r="G2629" i="1"/>
  <c r="F2630" i="1"/>
  <c r="G2630" i="1"/>
  <c r="F2631" i="1"/>
  <c r="G2631" i="1"/>
  <c r="F2632" i="1"/>
  <c r="G2632" i="1"/>
  <c r="F2633" i="1"/>
  <c r="G2633" i="1"/>
  <c r="F2634" i="1"/>
  <c r="G2634" i="1"/>
  <c r="F2635" i="1"/>
  <c r="G2635" i="1"/>
  <c r="F2636" i="1"/>
  <c r="G2636" i="1"/>
  <c r="F2637" i="1"/>
  <c r="G2637" i="1"/>
  <c r="F2638" i="1"/>
  <c r="G2638" i="1"/>
  <c r="F2639" i="1"/>
  <c r="G2639" i="1"/>
  <c r="F2640" i="1"/>
  <c r="G2640" i="1"/>
  <c r="F2641" i="1"/>
  <c r="G2641" i="1"/>
  <c r="F2642" i="1"/>
  <c r="G2642" i="1"/>
  <c r="F2643" i="1"/>
  <c r="G2643" i="1"/>
  <c r="F2644" i="1"/>
  <c r="G2644" i="1"/>
  <c r="F2645" i="1"/>
  <c r="G2645" i="1"/>
  <c r="F2646" i="1"/>
  <c r="G2646" i="1"/>
  <c r="F2647" i="1"/>
  <c r="G2647" i="1"/>
  <c r="F2648" i="1"/>
  <c r="G2648" i="1"/>
  <c r="F2649" i="1"/>
  <c r="G2649" i="1"/>
  <c r="F2650" i="1"/>
  <c r="G2650" i="1"/>
  <c r="F2651" i="1"/>
  <c r="G2651" i="1"/>
  <c r="F2652" i="1"/>
  <c r="G2652" i="1"/>
  <c r="F2653" i="1"/>
  <c r="G2653" i="1"/>
  <c r="F2654" i="1"/>
  <c r="G2654" i="1"/>
  <c r="F2655" i="1"/>
  <c r="G2655" i="1"/>
  <c r="F2656" i="1"/>
  <c r="G2656" i="1"/>
  <c r="F2657" i="1"/>
  <c r="G2657" i="1"/>
  <c r="F2658" i="1"/>
  <c r="G2658" i="1"/>
  <c r="F2659" i="1"/>
  <c r="G2659" i="1"/>
  <c r="F2660" i="1"/>
  <c r="G2660" i="1"/>
  <c r="F2661" i="1"/>
  <c r="G2661" i="1"/>
  <c r="F2662" i="1"/>
  <c r="G2662" i="1"/>
  <c r="F2663" i="1"/>
  <c r="G2663" i="1"/>
  <c r="F2664" i="1"/>
  <c r="G2664" i="1"/>
  <c r="F2665" i="1"/>
  <c r="G2665" i="1"/>
  <c r="F2666" i="1"/>
  <c r="G2666" i="1"/>
  <c r="F2667" i="1"/>
  <c r="G2667" i="1"/>
  <c r="F2668" i="1"/>
  <c r="G2668" i="1"/>
  <c r="F2669" i="1"/>
  <c r="G2669" i="1"/>
  <c r="F2670" i="1"/>
  <c r="G2670" i="1"/>
  <c r="F2671" i="1"/>
  <c r="G2671" i="1"/>
  <c r="F2672" i="1"/>
  <c r="G2672" i="1"/>
  <c r="F2673" i="1"/>
  <c r="G2673" i="1"/>
  <c r="F2674" i="1"/>
  <c r="G2674" i="1"/>
  <c r="F2675" i="1"/>
  <c r="G2675" i="1"/>
  <c r="F2676" i="1"/>
  <c r="G2676" i="1"/>
  <c r="F2677" i="1"/>
  <c r="G2677" i="1"/>
  <c r="F2678" i="1"/>
  <c r="G2678" i="1"/>
  <c r="F2679" i="1"/>
  <c r="G2679" i="1"/>
  <c r="F2680" i="1"/>
  <c r="G2680" i="1"/>
  <c r="F2681" i="1"/>
  <c r="G2681" i="1"/>
  <c r="F2682" i="1"/>
  <c r="G2682" i="1"/>
  <c r="F2683" i="1"/>
  <c r="G2683" i="1"/>
  <c r="F2684" i="1"/>
  <c r="G2684" i="1"/>
  <c r="F2685" i="1"/>
  <c r="G2685" i="1"/>
  <c r="F2686" i="1"/>
  <c r="G2686" i="1"/>
  <c r="F2687" i="1"/>
  <c r="G2687" i="1"/>
  <c r="F2688" i="1"/>
  <c r="G2688" i="1"/>
  <c r="F2689" i="1"/>
  <c r="G2689" i="1"/>
  <c r="F2690" i="1"/>
  <c r="G2690" i="1"/>
  <c r="F2691" i="1"/>
  <c r="G2691" i="1"/>
  <c r="F2692" i="1"/>
  <c r="G2692" i="1"/>
  <c r="F2693" i="1"/>
  <c r="G2693" i="1"/>
  <c r="F2694" i="1"/>
  <c r="G2694" i="1"/>
  <c r="F2695" i="1"/>
  <c r="G2695" i="1"/>
  <c r="F2696" i="1"/>
  <c r="G2696" i="1"/>
  <c r="F2697" i="1"/>
  <c r="G2697" i="1"/>
  <c r="F2698" i="1"/>
  <c r="G2698" i="1"/>
  <c r="F2699" i="1"/>
  <c r="G2699" i="1"/>
  <c r="F2700" i="1"/>
  <c r="G2700" i="1"/>
  <c r="F2701" i="1"/>
  <c r="G2701" i="1"/>
  <c r="F2702" i="1"/>
  <c r="G2702" i="1"/>
  <c r="F2703" i="1"/>
  <c r="G2703" i="1"/>
  <c r="F2704" i="1"/>
  <c r="G2704" i="1"/>
  <c r="F2705" i="1"/>
  <c r="G2705" i="1"/>
  <c r="F2706" i="1"/>
  <c r="G2706" i="1"/>
  <c r="F2707" i="1"/>
  <c r="G2707" i="1"/>
  <c r="F2708" i="1"/>
  <c r="G2708" i="1"/>
  <c r="F2709" i="1"/>
  <c r="G2709" i="1"/>
  <c r="F2710" i="1"/>
  <c r="G2710" i="1"/>
  <c r="F2711" i="1"/>
  <c r="G2711" i="1"/>
  <c r="F2712" i="1"/>
  <c r="G2712" i="1"/>
  <c r="F2713" i="1"/>
  <c r="G2713" i="1"/>
  <c r="F2714" i="1"/>
  <c r="G2714" i="1"/>
  <c r="F2715" i="1"/>
  <c r="G2715" i="1"/>
  <c r="F2716" i="1"/>
  <c r="G2716" i="1"/>
  <c r="F2717" i="1"/>
  <c r="G2717" i="1"/>
  <c r="F2718" i="1"/>
  <c r="G2718" i="1"/>
  <c r="F2719" i="1"/>
  <c r="G2719" i="1"/>
  <c r="F2720" i="1"/>
  <c r="G2720" i="1"/>
  <c r="F2721" i="1"/>
  <c r="G2721" i="1"/>
  <c r="F2722" i="1"/>
  <c r="G2722" i="1"/>
  <c r="F2723" i="1"/>
  <c r="G2723" i="1"/>
  <c r="F2724" i="1"/>
  <c r="G2724" i="1"/>
  <c r="F2725" i="1"/>
  <c r="G2725" i="1"/>
  <c r="F2726" i="1"/>
  <c r="G2726" i="1"/>
  <c r="F2727" i="1"/>
  <c r="G2727" i="1"/>
  <c r="F2728" i="1"/>
  <c r="G2728" i="1"/>
  <c r="F2729" i="1"/>
  <c r="G2729" i="1"/>
  <c r="F2730" i="1"/>
  <c r="G2730" i="1"/>
  <c r="F2731" i="1"/>
  <c r="G2731" i="1"/>
  <c r="F2732" i="1"/>
  <c r="G2732" i="1"/>
  <c r="F2733" i="1"/>
  <c r="G2733" i="1"/>
  <c r="F2734" i="1"/>
  <c r="G2734" i="1"/>
  <c r="F2735" i="1"/>
  <c r="G2735" i="1"/>
  <c r="F2736" i="1"/>
  <c r="G2736" i="1"/>
  <c r="F2737" i="1"/>
  <c r="G2737" i="1"/>
  <c r="F2738" i="1"/>
  <c r="G2738" i="1"/>
  <c r="F2739" i="1"/>
  <c r="G2739" i="1"/>
  <c r="F2740" i="1"/>
  <c r="G2740" i="1"/>
  <c r="F2741" i="1"/>
  <c r="G2741" i="1"/>
  <c r="F2742" i="1"/>
  <c r="G2742" i="1"/>
  <c r="F2743" i="1"/>
  <c r="G2743" i="1"/>
  <c r="F2744" i="1"/>
  <c r="G2744" i="1"/>
  <c r="F2745" i="1"/>
  <c r="G2745" i="1"/>
  <c r="F2746" i="1"/>
  <c r="G2746" i="1"/>
  <c r="F2747" i="1"/>
  <c r="G2747" i="1"/>
  <c r="F2748" i="1"/>
  <c r="G2748" i="1"/>
  <c r="F2749" i="1"/>
  <c r="G2749" i="1"/>
  <c r="F2750" i="1"/>
  <c r="G2750" i="1"/>
  <c r="F2751" i="1"/>
  <c r="G2751" i="1"/>
  <c r="F2752" i="1"/>
  <c r="G2752" i="1"/>
  <c r="F2753" i="1"/>
  <c r="G2753" i="1"/>
  <c r="F2754" i="1"/>
  <c r="G2754" i="1"/>
  <c r="F2755" i="1"/>
  <c r="G2755" i="1"/>
  <c r="F2756" i="1"/>
  <c r="G2756" i="1"/>
  <c r="F2757" i="1"/>
  <c r="G2757" i="1"/>
  <c r="F2758" i="1"/>
  <c r="G2758" i="1"/>
  <c r="F2759" i="1"/>
  <c r="G2759" i="1"/>
  <c r="F2760" i="1"/>
  <c r="G2760" i="1"/>
  <c r="F2761" i="1"/>
  <c r="G2761" i="1"/>
  <c r="F2762" i="1"/>
  <c r="G2762" i="1"/>
  <c r="F2763" i="1"/>
  <c r="G2763" i="1"/>
  <c r="F2764" i="1"/>
  <c r="G2764" i="1"/>
  <c r="F2765" i="1"/>
  <c r="G2765" i="1"/>
  <c r="F2766" i="1"/>
  <c r="G2766" i="1"/>
  <c r="F2767" i="1"/>
  <c r="G2767" i="1"/>
  <c r="F2768" i="1"/>
  <c r="G2768" i="1"/>
  <c r="F2769" i="1"/>
  <c r="G2769" i="1"/>
  <c r="F2770" i="1"/>
  <c r="G2770" i="1"/>
  <c r="F2771" i="1"/>
  <c r="G2771" i="1"/>
  <c r="F2772" i="1"/>
  <c r="G2772" i="1"/>
  <c r="F2773" i="1"/>
  <c r="G2773" i="1"/>
  <c r="F2774" i="1"/>
  <c r="G2774" i="1"/>
  <c r="F2775" i="1"/>
  <c r="G2775" i="1"/>
  <c r="F2776" i="1"/>
  <c r="G2776" i="1"/>
  <c r="F2777" i="1"/>
  <c r="G2777" i="1"/>
  <c r="F2778" i="1"/>
  <c r="G2778" i="1"/>
  <c r="F2779" i="1"/>
  <c r="G2779" i="1"/>
  <c r="F2780" i="1"/>
  <c r="G2780" i="1"/>
  <c r="F2781" i="1"/>
  <c r="G2781" i="1"/>
  <c r="F2782" i="1"/>
  <c r="G2782" i="1"/>
  <c r="F2783" i="1"/>
  <c r="G2783" i="1"/>
  <c r="F2784" i="1"/>
  <c r="G2784" i="1"/>
  <c r="F2785" i="1"/>
  <c r="G2785" i="1"/>
  <c r="F2786" i="1"/>
  <c r="G2786" i="1"/>
  <c r="F2787" i="1"/>
  <c r="G2787" i="1"/>
  <c r="F2788" i="1"/>
  <c r="G2788" i="1"/>
  <c r="F2789" i="1"/>
  <c r="G2789" i="1"/>
  <c r="F2790" i="1"/>
  <c r="G2790" i="1"/>
  <c r="F2791" i="1"/>
  <c r="G2791" i="1"/>
  <c r="F2792" i="1"/>
  <c r="G2792" i="1"/>
  <c r="F2793" i="1"/>
  <c r="G2793" i="1"/>
  <c r="F2794" i="1"/>
  <c r="G2794" i="1"/>
  <c r="F2795" i="1"/>
  <c r="G2795" i="1"/>
  <c r="F2796" i="1"/>
  <c r="G2796" i="1"/>
  <c r="F2797" i="1"/>
  <c r="G2797" i="1"/>
  <c r="F2798" i="1"/>
  <c r="G2798" i="1"/>
  <c r="F2799" i="1"/>
  <c r="G2799" i="1"/>
  <c r="F2800" i="1"/>
  <c r="G2800" i="1"/>
  <c r="F2801" i="1"/>
  <c r="G2801" i="1"/>
  <c r="F2802" i="1"/>
  <c r="G2802" i="1"/>
  <c r="F2803" i="1"/>
  <c r="G2803" i="1"/>
  <c r="F2804" i="1"/>
  <c r="G2804" i="1"/>
  <c r="F2805" i="1"/>
  <c r="G2805" i="1"/>
  <c r="F2806" i="1"/>
  <c r="G2806" i="1"/>
  <c r="F2807" i="1"/>
  <c r="G2807" i="1"/>
  <c r="F2808" i="1"/>
  <c r="G2808" i="1"/>
  <c r="F2809" i="1"/>
  <c r="G2809" i="1"/>
  <c r="F2810" i="1"/>
  <c r="G2810" i="1"/>
  <c r="F2811" i="1"/>
  <c r="G2811" i="1"/>
  <c r="F2812" i="1"/>
  <c r="G2812" i="1"/>
  <c r="F2813" i="1"/>
  <c r="G2813" i="1"/>
  <c r="F2814" i="1"/>
  <c r="G2814" i="1"/>
  <c r="F2815" i="1"/>
  <c r="G2815" i="1"/>
  <c r="F2816" i="1"/>
  <c r="G2816" i="1"/>
  <c r="F2817" i="1"/>
  <c r="G2817" i="1"/>
  <c r="F2818" i="1"/>
  <c r="G2818" i="1"/>
  <c r="F2819" i="1"/>
  <c r="G2819" i="1"/>
  <c r="F2820" i="1"/>
  <c r="G2820" i="1"/>
  <c r="F2821" i="1"/>
  <c r="G2821" i="1"/>
  <c r="F2822" i="1"/>
  <c r="G2822" i="1"/>
  <c r="F2823" i="1"/>
  <c r="G2823" i="1"/>
  <c r="F2824" i="1"/>
  <c r="G2824" i="1"/>
  <c r="F2825" i="1"/>
  <c r="G2825" i="1"/>
  <c r="F2826" i="1"/>
  <c r="G2826" i="1"/>
  <c r="F2827" i="1"/>
  <c r="G2827" i="1"/>
  <c r="F2828" i="1"/>
  <c r="G2828" i="1"/>
  <c r="F2829" i="1"/>
  <c r="G2829" i="1"/>
  <c r="F2830" i="1"/>
  <c r="G2830" i="1"/>
  <c r="F2831" i="1"/>
  <c r="G2831" i="1"/>
  <c r="F2832" i="1"/>
  <c r="G2832" i="1"/>
  <c r="F2833" i="1"/>
  <c r="G2833" i="1"/>
  <c r="F2834" i="1"/>
  <c r="G2834" i="1"/>
  <c r="F2835" i="1"/>
  <c r="G2835" i="1"/>
  <c r="F2836" i="1"/>
  <c r="G2836" i="1"/>
  <c r="F2837" i="1"/>
  <c r="G2837" i="1"/>
  <c r="F2838" i="1"/>
  <c r="G2838" i="1"/>
  <c r="F2839" i="1"/>
  <c r="G2839" i="1"/>
  <c r="F2840" i="1"/>
  <c r="G2840" i="1"/>
  <c r="F2841" i="1"/>
  <c r="G2841" i="1"/>
  <c r="F2842" i="1"/>
  <c r="G2842" i="1"/>
  <c r="F2843" i="1"/>
  <c r="G2843" i="1"/>
  <c r="F2844" i="1"/>
  <c r="G2844" i="1"/>
  <c r="F2845" i="1"/>
  <c r="G2845" i="1"/>
  <c r="F2846" i="1"/>
  <c r="G2846" i="1"/>
  <c r="F2847" i="1"/>
  <c r="G2847" i="1"/>
  <c r="F2848" i="1"/>
  <c r="G2848" i="1"/>
  <c r="F2849" i="1"/>
  <c r="G2849" i="1"/>
  <c r="F2850" i="1"/>
  <c r="G2850" i="1"/>
  <c r="F2851" i="1"/>
  <c r="G2851" i="1"/>
  <c r="F2852" i="1"/>
  <c r="G2852" i="1"/>
  <c r="F2853" i="1"/>
  <c r="G2853" i="1"/>
  <c r="F2854" i="1"/>
  <c r="G2854" i="1"/>
  <c r="F2855" i="1"/>
  <c r="G2855" i="1"/>
  <c r="F2856" i="1"/>
  <c r="G2856" i="1"/>
  <c r="F2857" i="1"/>
  <c r="G2857" i="1"/>
  <c r="F2858" i="1"/>
  <c r="G2858" i="1"/>
  <c r="F2859" i="1"/>
  <c r="G2859" i="1"/>
  <c r="F2860" i="1"/>
  <c r="G2860" i="1"/>
  <c r="F2861" i="1"/>
  <c r="G2861" i="1"/>
  <c r="F2862" i="1"/>
  <c r="G2862" i="1"/>
  <c r="F2863" i="1"/>
  <c r="G2863" i="1"/>
  <c r="F2864" i="1"/>
  <c r="G2864" i="1"/>
  <c r="F2865" i="1"/>
  <c r="G2865" i="1"/>
  <c r="F2866" i="1"/>
  <c r="G2866" i="1"/>
  <c r="F2867" i="1"/>
  <c r="G2867" i="1"/>
  <c r="F2868" i="1"/>
  <c r="G2868" i="1"/>
  <c r="F2869" i="1"/>
  <c r="G2869" i="1"/>
  <c r="F2870" i="1"/>
  <c r="G2870" i="1"/>
  <c r="F2871" i="1"/>
  <c r="G2871" i="1"/>
  <c r="F2872" i="1"/>
  <c r="G2872" i="1"/>
  <c r="F2873" i="1"/>
  <c r="G2873" i="1"/>
  <c r="F2874" i="1"/>
  <c r="G2874" i="1"/>
  <c r="F2875" i="1"/>
  <c r="G2875" i="1"/>
  <c r="F2876" i="1"/>
  <c r="G2876" i="1"/>
  <c r="F2877" i="1"/>
  <c r="G2877" i="1"/>
  <c r="F2878" i="1"/>
  <c r="G2878" i="1"/>
  <c r="F2879" i="1"/>
  <c r="G2879" i="1"/>
  <c r="F2880" i="1"/>
  <c r="G2880" i="1"/>
  <c r="F2881" i="1"/>
  <c r="G2881" i="1"/>
  <c r="F2882" i="1"/>
  <c r="G2882" i="1"/>
  <c r="F2883" i="1"/>
  <c r="G2883" i="1"/>
  <c r="F2884" i="1"/>
  <c r="G2884" i="1"/>
  <c r="F2885" i="1"/>
  <c r="G2885" i="1"/>
  <c r="F2886" i="1"/>
  <c r="G2886" i="1"/>
  <c r="F2887" i="1"/>
  <c r="G2887" i="1"/>
  <c r="F2888" i="1"/>
  <c r="G2888" i="1"/>
  <c r="F2889" i="1"/>
  <c r="G2889" i="1"/>
  <c r="F2890" i="1"/>
  <c r="G2890" i="1"/>
  <c r="F2891" i="1"/>
  <c r="G2891" i="1"/>
  <c r="F2892" i="1"/>
  <c r="G2892" i="1"/>
  <c r="F2893" i="1"/>
  <c r="G2893" i="1"/>
  <c r="F2894" i="1"/>
  <c r="G2894" i="1"/>
  <c r="F2895" i="1"/>
  <c r="G2895" i="1"/>
  <c r="F2896" i="1"/>
  <c r="G2896" i="1"/>
  <c r="F2897" i="1"/>
  <c r="G2897" i="1"/>
  <c r="F2898" i="1"/>
  <c r="G2898" i="1"/>
  <c r="F2899" i="1"/>
  <c r="G2899" i="1"/>
  <c r="F2900" i="1"/>
  <c r="G2900" i="1"/>
  <c r="F2901" i="1"/>
  <c r="G2901" i="1"/>
  <c r="F2902" i="1"/>
  <c r="G2902" i="1"/>
  <c r="F2903" i="1"/>
  <c r="G2903" i="1"/>
  <c r="F2904" i="1"/>
  <c r="G2904" i="1"/>
  <c r="F2905" i="1"/>
  <c r="G2905" i="1"/>
  <c r="F2906" i="1"/>
  <c r="G2906" i="1"/>
  <c r="F2907" i="1"/>
  <c r="G2907" i="1"/>
  <c r="F2908" i="1"/>
  <c r="G2908" i="1"/>
  <c r="F2909" i="1"/>
  <c r="G2909" i="1"/>
  <c r="F2910" i="1"/>
  <c r="G2910" i="1"/>
  <c r="F2911" i="1"/>
  <c r="G2911" i="1"/>
  <c r="F2912" i="1"/>
  <c r="G2912" i="1"/>
  <c r="F2913" i="1"/>
  <c r="G2913" i="1"/>
  <c r="F2914" i="1"/>
  <c r="G2914" i="1"/>
  <c r="F2915" i="1"/>
  <c r="G2915" i="1"/>
  <c r="F2916" i="1"/>
  <c r="G2916" i="1"/>
  <c r="F2917" i="1"/>
  <c r="G2917" i="1"/>
  <c r="F2918" i="1"/>
  <c r="G2918" i="1"/>
  <c r="F2919" i="1"/>
  <c r="G2919" i="1"/>
  <c r="F2920" i="1"/>
  <c r="G2920" i="1"/>
  <c r="F2921" i="1"/>
  <c r="G2921" i="1"/>
  <c r="F2922" i="1"/>
  <c r="G2922" i="1"/>
  <c r="F2923" i="1"/>
  <c r="G2923" i="1"/>
  <c r="F2924" i="1"/>
  <c r="G2924" i="1"/>
  <c r="F2925" i="1"/>
  <c r="G2925" i="1"/>
  <c r="F2926" i="1"/>
  <c r="G2926" i="1"/>
  <c r="F2927" i="1"/>
  <c r="G2927" i="1"/>
  <c r="F2928" i="1"/>
  <c r="G2928" i="1"/>
  <c r="F2929" i="1"/>
  <c r="G2929" i="1"/>
  <c r="F2930" i="1"/>
  <c r="G2930" i="1"/>
  <c r="F2931" i="1"/>
  <c r="G2931" i="1"/>
  <c r="F2932" i="1"/>
  <c r="G2932" i="1"/>
  <c r="F2933" i="1"/>
  <c r="G2933" i="1"/>
  <c r="F2934" i="1"/>
  <c r="G2934" i="1"/>
  <c r="F2935" i="1"/>
  <c r="G2935" i="1"/>
  <c r="F2936" i="1"/>
  <c r="G2936" i="1"/>
  <c r="F2937" i="1"/>
  <c r="G2937" i="1"/>
  <c r="F2938" i="1"/>
  <c r="G2938" i="1"/>
  <c r="F2939" i="1"/>
  <c r="G2939" i="1"/>
  <c r="F2940" i="1"/>
  <c r="G2940" i="1"/>
  <c r="F2941" i="1"/>
  <c r="G2941" i="1"/>
  <c r="F2942" i="1"/>
  <c r="G2942" i="1"/>
  <c r="F2943" i="1"/>
  <c r="G2943" i="1"/>
  <c r="F2944" i="1"/>
  <c r="G2944" i="1"/>
  <c r="F2945" i="1"/>
  <c r="G2945" i="1"/>
  <c r="F2946" i="1"/>
  <c r="G2946" i="1"/>
  <c r="F2947" i="1"/>
  <c r="G2947" i="1"/>
  <c r="F2948" i="1"/>
  <c r="G2948" i="1"/>
  <c r="F2949" i="1"/>
  <c r="G2949" i="1"/>
  <c r="F2950" i="1"/>
  <c r="G2950" i="1"/>
  <c r="F2951" i="1"/>
  <c r="G2951" i="1"/>
  <c r="F2952" i="1"/>
  <c r="G2952" i="1"/>
  <c r="F2953" i="1"/>
  <c r="G2953" i="1"/>
  <c r="F2954" i="1"/>
  <c r="G2954" i="1"/>
  <c r="F2955" i="1"/>
  <c r="G2955" i="1"/>
  <c r="F2956" i="1"/>
  <c r="G2956" i="1"/>
  <c r="F2957" i="1"/>
  <c r="G2957" i="1"/>
  <c r="F2958" i="1"/>
  <c r="G2958" i="1"/>
  <c r="F2959" i="1"/>
  <c r="G2959" i="1"/>
  <c r="F2960" i="1"/>
  <c r="G2960" i="1"/>
  <c r="F2961" i="1"/>
  <c r="G2961" i="1"/>
  <c r="F2962" i="1"/>
  <c r="G2962" i="1"/>
  <c r="F2963" i="1"/>
  <c r="G2963" i="1"/>
  <c r="F2964" i="1"/>
  <c r="G2964" i="1"/>
  <c r="F2965" i="1"/>
  <c r="G2965" i="1"/>
  <c r="F2966" i="1"/>
  <c r="G2966" i="1"/>
  <c r="F2967" i="1"/>
  <c r="G2967" i="1"/>
  <c r="F2968" i="1"/>
  <c r="G2968" i="1"/>
  <c r="F2969" i="1"/>
  <c r="G2969" i="1"/>
  <c r="F2970" i="1"/>
  <c r="G2970" i="1"/>
  <c r="F2971" i="1"/>
  <c r="G2971" i="1"/>
  <c r="F2972" i="1"/>
  <c r="G2972" i="1"/>
  <c r="F2973" i="1"/>
  <c r="G2973" i="1"/>
  <c r="F2974" i="1"/>
  <c r="G2974" i="1"/>
  <c r="F2975" i="1"/>
  <c r="G2975" i="1"/>
  <c r="F2976" i="1"/>
  <c r="G2976" i="1"/>
  <c r="F2977" i="1"/>
  <c r="G2977" i="1"/>
  <c r="F2978" i="1"/>
  <c r="G2978" i="1"/>
  <c r="F2979" i="1"/>
  <c r="G2979" i="1"/>
  <c r="F2980" i="1"/>
  <c r="G2980" i="1"/>
  <c r="F2981" i="1"/>
  <c r="G2981" i="1"/>
  <c r="F2982" i="1"/>
  <c r="G2982" i="1"/>
  <c r="F2983" i="1"/>
  <c r="G2983" i="1"/>
  <c r="F2984" i="1"/>
  <c r="G2984" i="1"/>
  <c r="F2985" i="1"/>
  <c r="G2985" i="1"/>
  <c r="F2986" i="1"/>
  <c r="G2986" i="1"/>
  <c r="F2987" i="1"/>
  <c r="G2987" i="1"/>
  <c r="F2988" i="1"/>
  <c r="G2988" i="1"/>
  <c r="F2989" i="1"/>
  <c r="G2989" i="1"/>
  <c r="F2990" i="1"/>
  <c r="G2990" i="1"/>
  <c r="F2991" i="1"/>
  <c r="G2991" i="1"/>
  <c r="F2992" i="1"/>
  <c r="G2992" i="1"/>
  <c r="F2993" i="1"/>
  <c r="G2993" i="1"/>
  <c r="F2994" i="1"/>
  <c r="G2994" i="1"/>
  <c r="F2995" i="1"/>
  <c r="G2995" i="1"/>
  <c r="F2996" i="1"/>
  <c r="G2996" i="1"/>
  <c r="F2997" i="1"/>
  <c r="G2997" i="1"/>
  <c r="F2998" i="1"/>
  <c r="G2998" i="1"/>
  <c r="F2999" i="1"/>
  <c r="G2999" i="1"/>
  <c r="F3000" i="1"/>
  <c r="G3000" i="1"/>
  <c r="F3001" i="1"/>
  <c r="G3001" i="1"/>
  <c r="F3002" i="1"/>
  <c r="G3002" i="1"/>
  <c r="F3003" i="1"/>
  <c r="G3003" i="1"/>
  <c r="F3004" i="1"/>
  <c r="G3004" i="1"/>
  <c r="F3005" i="1"/>
  <c r="G3005" i="1"/>
  <c r="F3006" i="1"/>
  <c r="G3006" i="1"/>
  <c r="F3007" i="1"/>
  <c r="G3007" i="1"/>
  <c r="F3008" i="1"/>
  <c r="G3008" i="1"/>
  <c r="F3009" i="1"/>
  <c r="G3009" i="1"/>
  <c r="F3010" i="1"/>
  <c r="G3010" i="1"/>
  <c r="F3011" i="1"/>
  <c r="G3011" i="1"/>
  <c r="F3012" i="1"/>
  <c r="G3012" i="1"/>
  <c r="F3013" i="1"/>
  <c r="G3013" i="1"/>
  <c r="F3014" i="1"/>
  <c r="G3014" i="1"/>
  <c r="F3015" i="1"/>
  <c r="G3015" i="1"/>
  <c r="F3016" i="1"/>
  <c r="G3016" i="1"/>
  <c r="F3017" i="1"/>
  <c r="G3017" i="1"/>
  <c r="F3018" i="1"/>
  <c r="G3018" i="1"/>
  <c r="F3019" i="1"/>
  <c r="G3019" i="1"/>
  <c r="F3020" i="1"/>
  <c r="G3020" i="1"/>
  <c r="F3021" i="1"/>
  <c r="G3021" i="1"/>
  <c r="F3022" i="1"/>
  <c r="G3022" i="1"/>
  <c r="F3023" i="1"/>
  <c r="G3023" i="1"/>
  <c r="F3024" i="1"/>
  <c r="G3024" i="1"/>
  <c r="F3025" i="1"/>
  <c r="G3025" i="1"/>
  <c r="F3026" i="1"/>
  <c r="G3026" i="1"/>
  <c r="F3027" i="1"/>
  <c r="G3027" i="1"/>
  <c r="F3028" i="1"/>
  <c r="G3028" i="1"/>
  <c r="F3029" i="1"/>
  <c r="G3029" i="1"/>
  <c r="F3030" i="1"/>
  <c r="G3030" i="1"/>
  <c r="F3031" i="1"/>
  <c r="G3031" i="1"/>
  <c r="F3032" i="1"/>
  <c r="G3032" i="1"/>
  <c r="F3033" i="1"/>
  <c r="G3033" i="1"/>
  <c r="F3034" i="1"/>
  <c r="G3034" i="1"/>
  <c r="F3035" i="1"/>
  <c r="G3035" i="1"/>
  <c r="F3036" i="1"/>
  <c r="G3036" i="1"/>
  <c r="F3037" i="1"/>
  <c r="G3037" i="1"/>
  <c r="F3038" i="1"/>
  <c r="G3038" i="1"/>
  <c r="F3039" i="1"/>
  <c r="G3039" i="1"/>
  <c r="F3040" i="1"/>
  <c r="G3040" i="1"/>
  <c r="F3041" i="1"/>
  <c r="G3041" i="1"/>
  <c r="F3042" i="1"/>
  <c r="G3042" i="1"/>
  <c r="F3043" i="1"/>
  <c r="G3043" i="1"/>
  <c r="F3044" i="1"/>
  <c r="G3044" i="1"/>
  <c r="F3045" i="1"/>
  <c r="G3045" i="1"/>
  <c r="F3046" i="1"/>
  <c r="G3046" i="1"/>
  <c r="F3047" i="1"/>
  <c r="G3047" i="1"/>
  <c r="F3048" i="1"/>
  <c r="G3048" i="1"/>
  <c r="F3049" i="1"/>
  <c r="G3049" i="1"/>
  <c r="F3050" i="1"/>
  <c r="G3050" i="1"/>
  <c r="F3051" i="1"/>
  <c r="G3051" i="1"/>
  <c r="F3052" i="1"/>
  <c r="G3052" i="1"/>
  <c r="F3053" i="1"/>
  <c r="G3053" i="1"/>
  <c r="F3054" i="1"/>
  <c r="G3054" i="1"/>
  <c r="F3055" i="1"/>
  <c r="G3055" i="1"/>
  <c r="F3056" i="1"/>
  <c r="G3056" i="1"/>
  <c r="F3057" i="1"/>
  <c r="G3057" i="1"/>
  <c r="F3058" i="1"/>
  <c r="G3058" i="1"/>
  <c r="F3059" i="1"/>
  <c r="G3059" i="1"/>
  <c r="F3060" i="1"/>
  <c r="G3060" i="1"/>
  <c r="F3061" i="1"/>
  <c r="G3061" i="1"/>
  <c r="F3062" i="1"/>
  <c r="G3062" i="1"/>
  <c r="F3063" i="1"/>
  <c r="G3063" i="1"/>
  <c r="F3064" i="1"/>
  <c r="G3064" i="1"/>
  <c r="F3065" i="1"/>
  <c r="G3065" i="1"/>
  <c r="F3066" i="1"/>
  <c r="G3066" i="1"/>
  <c r="F3067" i="1"/>
  <c r="G3067" i="1"/>
  <c r="F3068" i="1"/>
  <c r="G3068" i="1"/>
  <c r="F3069" i="1"/>
  <c r="G3069" i="1"/>
  <c r="F3070" i="1"/>
  <c r="G3070" i="1"/>
  <c r="F3071" i="1"/>
  <c r="G3071" i="1"/>
  <c r="F3072" i="1"/>
  <c r="G3072" i="1"/>
  <c r="F3073" i="1"/>
  <c r="G3073" i="1"/>
  <c r="F3074" i="1"/>
  <c r="G3074" i="1"/>
  <c r="F3075" i="1"/>
  <c r="G3075" i="1"/>
  <c r="F3076" i="1"/>
  <c r="G3076" i="1"/>
  <c r="F3077" i="1"/>
  <c r="G3077" i="1"/>
  <c r="F3078" i="1"/>
  <c r="G3078" i="1"/>
  <c r="F3079" i="1"/>
  <c r="G3079" i="1"/>
  <c r="F3080" i="1"/>
  <c r="G3080" i="1"/>
  <c r="F3081" i="1"/>
  <c r="G3081" i="1"/>
  <c r="F3082" i="1"/>
  <c r="G3082" i="1"/>
  <c r="F3083" i="1"/>
  <c r="G3083" i="1"/>
  <c r="F3084" i="1"/>
  <c r="G3084" i="1"/>
  <c r="F3085" i="1"/>
  <c r="G3085" i="1"/>
  <c r="F3086" i="1"/>
  <c r="G3086" i="1"/>
  <c r="F3087" i="1"/>
  <c r="G3087" i="1"/>
  <c r="F3088" i="1"/>
  <c r="G3088" i="1"/>
  <c r="F3089" i="1"/>
  <c r="G3089" i="1"/>
  <c r="F3090" i="1"/>
  <c r="G3090" i="1"/>
  <c r="F3091" i="1"/>
  <c r="G3091" i="1"/>
  <c r="F3092" i="1"/>
  <c r="G3092" i="1"/>
  <c r="F3093" i="1"/>
  <c r="G3093" i="1"/>
  <c r="F3094" i="1"/>
  <c r="G3094" i="1"/>
  <c r="F3095" i="1"/>
  <c r="G3095" i="1"/>
  <c r="F3096" i="1"/>
  <c r="G3096" i="1"/>
  <c r="F3097" i="1"/>
  <c r="G3097" i="1"/>
  <c r="F3098" i="1"/>
  <c r="G3098" i="1"/>
  <c r="F3099" i="1"/>
  <c r="G3099" i="1"/>
  <c r="F3100" i="1"/>
  <c r="G3100" i="1"/>
  <c r="F3101" i="1"/>
  <c r="G3101" i="1"/>
  <c r="F3102" i="1"/>
  <c r="G3102" i="1"/>
  <c r="F3103" i="1"/>
  <c r="G3103" i="1"/>
  <c r="F3104" i="1"/>
  <c r="G3104" i="1"/>
  <c r="F3105" i="1"/>
  <c r="G3105" i="1"/>
  <c r="F3106" i="1"/>
  <c r="G3106" i="1"/>
  <c r="F3107" i="1"/>
  <c r="G3107" i="1"/>
  <c r="F3108" i="1"/>
  <c r="G3108" i="1"/>
  <c r="F3109" i="1"/>
  <c r="G3109" i="1"/>
  <c r="F3110" i="1"/>
  <c r="G3110" i="1"/>
  <c r="F3111" i="1"/>
  <c r="G3111" i="1"/>
  <c r="F3112" i="1"/>
  <c r="G3112" i="1"/>
  <c r="F3113" i="1"/>
  <c r="G3113" i="1"/>
  <c r="F3114" i="1"/>
  <c r="G3114" i="1"/>
  <c r="F3115" i="1"/>
  <c r="G3115" i="1"/>
  <c r="F3116" i="1"/>
  <c r="G3116" i="1"/>
  <c r="F3117" i="1"/>
  <c r="G3117" i="1"/>
  <c r="F3118" i="1"/>
  <c r="G3118" i="1"/>
  <c r="F3119" i="1"/>
  <c r="G3119" i="1"/>
  <c r="F3120" i="1"/>
  <c r="G3120" i="1"/>
  <c r="F3121" i="1"/>
  <c r="G3121" i="1"/>
  <c r="F3122" i="1"/>
  <c r="G3122" i="1"/>
  <c r="F3123" i="1"/>
  <c r="G3123" i="1"/>
  <c r="F3124" i="1"/>
  <c r="G3124" i="1"/>
  <c r="F3125" i="1"/>
  <c r="G3125" i="1"/>
  <c r="F3126" i="1"/>
  <c r="G3126" i="1"/>
  <c r="F3127" i="1"/>
  <c r="G3127" i="1"/>
  <c r="F3128" i="1"/>
  <c r="G3128" i="1"/>
  <c r="F3129" i="1"/>
  <c r="G3129" i="1"/>
  <c r="F3130" i="1"/>
  <c r="G3130" i="1"/>
  <c r="F3131" i="1"/>
  <c r="G3131" i="1"/>
  <c r="F3132" i="1"/>
  <c r="G3132" i="1"/>
  <c r="F3133" i="1"/>
  <c r="G3133" i="1"/>
  <c r="F3134" i="1"/>
  <c r="G3134" i="1"/>
  <c r="F3135" i="1"/>
  <c r="G3135" i="1"/>
  <c r="F3136" i="1"/>
  <c r="G3136" i="1"/>
  <c r="F3137" i="1"/>
  <c r="G3137" i="1"/>
  <c r="F3138" i="1"/>
  <c r="G3138" i="1"/>
  <c r="F3139" i="1"/>
  <c r="G3139" i="1"/>
  <c r="F3140" i="1"/>
  <c r="G3140" i="1"/>
  <c r="F3141" i="1"/>
  <c r="G3141" i="1"/>
  <c r="F3142" i="1"/>
  <c r="G3142" i="1"/>
  <c r="F3143" i="1"/>
  <c r="G3143" i="1"/>
  <c r="F3144" i="1"/>
  <c r="G3144" i="1"/>
  <c r="F3145" i="1"/>
  <c r="G3145" i="1"/>
  <c r="F3146" i="1"/>
  <c r="G3146" i="1"/>
  <c r="F3147" i="1"/>
  <c r="G3147" i="1"/>
  <c r="F3148" i="1"/>
  <c r="G3148" i="1"/>
  <c r="F3149" i="1"/>
  <c r="G3149" i="1"/>
  <c r="F3150" i="1"/>
  <c r="G3150" i="1"/>
  <c r="F3151" i="1"/>
  <c r="G3151" i="1"/>
  <c r="F3152" i="1"/>
  <c r="G3152" i="1"/>
  <c r="F3153" i="1"/>
  <c r="G3153" i="1"/>
  <c r="F3154" i="1"/>
  <c r="G3154" i="1"/>
  <c r="F3155" i="1"/>
  <c r="G3155" i="1"/>
  <c r="F3156" i="1"/>
  <c r="G3156" i="1"/>
  <c r="F3157" i="1"/>
  <c r="G3157" i="1"/>
  <c r="F3158" i="1"/>
  <c r="G3158" i="1"/>
  <c r="F3159" i="1"/>
  <c r="G3159" i="1"/>
  <c r="F3160" i="1"/>
  <c r="G3160" i="1"/>
  <c r="F3161" i="1"/>
  <c r="G3161" i="1"/>
  <c r="F3162" i="1"/>
  <c r="G3162" i="1"/>
  <c r="F3163" i="1"/>
  <c r="G3163" i="1"/>
  <c r="F3164" i="1"/>
  <c r="G3164" i="1"/>
  <c r="F3165" i="1"/>
  <c r="G3165" i="1"/>
  <c r="F3166" i="1"/>
  <c r="G3166" i="1"/>
  <c r="F3167" i="1"/>
  <c r="G3167" i="1"/>
  <c r="F3168" i="1"/>
  <c r="G3168" i="1"/>
  <c r="F3169" i="1"/>
  <c r="G3169" i="1"/>
  <c r="F3170" i="1"/>
  <c r="G3170" i="1"/>
  <c r="F3171" i="1"/>
  <c r="G3171" i="1"/>
  <c r="F3172" i="1"/>
  <c r="G3172" i="1"/>
  <c r="F3173" i="1"/>
  <c r="G3173" i="1"/>
  <c r="F3174" i="1"/>
  <c r="G3174" i="1"/>
  <c r="F3175" i="1"/>
  <c r="G3175" i="1"/>
  <c r="F3176" i="1"/>
  <c r="G3176" i="1"/>
  <c r="F3177" i="1"/>
  <c r="G3177" i="1"/>
  <c r="F3178" i="1"/>
  <c r="G3178" i="1"/>
  <c r="F3179" i="1"/>
  <c r="G3179" i="1"/>
  <c r="F3180" i="1"/>
  <c r="G3180" i="1"/>
  <c r="F3181" i="1"/>
  <c r="G3181" i="1"/>
  <c r="F3182" i="1"/>
  <c r="G3182" i="1"/>
  <c r="F3183" i="1"/>
  <c r="G3183" i="1"/>
  <c r="F3184" i="1"/>
  <c r="G3184" i="1"/>
  <c r="F3185" i="1"/>
  <c r="G3185" i="1"/>
  <c r="F3186" i="1"/>
  <c r="G3186" i="1"/>
  <c r="F3187" i="1"/>
  <c r="G3187" i="1"/>
  <c r="F3188" i="1"/>
  <c r="G3188" i="1"/>
  <c r="F3189" i="1"/>
  <c r="G3189" i="1"/>
  <c r="F3190" i="1"/>
  <c r="G3190" i="1"/>
  <c r="F3191" i="1"/>
  <c r="G3191" i="1"/>
  <c r="F3192" i="1"/>
  <c r="G3192" i="1"/>
  <c r="F3193" i="1"/>
  <c r="G3193" i="1"/>
  <c r="F3194" i="1"/>
  <c r="G3194" i="1"/>
  <c r="F3195" i="1"/>
  <c r="G3195" i="1"/>
  <c r="F3196" i="1"/>
  <c r="G3196" i="1"/>
  <c r="F3197" i="1"/>
  <c r="G3197" i="1"/>
  <c r="F3198" i="1"/>
  <c r="G3198" i="1"/>
  <c r="F3199" i="1"/>
  <c r="G3199" i="1"/>
  <c r="F3200" i="1"/>
  <c r="G3200" i="1"/>
  <c r="F3201" i="1"/>
  <c r="G3201" i="1"/>
  <c r="F3202" i="1"/>
  <c r="G3202" i="1"/>
  <c r="F3203" i="1"/>
  <c r="G3203" i="1"/>
  <c r="F3204" i="1"/>
  <c r="G3204" i="1"/>
  <c r="F3205" i="1"/>
  <c r="G3205" i="1"/>
  <c r="F3206" i="1"/>
  <c r="G3206" i="1"/>
  <c r="F3207" i="1"/>
  <c r="G3207" i="1"/>
  <c r="F3208" i="1"/>
  <c r="G3208" i="1"/>
  <c r="F3209" i="1"/>
  <c r="G3209" i="1"/>
  <c r="F3210" i="1"/>
  <c r="G3210" i="1"/>
  <c r="F3211" i="1"/>
  <c r="G3211" i="1"/>
  <c r="F3212" i="1"/>
  <c r="G3212" i="1"/>
  <c r="F3213" i="1"/>
  <c r="G3213" i="1"/>
  <c r="F3214" i="1"/>
  <c r="G3214" i="1"/>
  <c r="F3215" i="1"/>
  <c r="G3215" i="1"/>
  <c r="F3216" i="1"/>
  <c r="G3216" i="1"/>
  <c r="F3217" i="1"/>
  <c r="G3217" i="1"/>
  <c r="F3218" i="1"/>
  <c r="G3218" i="1"/>
  <c r="F3219" i="1"/>
  <c r="G3219" i="1"/>
  <c r="F3220" i="1"/>
  <c r="G3220" i="1"/>
  <c r="F3221" i="1"/>
  <c r="G3221" i="1"/>
  <c r="F3222" i="1"/>
  <c r="G3222" i="1"/>
  <c r="F3223" i="1"/>
  <c r="G3223" i="1"/>
  <c r="F3224" i="1"/>
  <c r="G3224" i="1"/>
  <c r="F3225" i="1"/>
  <c r="G3225" i="1"/>
  <c r="F3226" i="1"/>
  <c r="G3226" i="1"/>
  <c r="F3227" i="1"/>
  <c r="G3227" i="1"/>
  <c r="F3228" i="1"/>
  <c r="G3228" i="1"/>
  <c r="F3229" i="1"/>
  <c r="G3229" i="1"/>
  <c r="F3230" i="1"/>
  <c r="G3230" i="1"/>
  <c r="F3231" i="1"/>
  <c r="G3231" i="1"/>
  <c r="F3232" i="1"/>
  <c r="G3232" i="1"/>
  <c r="F3233" i="1"/>
  <c r="G3233" i="1"/>
  <c r="F3234" i="1"/>
  <c r="G3234" i="1"/>
  <c r="F3235" i="1"/>
  <c r="G3235" i="1"/>
  <c r="F3236" i="1"/>
  <c r="G3236" i="1"/>
  <c r="F3237" i="1"/>
  <c r="G3237" i="1"/>
  <c r="F3238" i="1"/>
  <c r="G3238" i="1"/>
  <c r="F3239" i="1"/>
  <c r="G3239" i="1"/>
  <c r="F3240" i="1"/>
  <c r="G3240" i="1"/>
  <c r="F3241" i="1"/>
  <c r="G3241" i="1"/>
  <c r="F3242" i="1"/>
  <c r="G3242" i="1"/>
  <c r="F3243" i="1"/>
  <c r="G3243" i="1"/>
  <c r="F3244" i="1"/>
  <c r="G3244" i="1"/>
  <c r="F3245" i="1"/>
  <c r="G3245" i="1"/>
  <c r="F3246" i="1"/>
  <c r="G3246" i="1"/>
  <c r="F3247" i="1"/>
  <c r="G3247" i="1"/>
  <c r="F3248" i="1"/>
  <c r="G3248" i="1"/>
  <c r="F3249" i="1"/>
  <c r="G3249" i="1"/>
  <c r="F3250" i="1"/>
  <c r="G3250" i="1"/>
  <c r="F3251" i="1"/>
  <c r="G3251" i="1"/>
  <c r="F3252" i="1"/>
  <c r="G3252" i="1"/>
  <c r="F3253" i="1"/>
  <c r="G3253" i="1"/>
  <c r="F3254" i="1"/>
  <c r="G3254" i="1"/>
  <c r="F3255" i="1"/>
  <c r="G3255" i="1"/>
  <c r="F3256" i="1"/>
  <c r="G3256" i="1"/>
  <c r="F3257" i="1"/>
  <c r="G3257" i="1"/>
  <c r="F3258" i="1"/>
  <c r="G3258" i="1"/>
  <c r="F3259" i="1"/>
  <c r="G3259" i="1"/>
  <c r="F3260" i="1"/>
  <c r="G3260" i="1"/>
  <c r="F3261" i="1"/>
  <c r="G3261" i="1"/>
  <c r="F3262" i="1"/>
  <c r="G3262" i="1"/>
  <c r="F3263" i="1"/>
  <c r="G3263" i="1"/>
  <c r="F3264" i="1"/>
  <c r="G3264" i="1"/>
  <c r="F3265" i="1"/>
  <c r="G3265" i="1"/>
  <c r="F3266" i="1"/>
  <c r="G3266" i="1"/>
  <c r="F3267" i="1"/>
  <c r="G3267" i="1"/>
  <c r="F3268" i="1"/>
  <c r="G3268" i="1"/>
  <c r="F3269" i="1"/>
  <c r="G3269" i="1"/>
  <c r="F3270" i="1"/>
  <c r="G3270" i="1"/>
  <c r="F3271" i="1"/>
  <c r="G3271" i="1"/>
  <c r="F3272" i="1"/>
  <c r="G3272" i="1"/>
  <c r="F3273" i="1"/>
  <c r="G3273" i="1"/>
  <c r="F3274" i="1"/>
  <c r="G3274" i="1"/>
  <c r="F3275" i="1"/>
  <c r="G3275" i="1"/>
  <c r="F3276" i="1"/>
  <c r="G3276" i="1"/>
  <c r="F3277" i="1"/>
  <c r="G3277" i="1"/>
  <c r="F3278" i="1"/>
  <c r="G3278" i="1"/>
  <c r="F3279" i="1"/>
  <c r="G3279" i="1"/>
  <c r="F3280" i="1"/>
  <c r="G3280" i="1"/>
  <c r="F3281" i="1"/>
  <c r="G3281" i="1"/>
  <c r="F3282" i="1"/>
  <c r="G3282" i="1"/>
  <c r="F3283" i="1"/>
  <c r="G3283" i="1"/>
  <c r="F3284" i="1"/>
  <c r="G3284" i="1"/>
  <c r="F3285" i="1"/>
  <c r="G3285" i="1"/>
  <c r="F3286" i="1"/>
  <c r="G3286" i="1"/>
  <c r="F3287" i="1"/>
  <c r="G3287" i="1"/>
  <c r="F3288" i="1"/>
  <c r="G3288" i="1"/>
  <c r="F3289" i="1"/>
  <c r="G3289" i="1"/>
  <c r="F3290" i="1"/>
  <c r="G3290" i="1"/>
  <c r="F3291" i="1"/>
  <c r="G3291" i="1"/>
  <c r="F3292" i="1"/>
  <c r="G3292" i="1"/>
  <c r="F3293" i="1"/>
  <c r="G3293" i="1"/>
  <c r="F3294" i="1"/>
  <c r="G3294" i="1"/>
  <c r="F3295" i="1"/>
  <c r="G3295" i="1"/>
  <c r="F3296" i="1"/>
  <c r="G3296" i="1"/>
  <c r="F3297" i="1"/>
  <c r="G3297" i="1"/>
  <c r="F3298" i="1"/>
  <c r="G3298" i="1"/>
  <c r="F3299" i="1"/>
  <c r="G3299" i="1"/>
  <c r="F3300" i="1"/>
  <c r="G3300" i="1"/>
  <c r="F3301" i="1"/>
  <c r="G3301" i="1"/>
  <c r="F3302" i="1"/>
  <c r="G3302" i="1"/>
  <c r="F3303" i="1"/>
  <c r="G3303" i="1"/>
  <c r="F3304" i="1"/>
  <c r="G3304" i="1"/>
  <c r="F3305" i="1"/>
  <c r="G3305" i="1"/>
  <c r="F3306" i="1"/>
  <c r="G3306" i="1"/>
  <c r="F3307" i="1"/>
  <c r="G3307" i="1"/>
  <c r="F3308" i="1"/>
  <c r="G3308" i="1"/>
  <c r="F3309" i="1"/>
  <c r="G3309" i="1"/>
  <c r="F3310" i="1"/>
  <c r="G3310" i="1"/>
  <c r="F3311" i="1"/>
  <c r="G3311" i="1"/>
  <c r="F3312" i="1"/>
  <c r="G3312" i="1"/>
  <c r="F3313" i="1"/>
  <c r="G3313" i="1"/>
  <c r="F3314" i="1"/>
  <c r="G3314" i="1"/>
  <c r="F3315" i="1"/>
  <c r="G3315" i="1"/>
  <c r="F3316" i="1"/>
  <c r="G3316" i="1"/>
  <c r="F3317" i="1"/>
  <c r="G3317" i="1"/>
  <c r="F3318" i="1"/>
  <c r="G3318" i="1"/>
  <c r="F3319" i="1"/>
  <c r="G3319" i="1"/>
  <c r="F3320" i="1"/>
  <c r="G3320" i="1"/>
  <c r="F3321" i="1"/>
  <c r="G3321" i="1"/>
  <c r="F3322" i="1"/>
  <c r="G3322" i="1"/>
  <c r="F3323" i="1"/>
  <c r="G3323" i="1"/>
  <c r="F3324" i="1"/>
  <c r="G3324" i="1"/>
  <c r="F3325" i="1"/>
  <c r="G3325" i="1"/>
  <c r="F3326" i="1"/>
  <c r="G3326" i="1"/>
  <c r="F3327" i="1"/>
  <c r="G3327" i="1"/>
  <c r="F3328" i="1"/>
  <c r="G3328" i="1"/>
  <c r="F3329" i="1"/>
  <c r="G3329" i="1"/>
  <c r="F3330" i="1"/>
  <c r="G3330" i="1"/>
  <c r="F3331" i="1"/>
  <c r="G3331" i="1"/>
  <c r="F3332" i="1"/>
  <c r="G3332" i="1"/>
  <c r="F3333" i="1"/>
  <c r="G3333" i="1"/>
  <c r="F3334" i="1"/>
  <c r="G3334" i="1"/>
  <c r="F3335" i="1"/>
  <c r="G3335" i="1"/>
  <c r="F3336" i="1"/>
  <c r="G3336" i="1"/>
  <c r="F3337" i="1"/>
  <c r="G3337" i="1"/>
  <c r="F3338" i="1"/>
  <c r="G3338" i="1"/>
  <c r="F3339" i="1"/>
  <c r="G3339" i="1"/>
  <c r="F3340" i="1"/>
  <c r="G3340" i="1"/>
  <c r="F3341" i="1"/>
  <c r="G3341" i="1"/>
  <c r="F3342" i="1"/>
  <c r="G3342" i="1"/>
  <c r="F3343" i="1"/>
  <c r="G3343" i="1"/>
  <c r="F3344" i="1"/>
  <c r="G3344" i="1"/>
  <c r="F3345" i="1"/>
  <c r="G3345" i="1"/>
  <c r="F3346" i="1"/>
  <c r="G3346" i="1"/>
  <c r="F3347" i="1"/>
  <c r="G3347" i="1"/>
  <c r="F3348" i="1"/>
  <c r="G3348" i="1"/>
  <c r="F3349" i="1"/>
  <c r="G3349" i="1"/>
  <c r="F3350" i="1"/>
  <c r="G3350" i="1"/>
  <c r="F3351" i="1"/>
  <c r="G3351" i="1"/>
  <c r="F3352" i="1"/>
  <c r="G3352" i="1"/>
  <c r="F3353" i="1"/>
  <c r="G3353" i="1"/>
  <c r="F3354" i="1"/>
  <c r="G3354" i="1"/>
  <c r="F3355" i="1"/>
  <c r="G3355" i="1"/>
  <c r="F3356" i="1"/>
  <c r="G3356" i="1"/>
  <c r="F3357" i="1"/>
  <c r="G3357" i="1"/>
  <c r="F3358" i="1"/>
  <c r="G3358" i="1"/>
  <c r="F3359" i="1"/>
  <c r="G3359" i="1"/>
  <c r="F3360" i="1"/>
  <c r="G3360" i="1"/>
  <c r="F3361" i="1"/>
  <c r="G3361" i="1"/>
  <c r="F3362" i="1"/>
  <c r="G3362" i="1"/>
  <c r="F3363" i="1"/>
  <c r="G3363" i="1"/>
  <c r="F3364" i="1"/>
  <c r="G3364" i="1"/>
  <c r="F3365" i="1"/>
  <c r="G3365" i="1"/>
  <c r="F3366" i="1"/>
  <c r="G3366" i="1"/>
  <c r="F3367" i="1"/>
  <c r="G3367" i="1"/>
  <c r="F3368" i="1"/>
  <c r="G3368" i="1"/>
  <c r="F3369" i="1"/>
  <c r="G3369" i="1"/>
  <c r="F3370" i="1"/>
  <c r="G3370" i="1"/>
  <c r="F3371" i="1"/>
  <c r="G3371" i="1"/>
  <c r="F3372" i="1"/>
  <c r="G3372" i="1"/>
  <c r="F3373" i="1"/>
  <c r="G3373" i="1"/>
  <c r="F3374" i="1"/>
  <c r="G3374" i="1"/>
  <c r="F3375" i="1"/>
  <c r="G3375" i="1"/>
  <c r="F3376" i="1"/>
  <c r="G3376" i="1"/>
  <c r="F3377" i="1"/>
  <c r="G3377" i="1"/>
  <c r="F3378" i="1"/>
  <c r="G3378" i="1"/>
  <c r="F3379" i="1"/>
  <c r="G3379" i="1"/>
  <c r="F3380" i="1"/>
  <c r="G3380" i="1"/>
  <c r="F3381" i="1"/>
  <c r="G3381" i="1"/>
  <c r="F3382" i="1"/>
  <c r="G3382" i="1"/>
  <c r="F3383" i="1"/>
  <c r="G3383" i="1"/>
  <c r="F3384" i="1"/>
  <c r="G3384" i="1"/>
  <c r="F3385" i="1"/>
  <c r="G3385" i="1"/>
  <c r="F3386" i="1"/>
  <c r="G3386" i="1"/>
  <c r="F3387" i="1"/>
  <c r="G3387" i="1"/>
  <c r="F3388" i="1"/>
  <c r="G3388" i="1"/>
  <c r="F3389" i="1"/>
  <c r="G3389" i="1"/>
  <c r="F3390" i="1"/>
  <c r="G3390" i="1"/>
  <c r="F3391" i="1"/>
  <c r="G3391" i="1"/>
  <c r="F3392" i="1"/>
  <c r="G3392" i="1"/>
  <c r="F3393" i="1"/>
  <c r="G3393" i="1"/>
  <c r="F3394" i="1"/>
  <c r="G3394" i="1"/>
  <c r="F3395" i="1"/>
  <c r="G3395" i="1"/>
  <c r="F3396" i="1"/>
  <c r="G3396" i="1"/>
  <c r="F3397" i="1"/>
  <c r="G3397" i="1"/>
  <c r="F3398" i="1"/>
  <c r="G3398" i="1"/>
  <c r="F3399" i="1"/>
  <c r="G3399" i="1"/>
  <c r="F3400" i="1"/>
  <c r="G3400" i="1"/>
  <c r="F3401" i="1"/>
  <c r="G3401" i="1"/>
  <c r="F3402" i="1"/>
  <c r="G3402" i="1"/>
  <c r="F3403" i="1"/>
  <c r="G3403" i="1"/>
  <c r="F3404" i="1"/>
  <c r="G3404" i="1"/>
  <c r="F3405" i="1"/>
  <c r="G3405" i="1"/>
  <c r="F3406" i="1"/>
  <c r="G3406" i="1"/>
  <c r="F3407" i="1"/>
  <c r="G3407" i="1"/>
  <c r="F3408" i="1"/>
  <c r="G3408" i="1"/>
  <c r="F3409" i="1"/>
  <c r="G3409" i="1"/>
  <c r="F3410" i="1"/>
  <c r="G3410" i="1"/>
  <c r="F3411" i="1"/>
  <c r="G3411" i="1"/>
  <c r="F3412" i="1"/>
  <c r="G3412" i="1"/>
  <c r="F3413" i="1"/>
  <c r="G3413" i="1"/>
  <c r="F3414" i="1"/>
  <c r="G3414" i="1"/>
  <c r="F3415" i="1"/>
  <c r="G3415" i="1"/>
  <c r="F3416" i="1"/>
  <c r="G3416" i="1"/>
  <c r="F3417" i="1"/>
  <c r="G3417" i="1"/>
  <c r="F3418" i="1"/>
  <c r="G3418" i="1"/>
  <c r="F3419" i="1"/>
  <c r="G3419" i="1"/>
  <c r="F3420" i="1"/>
  <c r="G3420" i="1"/>
  <c r="F3421" i="1"/>
  <c r="G3421" i="1"/>
  <c r="F3422" i="1"/>
  <c r="G3422" i="1"/>
  <c r="F3423" i="1"/>
  <c r="G3423" i="1"/>
  <c r="F3424" i="1"/>
  <c r="G3424" i="1"/>
  <c r="F3425" i="1"/>
  <c r="G3425" i="1"/>
  <c r="F3426" i="1"/>
  <c r="G3426" i="1"/>
  <c r="F3427" i="1"/>
  <c r="G3427" i="1"/>
  <c r="F3428" i="1"/>
  <c r="G3428" i="1"/>
  <c r="F3429" i="1"/>
  <c r="G3429" i="1"/>
  <c r="F3430" i="1"/>
  <c r="G3430" i="1"/>
  <c r="F3431" i="1"/>
  <c r="G3431" i="1"/>
  <c r="F3432" i="1"/>
  <c r="G3432" i="1"/>
  <c r="F3433" i="1"/>
  <c r="G3433" i="1"/>
  <c r="F3434" i="1"/>
  <c r="G3434" i="1"/>
  <c r="F3435" i="1"/>
  <c r="G3435" i="1"/>
  <c r="F3436" i="1"/>
  <c r="G3436" i="1"/>
  <c r="F3437" i="1"/>
  <c r="G3437" i="1"/>
  <c r="F3438" i="1"/>
  <c r="G3438" i="1"/>
  <c r="F3439" i="1"/>
  <c r="G3439" i="1"/>
  <c r="F3440" i="1"/>
  <c r="G3440" i="1"/>
  <c r="F3441" i="1"/>
  <c r="G3441" i="1"/>
  <c r="F3442" i="1"/>
  <c r="G3442" i="1"/>
  <c r="F3443" i="1"/>
  <c r="G3443" i="1"/>
  <c r="F3444" i="1"/>
  <c r="G3444" i="1"/>
  <c r="F3445" i="1"/>
  <c r="G3445" i="1"/>
  <c r="F3446" i="1"/>
  <c r="G3446" i="1"/>
  <c r="F3447" i="1"/>
  <c r="G3447" i="1"/>
  <c r="F3448" i="1"/>
  <c r="G3448" i="1"/>
  <c r="F3449" i="1"/>
  <c r="G3449" i="1"/>
  <c r="F3450" i="1"/>
  <c r="G3450" i="1"/>
  <c r="F3451" i="1"/>
  <c r="G3451" i="1"/>
  <c r="F3452" i="1"/>
  <c r="G3452" i="1"/>
  <c r="F3453" i="1"/>
  <c r="G3453" i="1"/>
  <c r="F3454" i="1"/>
  <c r="G3454" i="1"/>
  <c r="F3455" i="1"/>
  <c r="G3455" i="1"/>
  <c r="F3456" i="1"/>
  <c r="G3456" i="1"/>
  <c r="F3457" i="1"/>
  <c r="G3457" i="1"/>
  <c r="F3458" i="1"/>
  <c r="G3458" i="1"/>
  <c r="F3459" i="1"/>
  <c r="G3459" i="1"/>
  <c r="F3460" i="1"/>
  <c r="G3460" i="1"/>
  <c r="F3461" i="1"/>
  <c r="G3461" i="1"/>
  <c r="F3462" i="1"/>
  <c r="G3462" i="1"/>
  <c r="F3463" i="1"/>
  <c r="G3463" i="1"/>
  <c r="F3464" i="1"/>
  <c r="G3464" i="1"/>
  <c r="F3465" i="1"/>
  <c r="G3465" i="1"/>
  <c r="F3466" i="1"/>
  <c r="G3466" i="1"/>
  <c r="F3467" i="1"/>
  <c r="G3467" i="1"/>
  <c r="F3468" i="1"/>
  <c r="G3468" i="1"/>
  <c r="F3469" i="1"/>
  <c r="G3469" i="1"/>
  <c r="F3470" i="1"/>
  <c r="G3470" i="1"/>
  <c r="F3471" i="1"/>
  <c r="G3471" i="1"/>
  <c r="F3472" i="1"/>
  <c r="G3472" i="1"/>
  <c r="F3473" i="1"/>
  <c r="G3473" i="1"/>
  <c r="F3474" i="1"/>
  <c r="G3474" i="1"/>
  <c r="F3475" i="1"/>
  <c r="G3475" i="1"/>
  <c r="F3476" i="1"/>
  <c r="G3476" i="1"/>
  <c r="F3477" i="1"/>
  <c r="G3477" i="1"/>
  <c r="F3478" i="1"/>
  <c r="G3478" i="1"/>
  <c r="F3479" i="1"/>
  <c r="G3479" i="1"/>
  <c r="F3480" i="1"/>
  <c r="G3480" i="1"/>
  <c r="F3481" i="1"/>
  <c r="G3481" i="1"/>
  <c r="F3482" i="1"/>
  <c r="G3482" i="1"/>
  <c r="F3483" i="1"/>
  <c r="G3483" i="1"/>
  <c r="F3484" i="1"/>
  <c r="G3484" i="1"/>
  <c r="F3485" i="1"/>
  <c r="G3485" i="1"/>
  <c r="F3486" i="1"/>
  <c r="G3486" i="1"/>
  <c r="F3487" i="1"/>
  <c r="G3487" i="1"/>
  <c r="F3488" i="1"/>
  <c r="G3488" i="1"/>
  <c r="F3489" i="1"/>
  <c r="G3489" i="1"/>
  <c r="F3490" i="1"/>
  <c r="G3490" i="1"/>
  <c r="F3491" i="1"/>
  <c r="G3491" i="1"/>
  <c r="F3492" i="1"/>
  <c r="G3492" i="1"/>
  <c r="F3493" i="1"/>
  <c r="G3493" i="1"/>
  <c r="F3494" i="1"/>
  <c r="G3494" i="1"/>
  <c r="F3495" i="1"/>
  <c r="G3495" i="1"/>
  <c r="F3496" i="1"/>
  <c r="G3496" i="1"/>
  <c r="F3497" i="1"/>
  <c r="G3497" i="1"/>
  <c r="F3498" i="1"/>
  <c r="G3498" i="1"/>
  <c r="F3499" i="1"/>
  <c r="G3499" i="1"/>
  <c r="F3500" i="1"/>
  <c r="G3500" i="1"/>
  <c r="F3501" i="1"/>
  <c r="G3501" i="1"/>
  <c r="F3502" i="1"/>
  <c r="G3502" i="1"/>
  <c r="F3503" i="1"/>
  <c r="G3503" i="1"/>
  <c r="F3504" i="1"/>
  <c r="G3504" i="1"/>
  <c r="F3505" i="1"/>
  <c r="G3505" i="1"/>
  <c r="F3506" i="1"/>
  <c r="G3506" i="1"/>
  <c r="F3507" i="1"/>
  <c r="G3507" i="1"/>
  <c r="F3508" i="1"/>
  <c r="G3508" i="1"/>
  <c r="F3509" i="1"/>
  <c r="G3509" i="1"/>
  <c r="F3510" i="1"/>
  <c r="G3510" i="1"/>
  <c r="F3511" i="1"/>
  <c r="G3511" i="1"/>
  <c r="F3512" i="1"/>
  <c r="G3512" i="1"/>
  <c r="F3513" i="1"/>
  <c r="G3513" i="1"/>
  <c r="F3514" i="1"/>
  <c r="G3514" i="1"/>
  <c r="F3515" i="1"/>
  <c r="G3515" i="1"/>
  <c r="F3516" i="1"/>
  <c r="G3516" i="1"/>
  <c r="F3517" i="1"/>
  <c r="G3517" i="1"/>
  <c r="F3518" i="1"/>
  <c r="G3518" i="1"/>
  <c r="F3519" i="1"/>
  <c r="G3519" i="1"/>
  <c r="F3520" i="1"/>
  <c r="G3520" i="1"/>
  <c r="F3521" i="1"/>
  <c r="G3521" i="1"/>
  <c r="F3522" i="1"/>
  <c r="G3522" i="1"/>
  <c r="F3523" i="1"/>
  <c r="G3523" i="1"/>
  <c r="F3524" i="1"/>
  <c r="G3524" i="1"/>
  <c r="F3525" i="1"/>
  <c r="G3525" i="1"/>
  <c r="F3526" i="1"/>
  <c r="G3526" i="1"/>
  <c r="F3527" i="1"/>
  <c r="G3527" i="1"/>
  <c r="F3528" i="1"/>
  <c r="G3528" i="1"/>
  <c r="F3529" i="1"/>
  <c r="G3529" i="1"/>
  <c r="F3530" i="1"/>
  <c r="G3530" i="1"/>
  <c r="F3531" i="1"/>
  <c r="G3531" i="1"/>
  <c r="F3532" i="1"/>
  <c r="G3532" i="1"/>
  <c r="F3533" i="1"/>
  <c r="G3533" i="1"/>
  <c r="F3534" i="1"/>
  <c r="G3534" i="1"/>
  <c r="F3535" i="1"/>
  <c r="G3535" i="1"/>
  <c r="F3536" i="1"/>
  <c r="G3536" i="1"/>
  <c r="F3537" i="1"/>
  <c r="G3537" i="1"/>
  <c r="F3538" i="1"/>
  <c r="G3538" i="1"/>
  <c r="F3539" i="1"/>
  <c r="G3539" i="1"/>
  <c r="F3540" i="1"/>
  <c r="G3540" i="1"/>
  <c r="F3541" i="1"/>
  <c r="G3541" i="1"/>
  <c r="F3542" i="1"/>
  <c r="G3542" i="1"/>
  <c r="F3543" i="1"/>
  <c r="G3543" i="1"/>
  <c r="F3544" i="1"/>
  <c r="G3544" i="1"/>
  <c r="F3545" i="1"/>
  <c r="G3545" i="1"/>
  <c r="F3546" i="1"/>
  <c r="G3546" i="1"/>
  <c r="F3547" i="1"/>
  <c r="G3547" i="1"/>
  <c r="F3548" i="1"/>
  <c r="G3548" i="1"/>
  <c r="F3549" i="1"/>
  <c r="G3549" i="1"/>
  <c r="F3550" i="1"/>
  <c r="G3550" i="1"/>
  <c r="F3551" i="1"/>
  <c r="G3551" i="1"/>
  <c r="F3552" i="1"/>
  <c r="G3552" i="1"/>
  <c r="F3553" i="1"/>
  <c r="G3553" i="1"/>
  <c r="F3554" i="1"/>
  <c r="G3554" i="1"/>
  <c r="F3555" i="1"/>
  <c r="G3555" i="1"/>
  <c r="F3556" i="1"/>
  <c r="G3556" i="1"/>
  <c r="F3557" i="1"/>
  <c r="G3557" i="1"/>
  <c r="F3558" i="1"/>
  <c r="G3558" i="1"/>
  <c r="F3559" i="1"/>
  <c r="G3559" i="1"/>
  <c r="F3560" i="1"/>
  <c r="G3560" i="1"/>
  <c r="F3561" i="1"/>
  <c r="G3561" i="1"/>
  <c r="F3562" i="1"/>
  <c r="G3562" i="1"/>
  <c r="F3563" i="1"/>
  <c r="G3563" i="1"/>
  <c r="F3564" i="1"/>
  <c r="G3564" i="1"/>
  <c r="F3565" i="1"/>
  <c r="G3565" i="1"/>
  <c r="F3566" i="1"/>
  <c r="G3566" i="1"/>
  <c r="F3567" i="1"/>
  <c r="G3567" i="1"/>
  <c r="F3568" i="1"/>
  <c r="G3568" i="1"/>
  <c r="F3569" i="1"/>
  <c r="G3569" i="1"/>
  <c r="F3570" i="1"/>
  <c r="G3570" i="1"/>
  <c r="F3571" i="1"/>
  <c r="G3571" i="1"/>
  <c r="F3572" i="1"/>
  <c r="G3572" i="1"/>
  <c r="F3573" i="1"/>
  <c r="G3573" i="1"/>
  <c r="F3574" i="1"/>
  <c r="G3574" i="1"/>
  <c r="F3575" i="1"/>
  <c r="G3575" i="1"/>
  <c r="F3576" i="1"/>
  <c r="G3576" i="1"/>
  <c r="F3577" i="1"/>
  <c r="G3577" i="1"/>
  <c r="F3578" i="1"/>
  <c r="G3578" i="1"/>
  <c r="F3579" i="1"/>
  <c r="G3579" i="1"/>
  <c r="F3580" i="1"/>
  <c r="G3580" i="1"/>
  <c r="F3581" i="1"/>
  <c r="G3581" i="1"/>
  <c r="F3582" i="1"/>
  <c r="G3582" i="1"/>
  <c r="F3583" i="1"/>
  <c r="G3583" i="1"/>
  <c r="F3584" i="1"/>
  <c r="G3584" i="1"/>
  <c r="F3585" i="1"/>
  <c r="G3585" i="1"/>
  <c r="F3586" i="1"/>
  <c r="G3586" i="1"/>
  <c r="F3587" i="1"/>
  <c r="G3587" i="1"/>
  <c r="F3588" i="1"/>
  <c r="G3588" i="1"/>
  <c r="F3589" i="1"/>
  <c r="G3589" i="1"/>
  <c r="F3590" i="1"/>
  <c r="G3590" i="1"/>
  <c r="F3591" i="1"/>
  <c r="G3591" i="1"/>
  <c r="F3592" i="1"/>
  <c r="G3592" i="1"/>
  <c r="F3593" i="1"/>
  <c r="G3593" i="1"/>
  <c r="F3594" i="1"/>
  <c r="G3594" i="1"/>
  <c r="F3595" i="1"/>
  <c r="G3595" i="1"/>
  <c r="F3596" i="1"/>
  <c r="G3596" i="1"/>
  <c r="F3597" i="1"/>
  <c r="G3597" i="1"/>
  <c r="F3598" i="1"/>
  <c r="G3598" i="1"/>
  <c r="F3599" i="1"/>
  <c r="G3599" i="1"/>
  <c r="F3600" i="1"/>
  <c r="G3600" i="1"/>
  <c r="F3601" i="1"/>
  <c r="G3601" i="1"/>
  <c r="F3602" i="1"/>
  <c r="G3602" i="1"/>
  <c r="F3603" i="1"/>
  <c r="G3603" i="1"/>
  <c r="F3604" i="1"/>
  <c r="G3604" i="1"/>
  <c r="F3605" i="1"/>
  <c r="G3605" i="1"/>
  <c r="F3606" i="1"/>
  <c r="G3606" i="1"/>
  <c r="F3607" i="1"/>
  <c r="G3607" i="1"/>
  <c r="F3608" i="1"/>
  <c r="G3608" i="1"/>
  <c r="F3609" i="1"/>
  <c r="G3609" i="1"/>
  <c r="F3610" i="1"/>
  <c r="G3610" i="1"/>
  <c r="F3611" i="1"/>
  <c r="G3611" i="1"/>
  <c r="F3612" i="1"/>
  <c r="G3612" i="1"/>
  <c r="F3613" i="1"/>
  <c r="G3613" i="1"/>
  <c r="F3614" i="1"/>
  <c r="G3614" i="1"/>
  <c r="F3615" i="1"/>
  <c r="G3615" i="1"/>
  <c r="F3616" i="1"/>
  <c r="G3616" i="1"/>
  <c r="F3617" i="1"/>
  <c r="G3617" i="1"/>
  <c r="F3618" i="1"/>
  <c r="G3618" i="1"/>
  <c r="F3619" i="1"/>
  <c r="G3619" i="1"/>
  <c r="F3620" i="1"/>
  <c r="G3620" i="1"/>
  <c r="F3621" i="1"/>
  <c r="G3621" i="1"/>
  <c r="F3622" i="1"/>
  <c r="G3622" i="1"/>
  <c r="F3623" i="1"/>
  <c r="G3623" i="1"/>
  <c r="F3624" i="1"/>
  <c r="G3624" i="1"/>
  <c r="F3625" i="1"/>
  <c r="G3625" i="1"/>
  <c r="F3626" i="1"/>
  <c r="G3626" i="1"/>
  <c r="F3627" i="1"/>
  <c r="G3627" i="1"/>
  <c r="F3628" i="1"/>
  <c r="G3628" i="1"/>
  <c r="F3629" i="1"/>
  <c r="G3629" i="1"/>
  <c r="F3630" i="1"/>
  <c r="G3630" i="1"/>
  <c r="F3631" i="1"/>
  <c r="G3631" i="1"/>
  <c r="F3632" i="1"/>
  <c r="G3632" i="1"/>
  <c r="F3633" i="1"/>
  <c r="G3633" i="1"/>
  <c r="F3634" i="1"/>
  <c r="G3634" i="1"/>
  <c r="F3635" i="1"/>
  <c r="G3635" i="1"/>
  <c r="F3636" i="1"/>
  <c r="G3636" i="1"/>
  <c r="F3637" i="1"/>
  <c r="G3637" i="1"/>
  <c r="F3638" i="1"/>
  <c r="G3638" i="1"/>
  <c r="F3639" i="1"/>
  <c r="G3639" i="1"/>
  <c r="F3640" i="1"/>
  <c r="G3640" i="1"/>
  <c r="F3641" i="1"/>
  <c r="G3641" i="1"/>
  <c r="F3642" i="1"/>
  <c r="G3642" i="1"/>
  <c r="F3643" i="1"/>
  <c r="G3643" i="1"/>
  <c r="F3644" i="1"/>
  <c r="G3644" i="1"/>
  <c r="F3645" i="1"/>
  <c r="G3645" i="1"/>
  <c r="F3646" i="1"/>
  <c r="G3646" i="1"/>
  <c r="F3647" i="1"/>
  <c r="G3647" i="1"/>
  <c r="F3648" i="1"/>
  <c r="G3648" i="1"/>
  <c r="F3649" i="1"/>
  <c r="G3649" i="1"/>
  <c r="F3650" i="1"/>
  <c r="G3650" i="1"/>
  <c r="F3651" i="1"/>
  <c r="G3651" i="1"/>
  <c r="F3652" i="1"/>
  <c r="G3652" i="1"/>
  <c r="F3653" i="1"/>
  <c r="G3653" i="1"/>
  <c r="F3654" i="1"/>
  <c r="G3654" i="1"/>
  <c r="F3655" i="1"/>
  <c r="G3655" i="1"/>
  <c r="F3656" i="1"/>
  <c r="G3656" i="1"/>
  <c r="F3657" i="1"/>
  <c r="G3657" i="1"/>
  <c r="F3658" i="1"/>
  <c r="G3658" i="1"/>
  <c r="F3659" i="1"/>
  <c r="G3659" i="1"/>
  <c r="F3660" i="1"/>
  <c r="G3660" i="1"/>
  <c r="F3661" i="1"/>
  <c r="G3661" i="1"/>
  <c r="F3662" i="1"/>
  <c r="G3662" i="1"/>
  <c r="F3663" i="1"/>
  <c r="G3663" i="1"/>
  <c r="F3664" i="1"/>
  <c r="G3664" i="1"/>
  <c r="F3665" i="1"/>
  <c r="G3665" i="1"/>
  <c r="F3666" i="1"/>
  <c r="G3666" i="1"/>
  <c r="F3667" i="1"/>
  <c r="G3667" i="1"/>
  <c r="F3668" i="1"/>
  <c r="G3668" i="1"/>
  <c r="F3669" i="1"/>
  <c r="G3669" i="1"/>
  <c r="F3670" i="1"/>
  <c r="G3670" i="1"/>
  <c r="F3671" i="1"/>
  <c r="G3671" i="1"/>
  <c r="F3672" i="1"/>
  <c r="G3672" i="1"/>
  <c r="F3673" i="1"/>
  <c r="G3673" i="1"/>
  <c r="F3674" i="1"/>
  <c r="G3674" i="1"/>
  <c r="F3675" i="1"/>
  <c r="G3675" i="1"/>
  <c r="F3676" i="1"/>
  <c r="G3676" i="1"/>
  <c r="F3677" i="1"/>
  <c r="G3677" i="1"/>
  <c r="F3678" i="1"/>
  <c r="G3678" i="1"/>
  <c r="F3679" i="1"/>
  <c r="G3679" i="1"/>
  <c r="F3680" i="1"/>
  <c r="G3680" i="1"/>
  <c r="F3681" i="1"/>
  <c r="G3681" i="1"/>
  <c r="F3682" i="1"/>
  <c r="G3682" i="1"/>
  <c r="F3683" i="1"/>
  <c r="G3683" i="1"/>
  <c r="F3684" i="1"/>
  <c r="G3684" i="1"/>
  <c r="F3685" i="1"/>
  <c r="G3685" i="1"/>
  <c r="F3686" i="1"/>
  <c r="G3686" i="1"/>
  <c r="F3687" i="1"/>
  <c r="G3687" i="1"/>
  <c r="F3688" i="1"/>
  <c r="G3688" i="1"/>
  <c r="F3689" i="1"/>
  <c r="G3689" i="1"/>
  <c r="F3690" i="1"/>
  <c r="G3690" i="1"/>
  <c r="F3691" i="1"/>
  <c r="G3691" i="1"/>
  <c r="F3692" i="1"/>
  <c r="G3692" i="1"/>
  <c r="F3693" i="1"/>
  <c r="G3693" i="1"/>
  <c r="F3694" i="1"/>
  <c r="G3694" i="1"/>
  <c r="F3695" i="1"/>
  <c r="G3695" i="1"/>
  <c r="F3696" i="1"/>
  <c r="G3696" i="1"/>
  <c r="F3697" i="1"/>
  <c r="G3697" i="1"/>
  <c r="F3698" i="1"/>
  <c r="G3698" i="1"/>
  <c r="F3699" i="1"/>
  <c r="G3699" i="1"/>
  <c r="F3700" i="1"/>
  <c r="G3700" i="1"/>
  <c r="F3701" i="1"/>
  <c r="G3701" i="1"/>
  <c r="F3702" i="1"/>
  <c r="G3702" i="1"/>
  <c r="F3703" i="1"/>
  <c r="G3703" i="1"/>
  <c r="F3704" i="1"/>
  <c r="G3704" i="1"/>
  <c r="F3705" i="1"/>
  <c r="G3705" i="1"/>
  <c r="F3706" i="1"/>
  <c r="G3706" i="1"/>
  <c r="F3707" i="1"/>
  <c r="G3707" i="1"/>
  <c r="F3708" i="1"/>
  <c r="G3708" i="1"/>
  <c r="F3709" i="1"/>
  <c r="G3709" i="1"/>
  <c r="F3710" i="1"/>
  <c r="G3710" i="1"/>
  <c r="F3711" i="1"/>
  <c r="G3711" i="1"/>
  <c r="F3712" i="1"/>
  <c r="G3712" i="1"/>
  <c r="F3713" i="1"/>
  <c r="G3713" i="1"/>
  <c r="F3714" i="1"/>
  <c r="G3714" i="1"/>
  <c r="F3715" i="1"/>
  <c r="G3715" i="1"/>
  <c r="F3716" i="1"/>
  <c r="G3716" i="1"/>
  <c r="F3717" i="1"/>
  <c r="G3717" i="1"/>
  <c r="F3718" i="1"/>
  <c r="G3718" i="1"/>
  <c r="F3719" i="1"/>
  <c r="G3719" i="1"/>
  <c r="F3720" i="1"/>
  <c r="G3720" i="1"/>
  <c r="F3721" i="1"/>
  <c r="G3721" i="1"/>
  <c r="F3722" i="1"/>
  <c r="G3722" i="1"/>
  <c r="F3723" i="1"/>
  <c r="G3723" i="1"/>
  <c r="F3724" i="1"/>
  <c r="G3724" i="1"/>
  <c r="F3725" i="1"/>
  <c r="G3725" i="1"/>
  <c r="F3726" i="1"/>
  <c r="G3726" i="1"/>
  <c r="F3727" i="1"/>
  <c r="G3727" i="1"/>
  <c r="F3728" i="1"/>
  <c r="G3728" i="1"/>
  <c r="F3729" i="1"/>
  <c r="G3729" i="1"/>
  <c r="F3730" i="1"/>
  <c r="G3730" i="1"/>
  <c r="F3731" i="1"/>
  <c r="G3731" i="1"/>
  <c r="F3732" i="1"/>
  <c r="G3732" i="1"/>
  <c r="F3733" i="1"/>
  <c r="G3733" i="1"/>
  <c r="F3734" i="1"/>
  <c r="G3734" i="1"/>
  <c r="F3735" i="1"/>
  <c r="G3735" i="1"/>
  <c r="F3736" i="1"/>
  <c r="G3736" i="1"/>
  <c r="F3737" i="1"/>
  <c r="G3737" i="1"/>
  <c r="F3738" i="1"/>
  <c r="G3738" i="1"/>
  <c r="F3739" i="1"/>
  <c r="G3739" i="1"/>
  <c r="F3740" i="1"/>
  <c r="G3740" i="1"/>
  <c r="F3741" i="1"/>
  <c r="G3741" i="1"/>
  <c r="F3742" i="1"/>
  <c r="G3742" i="1"/>
  <c r="F3743" i="1"/>
  <c r="G3743" i="1"/>
  <c r="F3744" i="1"/>
  <c r="G3744" i="1"/>
  <c r="F3745" i="1"/>
  <c r="G3745" i="1"/>
  <c r="F3746" i="1"/>
  <c r="G3746" i="1"/>
  <c r="F3747" i="1"/>
  <c r="G3747" i="1"/>
  <c r="F3748" i="1"/>
  <c r="G3748" i="1"/>
  <c r="F3749" i="1"/>
  <c r="G3749" i="1"/>
  <c r="F3750" i="1"/>
  <c r="G3750" i="1"/>
  <c r="F3751" i="1"/>
  <c r="G3751" i="1"/>
  <c r="F3752" i="1"/>
  <c r="G3752" i="1"/>
  <c r="F3753" i="1"/>
  <c r="G3753" i="1"/>
  <c r="F3754" i="1"/>
  <c r="G3754" i="1"/>
  <c r="F3755" i="1"/>
  <c r="G3755" i="1"/>
  <c r="F3756" i="1"/>
  <c r="G3756" i="1"/>
  <c r="F3757" i="1"/>
  <c r="G3757" i="1"/>
  <c r="F3758" i="1"/>
  <c r="G3758" i="1"/>
  <c r="F3759" i="1"/>
  <c r="G3759" i="1"/>
  <c r="F3760" i="1"/>
  <c r="G3760" i="1"/>
  <c r="F3761" i="1"/>
  <c r="G3761" i="1"/>
  <c r="F3762" i="1"/>
  <c r="G3762" i="1"/>
  <c r="F3763" i="1"/>
  <c r="G3763" i="1"/>
  <c r="F3764" i="1"/>
  <c r="G3764" i="1"/>
  <c r="F3765" i="1"/>
  <c r="G3765" i="1"/>
  <c r="F3766" i="1"/>
  <c r="G3766" i="1"/>
  <c r="F3767" i="1"/>
  <c r="G3767" i="1"/>
  <c r="F3768" i="1"/>
  <c r="G3768" i="1"/>
  <c r="F3769" i="1"/>
  <c r="G3769" i="1"/>
  <c r="F3770" i="1"/>
  <c r="G3770" i="1"/>
  <c r="F3771" i="1"/>
  <c r="G3771" i="1"/>
  <c r="F3772" i="1"/>
  <c r="G3772" i="1"/>
  <c r="F3773" i="1"/>
  <c r="G3773" i="1"/>
  <c r="F3774" i="1"/>
  <c r="G3774" i="1"/>
  <c r="F3775" i="1"/>
  <c r="G3775" i="1"/>
  <c r="F3776" i="1"/>
  <c r="G3776" i="1"/>
  <c r="F3777" i="1"/>
  <c r="G3777" i="1"/>
  <c r="F3778" i="1"/>
  <c r="G3778" i="1"/>
  <c r="F3779" i="1"/>
  <c r="G3779" i="1"/>
  <c r="F3780" i="1"/>
  <c r="G3780" i="1"/>
  <c r="F3781" i="1"/>
  <c r="G3781" i="1"/>
  <c r="F3782" i="1"/>
  <c r="G3782" i="1"/>
  <c r="F3783" i="1"/>
  <c r="G3783" i="1"/>
  <c r="F3784" i="1"/>
  <c r="G3784" i="1"/>
  <c r="F3785" i="1"/>
  <c r="G3785" i="1"/>
  <c r="F3786" i="1"/>
  <c r="G3786" i="1"/>
  <c r="F3787" i="1"/>
  <c r="G3787" i="1"/>
  <c r="F3788" i="1"/>
  <c r="G3788" i="1"/>
  <c r="F3789" i="1"/>
  <c r="G3789" i="1"/>
  <c r="F3790" i="1"/>
  <c r="G3790" i="1"/>
  <c r="F3791" i="1"/>
  <c r="G3791" i="1"/>
  <c r="F3792" i="1"/>
  <c r="G3792" i="1"/>
  <c r="F3793" i="1"/>
  <c r="G3793" i="1"/>
  <c r="F3794" i="1"/>
  <c r="G3794" i="1"/>
  <c r="F3795" i="1"/>
  <c r="G3795" i="1"/>
  <c r="F3796" i="1"/>
  <c r="G3796" i="1"/>
  <c r="F3797" i="1"/>
  <c r="G3797" i="1"/>
  <c r="F3798" i="1"/>
  <c r="G3798" i="1"/>
  <c r="F3799" i="1"/>
  <c r="G3799" i="1"/>
  <c r="F3800" i="1"/>
  <c r="G3800" i="1"/>
  <c r="F3801" i="1"/>
  <c r="G3801" i="1"/>
  <c r="F3802" i="1"/>
  <c r="G3802" i="1"/>
  <c r="F3803" i="1"/>
  <c r="G3803" i="1"/>
  <c r="F3804" i="1"/>
  <c r="G3804" i="1"/>
  <c r="F3805" i="1"/>
  <c r="G3805" i="1"/>
  <c r="F3806" i="1"/>
  <c r="G3806" i="1"/>
  <c r="F3807" i="1"/>
  <c r="G3807" i="1"/>
  <c r="F3808" i="1"/>
  <c r="G3808" i="1"/>
  <c r="F3809" i="1"/>
  <c r="G3809" i="1"/>
  <c r="F3810" i="1"/>
  <c r="G3810" i="1"/>
  <c r="F3811" i="1"/>
  <c r="G3811" i="1"/>
  <c r="F3812" i="1"/>
  <c r="G3812" i="1"/>
  <c r="F3813" i="1"/>
  <c r="G3813" i="1"/>
  <c r="F3814" i="1"/>
  <c r="G3814" i="1"/>
  <c r="F3815" i="1"/>
  <c r="G3815" i="1"/>
  <c r="F3816" i="1"/>
  <c r="G3816" i="1"/>
  <c r="F3817" i="1"/>
  <c r="G3817" i="1"/>
  <c r="F3818" i="1"/>
  <c r="G3818" i="1"/>
  <c r="F3819" i="1"/>
  <c r="G3819" i="1"/>
  <c r="F3820" i="1"/>
  <c r="G3820" i="1"/>
  <c r="F3821" i="1"/>
  <c r="G3821" i="1"/>
  <c r="F3822" i="1"/>
  <c r="G3822" i="1"/>
  <c r="F3823" i="1"/>
  <c r="G3823" i="1"/>
  <c r="F3824" i="1"/>
  <c r="G3824" i="1"/>
  <c r="F3825" i="1"/>
  <c r="G3825" i="1"/>
  <c r="F3826" i="1"/>
  <c r="G3826" i="1"/>
  <c r="F3827" i="1"/>
  <c r="G3827" i="1"/>
  <c r="F3828" i="1"/>
  <c r="G3828" i="1"/>
  <c r="F3829" i="1"/>
  <c r="G3829" i="1"/>
  <c r="F3830" i="1"/>
  <c r="G3830" i="1"/>
  <c r="F3831" i="1"/>
  <c r="G3831" i="1"/>
  <c r="F3832" i="1"/>
  <c r="G3832" i="1"/>
  <c r="F3833" i="1"/>
  <c r="G3833" i="1"/>
  <c r="F3834" i="1"/>
  <c r="G3834" i="1"/>
  <c r="F3835" i="1"/>
  <c r="G3835" i="1"/>
  <c r="F3836" i="1"/>
  <c r="G3836" i="1"/>
  <c r="F3837" i="1"/>
  <c r="G3837" i="1"/>
  <c r="F3838" i="1"/>
  <c r="G3838" i="1"/>
  <c r="F3839" i="1"/>
  <c r="G3839" i="1"/>
  <c r="F3840" i="1"/>
  <c r="G3840" i="1"/>
  <c r="F3841" i="1"/>
  <c r="G3841" i="1"/>
  <c r="F3842" i="1"/>
  <c r="G3842" i="1"/>
  <c r="F3843" i="1"/>
  <c r="G3843" i="1"/>
  <c r="F3844" i="1"/>
  <c r="G3844" i="1"/>
  <c r="F3845" i="1"/>
  <c r="G3845" i="1"/>
  <c r="F3846" i="1"/>
  <c r="G3846" i="1"/>
  <c r="F3847" i="1"/>
  <c r="G3847" i="1"/>
  <c r="F3848" i="1"/>
  <c r="G3848" i="1"/>
  <c r="F3849" i="1"/>
  <c r="G3849" i="1"/>
  <c r="F3850" i="1"/>
  <c r="G3850" i="1"/>
  <c r="F3851" i="1"/>
  <c r="G3851" i="1"/>
  <c r="F3852" i="1"/>
  <c r="G3852" i="1"/>
  <c r="F3853" i="1"/>
  <c r="G3853" i="1"/>
  <c r="F3854" i="1"/>
  <c r="G3854" i="1"/>
  <c r="F3855" i="1"/>
  <c r="G3855" i="1"/>
  <c r="F3856" i="1"/>
  <c r="G3856" i="1"/>
  <c r="F3857" i="1"/>
  <c r="G3857" i="1"/>
  <c r="F3858" i="1"/>
  <c r="G3858" i="1"/>
  <c r="F3859" i="1"/>
  <c r="G3859" i="1"/>
  <c r="F3860" i="1"/>
  <c r="G3860" i="1"/>
  <c r="F3861" i="1"/>
  <c r="G3861" i="1"/>
  <c r="F3862" i="1"/>
  <c r="G3862" i="1"/>
  <c r="F3863" i="1"/>
  <c r="G3863" i="1"/>
  <c r="F3864" i="1"/>
  <c r="G3864" i="1"/>
  <c r="F3865" i="1"/>
  <c r="G3865" i="1"/>
  <c r="F3866" i="1"/>
  <c r="G3866" i="1"/>
  <c r="F3867" i="1"/>
  <c r="G3867" i="1"/>
  <c r="F3868" i="1"/>
  <c r="G3868" i="1"/>
  <c r="F3869" i="1"/>
  <c r="G3869" i="1"/>
  <c r="F3870" i="1"/>
  <c r="G3870" i="1"/>
  <c r="F3871" i="1"/>
  <c r="G3871" i="1"/>
  <c r="F3872" i="1"/>
  <c r="G3872" i="1"/>
  <c r="F3873" i="1"/>
  <c r="G3873" i="1"/>
  <c r="F3874" i="1"/>
  <c r="G3874" i="1"/>
  <c r="F3875" i="1"/>
  <c r="G3875" i="1"/>
  <c r="F3876" i="1"/>
  <c r="G3876" i="1"/>
  <c r="F3877" i="1"/>
  <c r="G3877" i="1"/>
  <c r="F3878" i="1"/>
  <c r="G3878" i="1"/>
  <c r="F3879" i="1"/>
  <c r="G3879" i="1"/>
  <c r="F3880" i="1"/>
  <c r="G3880" i="1"/>
  <c r="F3881" i="1"/>
  <c r="G3881" i="1"/>
  <c r="F3882" i="1"/>
  <c r="G3882" i="1"/>
  <c r="F3883" i="1"/>
  <c r="G3883" i="1"/>
  <c r="F3884" i="1"/>
  <c r="G3884" i="1"/>
  <c r="F3885" i="1"/>
  <c r="G3885" i="1"/>
  <c r="F3886" i="1"/>
  <c r="G3886" i="1"/>
  <c r="F3887" i="1"/>
  <c r="G3887" i="1"/>
  <c r="F3888" i="1"/>
  <c r="G3888" i="1"/>
  <c r="F3889" i="1"/>
  <c r="G3889" i="1"/>
  <c r="F3890" i="1"/>
  <c r="G3890" i="1"/>
  <c r="F3891" i="1"/>
  <c r="G3891" i="1"/>
  <c r="F3892" i="1"/>
  <c r="G3892" i="1"/>
  <c r="F3893" i="1"/>
  <c r="G3893" i="1"/>
  <c r="F3894" i="1"/>
  <c r="G3894" i="1"/>
  <c r="F3895" i="1"/>
  <c r="G3895" i="1"/>
  <c r="F3896" i="1"/>
  <c r="G3896" i="1"/>
  <c r="F3897" i="1"/>
  <c r="G3897" i="1"/>
  <c r="F3898" i="1"/>
  <c r="G3898" i="1"/>
  <c r="F3899" i="1"/>
  <c r="G3899" i="1"/>
  <c r="F3900" i="1"/>
  <c r="G3900" i="1"/>
  <c r="F3901" i="1"/>
  <c r="G3901" i="1"/>
  <c r="F3902" i="1"/>
  <c r="G3902" i="1"/>
  <c r="F3903" i="1"/>
  <c r="G3903" i="1"/>
  <c r="F3904" i="1"/>
  <c r="G3904" i="1"/>
  <c r="F3905" i="1"/>
  <c r="G3905" i="1"/>
  <c r="F3906" i="1"/>
  <c r="G3906" i="1"/>
  <c r="F3907" i="1"/>
  <c r="G3907" i="1"/>
  <c r="F3908" i="1"/>
  <c r="G3908" i="1"/>
  <c r="F3909" i="1"/>
  <c r="G3909" i="1"/>
  <c r="F3910" i="1"/>
  <c r="G3910" i="1"/>
  <c r="F3911" i="1"/>
  <c r="G3911" i="1"/>
  <c r="F3912" i="1"/>
  <c r="G3912" i="1"/>
  <c r="F3913" i="1"/>
  <c r="G3913" i="1"/>
  <c r="F3914" i="1"/>
  <c r="G3914" i="1"/>
  <c r="F3915" i="1"/>
  <c r="G3915" i="1"/>
  <c r="F3916" i="1"/>
  <c r="G3916" i="1"/>
  <c r="F3917" i="1"/>
  <c r="G3917" i="1"/>
  <c r="F3918" i="1"/>
  <c r="G3918" i="1"/>
  <c r="F3919" i="1"/>
  <c r="G3919" i="1"/>
  <c r="F3920" i="1"/>
  <c r="G3920" i="1"/>
  <c r="F3921" i="1"/>
  <c r="G3921" i="1"/>
  <c r="F3922" i="1"/>
  <c r="G3922" i="1"/>
  <c r="F3923" i="1"/>
  <c r="G3923" i="1"/>
  <c r="F3924" i="1"/>
  <c r="G3924" i="1"/>
  <c r="F3925" i="1"/>
  <c r="G3925" i="1"/>
  <c r="F3926" i="1"/>
  <c r="G3926" i="1"/>
  <c r="F3927" i="1"/>
  <c r="G3927" i="1"/>
  <c r="F3928" i="1"/>
  <c r="G3928" i="1"/>
  <c r="F3929" i="1"/>
  <c r="G3929" i="1"/>
  <c r="F3930" i="1"/>
  <c r="G3930" i="1"/>
  <c r="F3931" i="1"/>
  <c r="G3931" i="1"/>
  <c r="F3932" i="1"/>
  <c r="G3932" i="1"/>
  <c r="F3933" i="1"/>
  <c r="G3933" i="1"/>
  <c r="F3934" i="1"/>
  <c r="G3934" i="1"/>
  <c r="F3935" i="1"/>
  <c r="G3935" i="1"/>
  <c r="F3936" i="1"/>
  <c r="G3936" i="1"/>
  <c r="F3937" i="1"/>
  <c r="G3937" i="1"/>
  <c r="F3938" i="1"/>
  <c r="G3938" i="1"/>
  <c r="F3939" i="1"/>
  <c r="G3939" i="1"/>
  <c r="F3940" i="1"/>
  <c r="G3940" i="1"/>
  <c r="F3941" i="1"/>
  <c r="G3941" i="1"/>
  <c r="F3942" i="1"/>
  <c r="G3942" i="1"/>
  <c r="F3943" i="1"/>
  <c r="G3943" i="1"/>
  <c r="F3944" i="1"/>
  <c r="G3944" i="1"/>
  <c r="F3945" i="1"/>
  <c r="G3945" i="1"/>
  <c r="F3946" i="1"/>
  <c r="G3946" i="1"/>
  <c r="F3947" i="1"/>
  <c r="G3947" i="1"/>
  <c r="F3948" i="1"/>
  <c r="G3948" i="1"/>
  <c r="F3949" i="1"/>
  <c r="G3949" i="1"/>
  <c r="F3950" i="1"/>
  <c r="G3950" i="1"/>
  <c r="F3951" i="1"/>
  <c r="G3951" i="1"/>
  <c r="F3952" i="1"/>
  <c r="G3952" i="1"/>
  <c r="F3953" i="1"/>
  <c r="G3953" i="1"/>
  <c r="F3954" i="1"/>
  <c r="G3954" i="1"/>
  <c r="F3955" i="1"/>
  <c r="G3955" i="1"/>
  <c r="F3956" i="1"/>
  <c r="G3956" i="1"/>
  <c r="F3957" i="1"/>
  <c r="G3957" i="1"/>
  <c r="F3958" i="1"/>
  <c r="G3958" i="1"/>
  <c r="F3959" i="1"/>
  <c r="G3959" i="1"/>
  <c r="F3960" i="1"/>
  <c r="G3960" i="1"/>
  <c r="F3961" i="1"/>
  <c r="G3961" i="1"/>
  <c r="F3962" i="1"/>
  <c r="G3962" i="1"/>
  <c r="F3963" i="1"/>
  <c r="G3963" i="1"/>
  <c r="F3964" i="1"/>
  <c r="G3964" i="1"/>
  <c r="F3965" i="1"/>
  <c r="G3965" i="1"/>
  <c r="F3966" i="1"/>
  <c r="G3966" i="1"/>
  <c r="F3967" i="1"/>
  <c r="G3967" i="1"/>
  <c r="F3968" i="1"/>
  <c r="G3968" i="1"/>
  <c r="F3969" i="1"/>
  <c r="G3969" i="1"/>
  <c r="F3970" i="1"/>
  <c r="G3970" i="1"/>
  <c r="F3971" i="1"/>
  <c r="G3971" i="1"/>
  <c r="F3972" i="1"/>
  <c r="G3972" i="1"/>
  <c r="F3973" i="1"/>
  <c r="G3973" i="1"/>
  <c r="F3974" i="1"/>
  <c r="G3974" i="1"/>
  <c r="F3975" i="1"/>
  <c r="G3975" i="1"/>
  <c r="F3976" i="1"/>
  <c r="G3976" i="1"/>
  <c r="F3977" i="1"/>
  <c r="G3977" i="1"/>
  <c r="F3978" i="1"/>
  <c r="G3978" i="1"/>
  <c r="F3979" i="1"/>
  <c r="G3979" i="1"/>
  <c r="F3980" i="1"/>
  <c r="G3980" i="1"/>
  <c r="F3981" i="1"/>
  <c r="G3981" i="1"/>
  <c r="F3982" i="1"/>
  <c r="G3982" i="1"/>
  <c r="F3983" i="1"/>
  <c r="G3983" i="1"/>
  <c r="F3984" i="1"/>
  <c r="G3984" i="1"/>
  <c r="F3985" i="1"/>
  <c r="G3985" i="1"/>
  <c r="F3986" i="1"/>
  <c r="G3986" i="1"/>
  <c r="F3987" i="1"/>
  <c r="G3987" i="1"/>
  <c r="F3988" i="1"/>
  <c r="G3988" i="1"/>
  <c r="F3989" i="1"/>
  <c r="G3989" i="1"/>
  <c r="F3990" i="1"/>
  <c r="G3990" i="1"/>
  <c r="F3991" i="1"/>
  <c r="G3991" i="1"/>
  <c r="F3992" i="1"/>
  <c r="G3992" i="1"/>
  <c r="F3993" i="1"/>
  <c r="G3993" i="1"/>
  <c r="F3994" i="1"/>
  <c r="G3994" i="1"/>
  <c r="F3995" i="1"/>
  <c r="G3995" i="1"/>
  <c r="F3996" i="1"/>
  <c r="G3996" i="1"/>
  <c r="F3997" i="1"/>
  <c r="G3997" i="1"/>
  <c r="F3998" i="1"/>
  <c r="G3998" i="1"/>
  <c r="F3999" i="1"/>
  <c r="G3999" i="1"/>
  <c r="F4000" i="1"/>
  <c r="G4000" i="1"/>
  <c r="F4001" i="1"/>
  <c r="G4001" i="1"/>
  <c r="F4002" i="1"/>
  <c r="G4002" i="1"/>
  <c r="F4003" i="1"/>
  <c r="G4003" i="1"/>
  <c r="F4004" i="1"/>
  <c r="G4004" i="1"/>
  <c r="F4005" i="1"/>
  <c r="G4005" i="1"/>
  <c r="F4006" i="1"/>
  <c r="G4006" i="1"/>
  <c r="F4007" i="1"/>
  <c r="G4007" i="1"/>
  <c r="F4008" i="1"/>
  <c r="G4008" i="1"/>
  <c r="F4009" i="1"/>
  <c r="G4009" i="1"/>
  <c r="F4010" i="1"/>
  <c r="G4010" i="1"/>
  <c r="F4011" i="1"/>
  <c r="G4011" i="1"/>
  <c r="F4012" i="1"/>
  <c r="G4012" i="1"/>
  <c r="F4013" i="1"/>
  <c r="G4013" i="1"/>
  <c r="F4014" i="1"/>
  <c r="G4014" i="1"/>
  <c r="F4015" i="1"/>
  <c r="G4015" i="1"/>
  <c r="F4016" i="1"/>
  <c r="G4016" i="1"/>
  <c r="F4017" i="1"/>
  <c r="G4017" i="1"/>
  <c r="F4018" i="1"/>
  <c r="G4018" i="1"/>
  <c r="F4019" i="1"/>
  <c r="G4019" i="1"/>
  <c r="F4020" i="1"/>
  <c r="G4020" i="1"/>
  <c r="F4021" i="1"/>
  <c r="G4021" i="1"/>
  <c r="F4022" i="1"/>
  <c r="G4022" i="1"/>
  <c r="F4023" i="1"/>
  <c r="G4023" i="1"/>
  <c r="F4024" i="1"/>
  <c r="G4024" i="1"/>
  <c r="F4025" i="1"/>
  <c r="G4025" i="1"/>
  <c r="F4026" i="1"/>
  <c r="G4026" i="1"/>
  <c r="F4027" i="1"/>
  <c r="G4027" i="1"/>
  <c r="F4028" i="1"/>
  <c r="G4028" i="1"/>
  <c r="F4029" i="1"/>
  <c r="G4029" i="1"/>
  <c r="F4030" i="1"/>
  <c r="G4030" i="1"/>
  <c r="F4031" i="1"/>
  <c r="G4031" i="1"/>
  <c r="F4032" i="1"/>
  <c r="G4032" i="1"/>
  <c r="F4033" i="1"/>
  <c r="G4033" i="1"/>
  <c r="F4034" i="1"/>
  <c r="G4034" i="1"/>
  <c r="F4035" i="1"/>
  <c r="G4035" i="1"/>
  <c r="F4036" i="1"/>
  <c r="G4036" i="1"/>
  <c r="F4037" i="1"/>
  <c r="G4037" i="1"/>
  <c r="F4038" i="1"/>
  <c r="G4038" i="1"/>
  <c r="F4039" i="1"/>
  <c r="G4039" i="1"/>
  <c r="F4040" i="1"/>
  <c r="G4040" i="1"/>
  <c r="F4041" i="1"/>
  <c r="G4041" i="1"/>
  <c r="F4042" i="1"/>
  <c r="G4042" i="1"/>
  <c r="F4043" i="1"/>
  <c r="G4043" i="1"/>
  <c r="F4044" i="1"/>
  <c r="G4044" i="1"/>
  <c r="F4045" i="1"/>
  <c r="G4045" i="1"/>
  <c r="F4046" i="1"/>
  <c r="G4046" i="1"/>
  <c r="F4047" i="1"/>
  <c r="G4047" i="1"/>
  <c r="F4048" i="1"/>
  <c r="G4048" i="1"/>
  <c r="F4049" i="1"/>
  <c r="G4049" i="1"/>
  <c r="F4050" i="1"/>
  <c r="G4050" i="1"/>
  <c r="F4051" i="1"/>
  <c r="G4051" i="1"/>
  <c r="F4052" i="1"/>
  <c r="G4052" i="1"/>
  <c r="F4053" i="1"/>
  <c r="G4053" i="1"/>
  <c r="F4054" i="1"/>
  <c r="G4054" i="1"/>
  <c r="F4055" i="1"/>
  <c r="G4055" i="1"/>
  <c r="F4056" i="1"/>
  <c r="G4056" i="1"/>
  <c r="F4057" i="1"/>
  <c r="G4057" i="1"/>
  <c r="F4058" i="1"/>
  <c r="G4058" i="1"/>
  <c r="F4059" i="1"/>
  <c r="G4059" i="1"/>
  <c r="F4060" i="1"/>
  <c r="G4060" i="1"/>
  <c r="F4061" i="1"/>
  <c r="G4061" i="1"/>
  <c r="F4062" i="1"/>
  <c r="G4062" i="1"/>
  <c r="F4063" i="1"/>
  <c r="G4063" i="1"/>
  <c r="F4064" i="1"/>
  <c r="G4064" i="1"/>
  <c r="F4065" i="1"/>
  <c r="G4065" i="1"/>
  <c r="F4066" i="1"/>
  <c r="G4066" i="1"/>
  <c r="F4067" i="1"/>
  <c r="G4067" i="1"/>
  <c r="F4068" i="1"/>
  <c r="G4068" i="1"/>
  <c r="F4069" i="1"/>
  <c r="G4069" i="1"/>
  <c r="F4070" i="1"/>
  <c r="G4070" i="1"/>
  <c r="F4071" i="1"/>
  <c r="G4071" i="1"/>
  <c r="F4072" i="1"/>
  <c r="G4072" i="1"/>
  <c r="F4073" i="1"/>
  <c r="G4073" i="1"/>
  <c r="F4074" i="1"/>
  <c r="G4074" i="1"/>
  <c r="F4075" i="1"/>
  <c r="G4075" i="1"/>
  <c r="F4076" i="1"/>
  <c r="G4076" i="1"/>
  <c r="F4077" i="1"/>
  <c r="G4077" i="1"/>
  <c r="F4078" i="1"/>
  <c r="G4078" i="1"/>
  <c r="F4079" i="1"/>
  <c r="G4079" i="1"/>
  <c r="F4080" i="1"/>
  <c r="G4080" i="1"/>
  <c r="F4081" i="1"/>
  <c r="G4081" i="1"/>
  <c r="F4082" i="1"/>
  <c r="G4082" i="1"/>
  <c r="F4083" i="1"/>
  <c r="G4083" i="1"/>
  <c r="F4084" i="1"/>
  <c r="G4084" i="1"/>
  <c r="F4085" i="1"/>
  <c r="G4085" i="1"/>
  <c r="F4086" i="1"/>
  <c r="G4086" i="1"/>
  <c r="F4087" i="1"/>
  <c r="G4087" i="1"/>
  <c r="F4088" i="1"/>
  <c r="G4088" i="1"/>
  <c r="F4089" i="1"/>
  <c r="G4089" i="1"/>
  <c r="F4090" i="1"/>
  <c r="G4090" i="1"/>
  <c r="F4091" i="1"/>
  <c r="G4091" i="1"/>
  <c r="F4092" i="1"/>
  <c r="G4092" i="1"/>
  <c r="F4093" i="1"/>
  <c r="G4093" i="1"/>
  <c r="F4094" i="1"/>
  <c r="G4094" i="1"/>
  <c r="F4095" i="1"/>
  <c r="G4095" i="1"/>
  <c r="F4096" i="1"/>
  <c r="G4096" i="1"/>
  <c r="F4097" i="1"/>
  <c r="G4097" i="1"/>
  <c r="F4098" i="1"/>
  <c r="G4098" i="1"/>
  <c r="F4099" i="1"/>
  <c r="G4099" i="1"/>
  <c r="F4100" i="1"/>
  <c r="G4100" i="1"/>
  <c r="F4101" i="1"/>
  <c r="G4101" i="1"/>
  <c r="F4102" i="1"/>
  <c r="G4102" i="1"/>
  <c r="F4103" i="1"/>
  <c r="G4103" i="1"/>
  <c r="F4104" i="1"/>
  <c r="G4104" i="1"/>
  <c r="F4105" i="1"/>
  <c r="G4105" i="1"/>
  <c r="F4106" i="1"/>
  <c r="G4106" i="1"/>
  <c r="F4107" i="1"/>
  <c r="G4107" i="1"/>
  <c r="F4108" i="1"/>
  <c r="G4108" i="1"/>
  <c r="F4109" i="1"/>
  <c r="G4109" i="1"/>
  <c r="F4110" i="1"/>
  <c r="G4110" i="1"/>
  <c r="F4111" i="1"/>
  <c r="G4111" i="1"/>
  <c r="F4112" i="1"/>
  <c r="G4112" i="1"/>
  <c r="F4113" i="1"/>
  <c r="G4113" i="1"/>
  <c r="F4114" i="1"/>
  <c r="G4114" i="1"/>
  <c r="F4115" i="1"/>
  <c r="G4115" i="1"/>
  <c r="F4116" i="1"/>
  <c r="G4116" i="1"/>
  <c r="F4117" i="1"/>
  <c r="G4117" i="1"/>
  <c r="F4118" i="1"/>
  <c r="G4118" i="1"/>
  <c r="F4119" i="1"/>
  <c r="G4119" i="1"/>
  <c r="F4120" i="1"/>
  <c r="G4120" i="1"/>
  <c r="F4121" i="1"/>
  <c r="G4121" i="1"/>
  <c r="F4122" i="1"/>
  <c r="G4122" i="1"/>
  <c r="F4123" i="1"/>
  <c r="G4123" i="1"/>
  <c r="F4124" i="1"/>
  <c r="G4124" i="1"/>
  <c r="F4125" i="1"/>
  <c r="G4125" i="1"/>
  <c r="F4126" i="1"/>
  <c r="G4126" i="1"/>
  <c r="F4127" i="1"/>
  <c r="G4127" i="1"/>
  <c r="F4128" i="1"/>
  <c r="G4128" i="1"/>
  <c r="F4129" i="1"/>
  <c r="G4129" i="1"/>
  <c r="F4130" i="1"/>
  <c r="G4130" i="1"/>
  <c r="F4131" i="1"/>
  <c r="G4131" i="1"/>
  <c r="F4132" i="1"/>
  <c r="G4132" i="1"/>
  <c r="F4133" i="1"/>
  <c r="G4133" i="1"/>
  <c r="F4134" i="1"/>
  <c r="G4134" i="1"/>
  <c r="F4135" i="1"/>
  <c r="G4135" i="1"/>
  <c r="F4136" i="1"/>
  <c r="G4136" i="1"/>
  <c r="F4137" i="1"/>
  <c r="G4137" i="1"/>
  <c r="F4138" i="1"/>
  <c r="G4138" i="1"/>
  <c r="F4139" i="1"/>
  <c r="G4139" i="1"/>
  <c r="F4140" i="1"/>
  <c r="G4140" i="1"/>
  <c r="F4141" i="1"/>
  <c r="G4141" i="1"/>
  <c r="F4142" i="1"/>
  <c r="G4142" i="1"/>
  <c r="F4143" i="1"/>
  <c r="G4143" i="1"/>
  <c r="F4144" i="1"/>
  <c r="G4144" i="1"/>
  <c r="F4145" i="1"/>
  <c r="G4145" i="1"/>
  <c r="F4146" i="1"/>
  <c r="G4146" i="1"/>
  <c r="F4147" i="1"/>
  <c r="G4147" i="1"/>
  <c r="F4148" i="1"/>
  <c r="G4148" i="1"/>
  <c r="F4149" i="1"/>
  <c r="G4149" i="1"/>
  <c r="F4150" i="1"/>
  <c r="G4150" i="1"/>
  <c r="F4151" i="1"/>
  <c r="G4151" i="1"/>
  <c r="F4152" i="1"/>
  <c r="G4152" i="1"/>
  <c r="F4153" i="1"/>
  <c r="G4153" i="1"/>
  <c r="F4154" i="1"/>
  <c r="G4154" i="1"/>
  <c r="F4155" i="1"/>
  <c r="G4155" i="1"/>
  <c r="F4156" i="1"/>
  <c r="G4156" i="1"/>
  <c r="F4157" i="1"/>
  <c r="G4157" i="1"/>
  <c r="F4158" i="1"/>
  <c r="G4158" i="1"/>
  <c r="F4159" i="1"/>
  <c r="G4159" i="1"/>
  <c r="F4160" i="1"/>
  <c r="G4160" i="1"/>
  <c r="F4161" i="1"/>
  <c r="G4161" i="1"/>
  <c r="F4162" i="1"/>
  <c r="G4162" i="1"/>
  <c r="F4163" i="1"/>
  <c r="G4163" i="1"/>
  <c r="F4164" i="1"/>
  <c r="G4164" i="1"/>
  <c r="F4165" i="1"/>
  <c r="G4165" i="1"/>
  <c r="F4166" i="1"/>
  <c r="G4166" i="1"/>
  <c r="F4167" i="1"/>
  <c r="G4167" i="1"/>
  <c r="F4168" i="1"/>
  <c r="G4168" i="1"/>
  <c r="F4169" i="1"/>
  <c r="G4169" i="1"/>
  <c r="F4170" i="1"/>
  <c r="G4170" i="1"/>
  <c r="F4171" i="1"/>
  <c r="G4171" i="1"/>
  <c r="F4172" i="1"/>
  <c r="G4172" i="1"/>
  <c r="F4173" i="1"/>
  <c r="G4173" i="1"/>
  <c r="F4174" i="1"/>
  <c r="G4174" i="1"/>
  <c r="F4175" i="1"/>
  <c r="G4175" i="1"/>
  <c r="F4176" i="1"/>
  <c r="G4176" i="1"/>
  <c r="F4177" i="1"/>
  <c r="G4177" i="1"/>
  <c r="F4178" i="1"/>
  <c r="G4178" i="1"/>
  <c r="F4179" i="1"/>
  <c r="G4179" i="1"/>
  <c r="F4180" i="1"/>
  <c r="G4180" i="1"/>
  <c r="F4181" i="1"/>
  <c r="G4181" i="1"/>
  <c r="F4182" i="1"/>
  <c r="G4182" i="1"/>
  <c r="F4183" i="1"/>
  <c r="G4183" i="1"/>
  <c r="F4184" i="1"/>
  <c r="G4184" i="1"/>
  <c r="F4185" i="1"/>
  <c r="G4185" i="1"/>
  <c r="F4186" i="1"/>
  <c r="G4186" i="1"/>
  <c r="F4187" i="1"/>
  <c r="G4187" i="1"/>
  <c r="F4188" i="1"/>
  <c r="G4188" i="1"/>
  <c r="F4189" i="1"/>
  <c r="G4189" i="1"/>
  <c r="F4190" i="1"/>
  <c r="G4190" i="1"/>
  <c r="F4191" i="1"/>
  <c r="G4191" i="1"/>
  <c r="F4192" i="1"/>
  <c r="G4192" i="1"/>
  <c r="F4193" i="1"/>
  <c r="G4193" i="1"/>
  <c r="F4194" i="1"/>
  <c r="G4194" i="1"/>
  <c r="F4195" i="1"/>
  <c r="G4195" i="1"/>
  <c r="F4196" i="1"/>
  <c r="G4196" i="1"/>
  <c r="F4197" i="1"/>
  <c r="G4197" i="1"/>
  <c r="F4198" i="1"/>
  <c r="G4198" i="1"/>
  <c r="F4199" i="1"/>
  <c r="G4199" i="1"/>
  <c r="F4200" i="1"/>
  <c r="G4200" i="1"/>
  <c r="F4201" i="1"/>
  <c r="G4201" i="1"/>
  <c r="F4202" i="1"/>
  <c r="G4202" i="1"/>
  <c r="F4203" i="1"/>
  <c r="G4203" i="1"/>
  <c r="F4204" i="1"/>
  <c r="G4204" i="1"/>
  <c r="F4205" i="1"/>
  <c r="G4205" i="1"/>
  <c r="F4206" i="1"/>
  <c r="G4206" i="1"/>
  <c r="F4207" i="1"/>
  <c r="G4207" i="1"/>
  <c r="F4208" i="1"/>
  <c r="G4208" i="1"/>
  <c r="F4209" i="1"/>
  <c r="G4209" i="1"/>
  <c r="F4210" i="1"/>
  <c r="G4210" i="1"/>
  <c r="F4211" i="1"/>
  <c r="G4211" i="1"/>
  <c r="F4212" i="1"/>
  <c r="G4212" i="1"/>
  <c r="F4213" i="1"/>
  <c r="G4213" i="1"/>
  <c r="F4214" i="1"/>
  <c r="G4214" i="1"/>
  <c r="F4215" i="1"/>
  <c r="G4215" i="1"/>
  <c r="F4216" i="1"/>
  <c r="G4216" i="1"/>
  <c r="F4217" i="1"/>
  <c r="G4217" i="1"/>
  <c r="F4218" i="1"/>
  <c r="G4218" i="1"/>
  <c r="F4219" i="1"/>
  <c r="G4219" i="1"/>
  <c r="F4220" i="1"/>
  <c r="G4220" i="1"/>
  <c r="F4221" i="1"/>
  <c r="G4221" i="1"/>
  <c r="F4222" i="1"/>
  <c r="G4222" i="1"/>
  <c r="F4223" i="1"/>
  <c r="G4223" i="1"/>
  <c r="F4224" i="1"/>
  <c r="G4224" i="1"/>
  <c r="F4225" i="1"/>
  <c r="G4225" i="1"/>
  <c r="F4226" i="1"/>
  <c r="G4226" i="1"/>
  <c r="F4227" i="1"/>
  <c r="G4227" i="1"/>
  <c r="F4228" i="1"/>
  <c r="G4228" i="1"/>
  <c r="F4229" i="1"/>
  <c r="G4229" i="1"/>
  <c r="F4230" i="1"/>
  <c r="G4230" i="1"/>
  <c r="F4231" i="1"/>
  <c r="G4231" i="1"/>
  <c r="F4232" i="1"/>
  <c r="G4232" i="1"/>
  <c r="F4233" i="1"/>
  <c r="G4233" i="1"/>
  <c r="F4234" i="1"/>
  <c r="G4234" i="1"/>
  <c r="F4235" i="1"/>
  <c r="G4235" i="1"/>
  <c r="F4236" i="1"/>
  <c r="G4236" i="1"/>
  <c r="F4237" i="1"/>
  <c r="G4237" i="1"/>
  <c r="F4238" i="1"/>
  <c r="G4238" i="1"/>
  <c r="F4239" i="1"/>
  <c r="G4239" i="1"/>
  <c r="F4240" i="1"/>
  <c r="G4240" i="1"/>
  <c r="F4241" i="1"/>
  <c r="G4241" i="1"/>
  <c r="F4242" i="1"/>
  <c r="G4242" i="1"/>
  <c r="F4243" i="1"/>
  <c r="G4243" i="1"/>
  <c r="F4244" i="1"/>
  <c r="G4244" i="1"/>
  <c r="F4245" i="1"/>
  <c r="G4245" i="1"/>
  <c r="F4246" i="1"/>
  <c r="G4246" i="1"/>
  <c r="F4247" i="1"/>
  <c r="G4247" i="1"/>
  <c r="F4248" i="1"/>
  <c r="G4248" i="1"/>
  <c r="F4249" i="1"/>
  <c r="G4249" i="1"/>
  <c r="F4250" i="1"/>
  <c r="G4250" i="1"/>
  <c r="F4251" i="1"/>
  <c r="G4251" i="1"/>
  <c r="F4252" i="1"/>
  <c r="G4252" i="1"/>
  <c r="F4253" i="1"/>
  <c r="G4253" i="1"/>
  <c r="F4254" i="1"/>
  <c r="G4254" i="1"/>
  <c r="F4255" i="1"/>
  <c r="G4255" i="1"/>
  <c r="F4256" i="1"/>
  <c r="G4256" i="1"/>
  <c r="F4257" i="1"/>
  <c r="G4257" i="1"/>
  <c r="F4258" i="1"/>
  <c r="G4258" i="1"/>
  <c r="F4259" i="1"/>
  <c r="G4259" i="1"/>
  <c r="F4260" i="1"/>
  <c r="G4260" i="1"/>
  <c r="F4261" i="1"/>
  <c r="G4261" i="1"/>
  <c r="F4262" i="1"/>
  <c r="G4262" i="1"/>
  <c r="F4263" i="1"/>
  <c r="G4263" i="1"/>
  <c r="F4264" i="1"/>
  <c r="G4264" i="1"/>
  <c r="F4265" i="1"/>
  <c r="G4265" i="1"/>
  <c r="F4266" i="1"/>
  <c r="G4266" i="1"/>
  <c r="F4267" i="1"/>
  <c r="G4267" i="1"/>
  <c r="F4268" i="1"/>
  <c r="G4268" i="1"/>
  <c r="F4269" i="1"/>
  <c r="G4269" i="1"/>
  <c r="F4270" i="1"/>
  <c r="G4270" i="1"/>
  <c r="F4271" i="1"/>
  <c r="G4271" i="1"/>
  <c r="F4272" i="1"/>
  <c r="G4272" i="1"/>
  <c r="F4273" i="1"/>
  <c r="G4273" i="1"/>
  <c r="F4274" i="1"/>
  <c r="G4274" i="1"/>
  <c r="F4275" i="1"/>
  <c r="G4275" i="1"/>
  <c r="F4276" i="1"/>
  <c r="G4276" i="1"/>
  <c r="F4277" i="1"/>
  <c r="G4277" i="1"/>
  <c r="F4278" i="1"/>
  <c r="G4278" i="1"/>
  <c r="F4279" i="1"/>
  <c r="G4279" i="1"/>
  <c r="F4280" i="1"/>
  <c r="G4280" i="1"/>
  <c r="F4281" i="1"/>
  <c r="G4281" i="1"/>
  <c r="F4282" i="1"/>
  <c r="G4282" i="1"/>
  <c r="F4283" i="1"/>
  <c r="G4283" i="1"/>
  <c r="F4284" i="1"/>
  <c r="G4284" i="1"/>
  <c r="F4285" i="1"/>
  <c r="G4285" i="1"/>
  <c r="F4286" i="1"/>
  <c r="G4286" i="1"/>
  <c r="F4287" i="1"/>
  <c r="G4287" i="1"/>
  <c r="F4288" i="1"/>
  <c r="G4288" i="1"/>
  <c r="F4289" i="1"/>
  <c r="G4289" i="1"/>
  <c r="F4290" i="1"/>
  <c r="G4290" i="1"/>
  <c r="F4291" i="1"/>
  <c r="G4291" i="1"/>
  <c r="F4292" i="1"/>
  <c r="G4292" i="1"/>
  <c r="F4293" i="1"/>
  <c r="G4293" i="1"/>
  <c r="F4294" i="1"/>
  <c r="G4294" i="1"/>
  <c r="F4295" i="1"/>
  <c r="G4295" i="1"/>
  <c r="F4296" i="1"/>
  <c r="G4296" i="1"/>
  <c r="F4297" i="1"/>
  <c r="G4297" i="1"/>
  <c r="F4298" i="1"/>
  <c r="G4298" i="1"/>
  <c r="F4299" i="1"/>
  <c r="G4299" i="1"/>
  <c r="F4300" i="1"/>
  <c r="G4300" i="1"/>
  <c r="F4301" i="1"/>
  <c r="G4301" i="1"/>
  <c r="F4302" i="1"/>
  <c r="G4302" i="1"/>
  <c r="F4303" i="1"/>
  <c r="G4303" i="1"/>
  <c r="F4304" i="1"/>
  <c r="G4304" i="1"/>
  <c r="F4305" i="1"/>
  <c r="G4305" i="1"/>
  <c r="F4306" i="1"/>
  <c r="G4306" i="1"/>
  <c r="F4307" i="1"/>
  <c r="G4307" i="1"/>
  <c r="F4308" i="1"/>
  <c r="G4308" i="1"/>
  <c r="F4309" i="1"/>
  <c r="G4309" i="1"/>
  <c r="F4310" i="1"/>
  <c r="G4310" i="1"/>
  <c r="F4311" i="1"/>
  <c r="G4311" i="1"/>
  <c r="F4312" i="1"/>
  <c r="G4312" i="1"/>
  <c r="F4313" i="1"/>
  <c r="G4313" i="1"/>
  <c r="F4314" i="1"/>
  <c r="G4314" i="1"/>
  <c r="F4315" i="1"/>
  <c r="G4315" i="1"/>
  <c r="F4316" i="1"/>
  <c r="G4316" i="1"/>
  <c r="F4317" i="1"/>
  <c r="G4317" i="1"/>
  <c r="F4318" i="1"/>
  <c r="G4318" i="1"/>
  <c r="F4319" i="1"/>
  <c r="G4319" i="1"/>
  <c r="F4320" i="1"/>
  <c r="G4320" i="1"/>
  <c r="F4321" i="1"/>
  <c r="G4321" i="1"/>
  <c r="F4322" i="1"/>
  <c r="G4322" i="1"/>
  <c r="F4323" i="1"/>
  <c r="G4323" i="1"/>
  <c r="F4324" i="1"/>
  <c r="G4324" i="1"/>
  <c r="F4325" i="1"/>
  <c r="G4325" i="1"/>
  <c r="F4326" i="1"/>
  <c r="G4326" i="1"/>
  <c r="F4327" i="1"/>
  <c r="G4327" i="1"/>
  <c r="F4328" i="1"/>
  <c r="G4328" i="1"/>
  <c r="F4329" i="1"/>
  <c r="G4329" i="1"/>
  <c r="F4330" i="1"/>
  <c r="G4330" i="1"/>
  <c r="F4331" i="1"/>
  <c r="G4331" i="1"/>
  <c r="F4332" i="1"/>
  <c r="G4332" i="1"/>
  <c r="F4333" i="1"/>
  <c r="G4333" i="1"/>
  <c r="F4334" i="1"/>
  <c r="G4334" i="1"/>
  <c r="F4335" i="1"/>
  <c r="G4335" i="1"/>
  <c r="F4336" i="1"/>
  <c r="G4336" i="1"/>
  <c r="F4337" i="1"/>
  <c r="G4337" i="1"/>
  <c r="F4338" i="1"/>
  <c r="G4338" i="1"/>
  <c r="F4339" i="1"/>
  <c r="G4339" i="1"/>
  <c r="F4340" i="1"/>
  <c r="G4340" i="1"/>
  <c r="F4341" i="1"/>
  <c r="G4341" i="1"/>
  <c r="F4342" i="1"/>
  <c r="G4342" i="1"/>
  <c r="F4343" i="1"/>
  <c r="G4343" i="1"/>
  <c r="F4344" i="1"/>
  <c r="G4344" i="1"/>
  <c r="F4345" i="1"/>
  <c r="G4345" i="1"/>
  <c r="F4346" i="1"/>
  <c r="G4346" i="1"/>
  <c r="F4347" i="1"/>
  <c r="G4347" i="1"/>
  <c r="F4348" i="1"/>
  <c r="G4348" i="1"/>
  <c r="F4349" i="1"/>
  <c r="G4349" i="1"/>
  <c r="F4350" i="1"/>
  <c r="G4350" i="1"/>
  <c r="F4351" i="1"/>
  <c r="G4351" i="1"/>
  <c r="F4352" i="1"/>
  <c r="G4352" i="1"/>
  <c r="F4353" i="1"/>
  <c r="G4353" i="1"/>
  <c r="F4354" i="1"/>
  <c r="G4354" i="1"/>
  <c r="F4355" i="1"/>
  <c r="G4355" i="1"/>
  <c r="F4356" i="1"/>
  <c r="G4356" i="1"/>
  <c r="F4357" i="1"/>
  <c r="G4357" i="1"/>
  <c r="F4358" i="1"/>
  <c r="G4358" i="1"/>
  <c r="F4359" i="1"/>
  <c r="G4359" i="1"/>
  <c r="F4360" i="1"/>
  <c r="G4360" i="1"/>
  <c r="F4361" i="1"/>
  <c r="G4361" i="1"/>
  <c r="F4362" i="1"/>
  <c r="G4362" i="1"/>
  <c r="F4363" i="1"/>
  <c r="G4363" i="1"/>
  <c r="F4364" i="1"/>
  <c r="G4364" i="1"/>
  <c r="F4365" i="1"/>
  <c r="G4365" i="1"/>
  <c r="F4366" i="1"/>
  <c r="G4366" i="1"/>
  <c r="F4367" i="1"/>
  <c r="G4367" i="1"/>
  <c r="F4368" i="1"/>
  <c r="G4368" i="1"/>
  <c r="F4369" i="1"/>
  <c r="G4369" i="1"/>
  <c r="F4370" i="1"/>
  <c r="G4370" i="1"/>
  <c r="F4371" i="1"/>
  <c r="G4371" i="1"/>
  <c r="F4372" i="1"/>
  <c r="G4372" i="1"/>
  <c r="F4373" i="1"/>
  <c r="G4373" i="1"/>
  <c r="F4374" i="1"/>
  <c r="G4374" i="1"/>
  <c r="F4375" i="1"/>
  <c r="G4375" i="1"/>
  <c r="F4376" i="1"/>
  <c r="G4376" i="1"/>
  <c r="F4377" i="1"/>
  <c r="G4377" i="1"/>
  <c r="F4378" i="1"/>
  <c r="G4378" i="1"/>
  <c r="F4379" i="1"/>
  <c r="G4379" i="1"/>
  <c r="F4380" i="1"/>
  <c r="G4380" i="1"/>
  <c r="F4381" i="1"/>
  <c r="G4381" i="1"/>
  <c r="F4382" i="1"/>
  <c r="G4382" i="1"/>
  <c r="F4383" i="1"/>
  <c r="G4383" i="1"/>
  <c r="F4384" i="1"/>
  <c r="G4384" i="1"/>
  <c r="F4385" i="1"/>
  <c r="G4385" i="1"/>
  <c r="F4386" i="1"/>
  <c r="G4386" i="1"/>
  <c r="F4387" i="1"/>
  <c r="G4387" i="1"/>
  <c r="F4388" i="1"/>
  <c r="G4388" i="1"/>
  <c r="F4389" i="1"/>
  <c r="G4389" i="1"/>
  <c r="F4390" i="1"/>
  <c r="G4390" i="1"/>
  <c r="F4391" i="1"/>
  <c r="G4391" i="1"/>
  <c r="F4392" i="1"/>
  <c r="G4392" i="1"/>
  <c r="F4393" i="1"/>
  <c r="G4393" i="1"/>
  <c r="F4394" i="1"/>
  <c r="G4394" i="1"/>
  <c r="F4395" i="1"/>
  <c r="G4395" i="1"/>
  <c r="F4396" i="1"/>
  <c r="G4396" i="1"/>
  <c r="F4397" i="1"/>
  <c r="G4397" i="1"/>
  <c r="F4398" i="1"/>
  <c r="G4398" i="1"/>
  <c r="F4399" i="1"/>
  <c r="G4399" i="1"/>
  <c r="F4400" i="1"/>
  <c r="G4400" i="1"/>
  <c r="F4401" i="1"/>
  <c r="G4401" i="1"/>
  <c r="F4402" i="1"/>
  <c r="G4402" i="1"/>
  <c r="F4403" i="1"/>
  <c r="G4403" i="1"/>
  <c r="F4404" i="1"/>
  <c r="G4404" i="1"/>
  <c r="F4405" i="1"/>
  <c r="G4405" i="1"/>
  <c r="F4406" i="1"/>
  <c r="G4406" i="1"/>
  <c r="F4407" i="1"/>
  <c r="G4407" i="1"/>
  <c r="F4408" i="1"/>
  <c r="G4408" i="1"/>
  <c r="F4409" i="1"/>
  <c r="G4409" i="1"/>
  <c r="F4410" i="1"/>
  <c r="G4410" i="1"/>
  <c r="F4411" i="1"/>
  <c r="G4411" i="1"/>
  <c r="F4412" i="1"/>
  <c r="G4412" i="1"/>
  <c r="F4413" i="1"/>
  <c r="G4413" i="1"/>
  <c r="F4414" i="1"/>
  <c r="G4414" i="1"/>
  <c r="F4415" i="1"/>
  <c r="G4415" i="1"/>
  <c r="F4416" i="1"/>
  <c r="G4416" i="1"/>
  <c r="F4417" i="1"/>
  <c r="G4417" i="1"/>
  <c r="F4418" i="1"/>
  <c r="G4418" i="1"/>
  <c r="F4419" i="1"/>
  <c r="G4419" i="1"/>
  <c r="F4420" i="1"/>
  <c r="G4420" i="1"/>
  <c r="F4421" i="1"/>
  <c r="G4421" i="1"/>
  <c r="F4422" i="1"/>
  <c r="G4422" i="1"/>
  <c r="F4423" i="1"/>
  <c r="G4423" i="1"/>
  <c r="F4424" i="1"/>
  <c r="G4424" i="1"/>
  <c r="F4425" i="1"/>
  <c r="G4425" i="1"/>
  <c r="F4426" i="1"/>
  <c r="G4426" i="1"/>
  <c r="F4427" i="1"/>
  <c r="G4427" i="1"/>
  <c r="F4428" i="1"/>
  <c r="G4428" i="1"/>
  <c r="F4429" i="1"/>
  <c r="G4429" i="1"/>
  <c r="F4430" i="1"/>
  <c r="G4430" i="1"/>
  <c r="F4431" i="1"/>
  <c r="G4431" i="1"/>
  <c r="F4432" i="1"/>
  <c r="G4432" i="1"/>
  <c r="F4433" i="1"/>
  <c r="G4433" i="1"/>
  <c r="F4434" i="1"/>
  <c r="G4434" i="1"/>
  <c r="F4435" i="1"/>
  <c r="G4435" i="1"/>
  <c r="F4436" i="1"/>
  <c r="G4436" i="1"/>
  <c r="F4437" i="1"/>
  <c r="G4437" i="1"/>
  <c r="F4438" i="1"/>
  <c r="G4438" i="1"/>
  <c r="F4439" i="1"/>
  <c r="G4439" i="1"/>
  <c r="F4440" i="1"/>
  <c r="G4440" i="1"/>
  <c r="F4441" i="1"/>
  <c r="G4441" i="1"/>
  <c r="F4442" i="1"/>
  <c r="G4442" i="1"/>
  <c r="F4443" i="1"/>
  <c r="G4443" i="1"/>
  <c r="F4444" i="1"/>
  <c r="G4444" i="1"/>
  <c r="F4445" i="1"/>
  <c r="G4445" i="1"/>
  <c r="F4446" i="1"/>
  <c r="G4446" i="1"/>
  <c r="F4447" i="1"/>
  <c r="G4447" i="1"/>
  <c r="F4448" i="1"/>
  <c r="G4448" i="1"/>
  <c r="F4449" i="1"/>
  <c r="G4449" i="1"/>
  <c r="F4450" i="1"/>
  <c r="G4450" i="1"/>
  <c r="F4451" i="1"/>
  <c r="G4451" i="1"/>
  <c r="F4452" i="1"/>
  <c r="G4452" i="1"/>
  <c r="F4453" i="1"/>
  <c r="G4453" i="1"/>
  <c r="F4454" i="1"/>
  <c r="G4454" i="1"/>
  <c r="F4455" i="1"/>
  <c r="G4455" i="1"/>
  <c r="F4456" i="1"/>
  <c r="G4456" i="1"/>
  <c r="F4457" i="1"/>
  <c r="G4457" i="1"/>
  <c r="F4458" i="1"/>
  <c r="G4458" i="1"/>
  <c r="F4459" i="1"/>
  <c r="G4459" i="1"/>
  <c r="F4460" i="1"/>
  <c r="G4460" i="1"/>
  <c r="F4461" i="1"/>
  <c r="G4461" i="1"/>
  <c r="F4462" i="1"/>
  <c r="G4462" i="1"/>
  <c r="F4463" i="1"/>
  <c r="G4463" i="1"/>
  <c r="F4464" i="1"/>
  <c r="G4464" i="1"/>
  <c r="F4465" i="1"/>
  <c r="G4465" i="1"/>
  <c r="F4466" i="1"/>
  <c r="G4466" i="1"/>
  <c r="F4467" i="1"/>
  <c r="G4467" i="1"/>
  <c r="F4468" i="1"/>
  <c r="G4468" i="1"/>
  <c r="F4469" i="1"/>
  <c r="G4469" i="1"/>
  <c r="F4470" i="1"/>
  <c r="G4470" i="1"/>
  <c r="F4471" i="1"/>
  <c r="G4471" i="1"/>
  <c r="F4472" i="1"/>
  <c r="G4472" i="1"/>
  <c r="F4473" i="1"/>
  <c r="G4473" i="1"/>
  <c r="F4474" i="1"/>
  <c r="G4474" i="1"/>
  <c r="F4475" i="1"/>
  <c r="G4475" i="1"/>
  <c r="F4476" i="1"/>
  <c r="G4476" i="1"/>
  <c r="F4477" i="1"/>
  <c r="G4477" i="1"/>
  <c r="F4478" i="1"/>
  <c r="G4478" i="1"/>
  <c r="F4479" i="1"/>
  <c r="G4479" i="1"/>
  <c r="F4480" i="1"/>
  <c r="G4480" i="1"/>
  <c r="F4481" i="1"/>
  <c r="G4481" i="1"/>
  <c r="F4482" i="1"/>
  <c r="G4482" i="1"/>
  <c r="F4483" i="1"/>
  <c r="G4483" i="1"/>
  <c r="F4484" i="1"/>
  <c r="G4484" i="1"/>
  <c r="F4485" i="1"/>
  <c r="G4485" i="1"/>
  <c r="F4486" i="1"/>
  <c r="G4486" i="1"/>
  <c r="F4487" i="1"/>
  <c r="G4487" i="1"/>
  <c r="F4488" i="1"/>
  <c r="G4488" i="1"/>
  <c r="F4489" i="1"/>
  <c r="G4489" i="1"/>
  <c r="F4490" i="1"/>
  <c r="G4490" i="1"/>
  <c r="F4491" i="1"/>
  <c r="G4491" i="1"/>
  <c r="F4492" i="1"/>
  <c r="G4492" i="1"/>
  <c r="F4493" i="1"/>
  <c r="G4493" i="1"/>
  <c r="F4494" i="1"/>
  <c r="G4494" i="1"/>
  <c r="F4495" i="1"/>
  <c r="G4495" i="1"/>
  <c r="F4496" i="1"/>
  <c r="G4496" i="1"/>
  <c r="F4497" i="1"/>
  <c r="G4497" i="1"/>
  <c r="F4498" i="1"/>
  <c r="G4498" i="1"/>
  <c r="F4499" i="1"/>
  <c r="G4499" i="1"/>
  <c r="F4500" i="1"/>
  <c r="G4500" i="1"/>
  <c r="F4501" i="1"/>
  <c r="G4501" i="1"/>
  <c r="F4502" i="1"/>
  <c r="G4502" i="1"/>
  <c r="F4503" i="1"/>
  <c r="G4503" i="1"/>
  <c r="F4504" i="1"/>
  <c r="G4504" i="1"/>
  <c r="F4505" i="1"/>
  <c r="G4505" i="1"/>
  <c r="F4506" i="1"/>
  <c r="G4506" i="1"/>
  <c r="F4507" i="1"/>
  <c r="G4507" i="1"/>
  <c r="F4508" i="1"/>
  <c r="G4508" i="1"/>
  <c r="F4509" i="1"/>
  <c r="G4509" i="1"/>
  <c r="F4510" i="1"/>
  <c r="G4510" i="1"/>
  <c r="F4511" i="1"/>
  <c r="G4511" i="1"/>
  <c r="F4512" i="1"/>
  <c r="G4512" i="1"/>
  <c r="F4513" i="1"/>
  <c r="G4513" i="1"/>
  <c r="F4514" i="1"/>
  <c r="G4514" i="1"/>
  <c r="F4515" i="1"/>
  <c r="G4515" i="1"/>
  <c r="F4516" i="1"/>
  <c r="G4516" i="1"/>
  <c r="F4517" i="1"/>
  <c r="G4517" i="1"/>
  <c r="F4518" i="1"/>
  <c r="G4518" i="1"/>
  <c r="F4519" i="1"/>
  <c r="G4519" i="1"/>
  <c r="F4520" i="1"/>
  <c r="G4520" i="1"/>
  <c r="F4521" i="1"/>
  <c r="G4521" i="1"/>
  <c r="F4522" i="1"/>
  <c r="G4522" i="1"/>
  <c r="F4523" i="1"/>
  <c r="G4523" i="1"/>
  <c r="F4524" i="1"/>
  <c r="G4524" i="1"/>
  <c r="F4525" i="1"/>
  <c r="G4525" i="1"/>
  <c r="F4526" i="1"/>
  <c r="G4526" i="1"/>
  <c r="F4527" i="1"/>
  <c r="G4527" i="1"/>
  <c r="F4528" i="1"/>
  <c r="G4528" i="1"/>
  <c r="F4529" i="1"/>
  <c r="G4529" i="1"/>
  <c r="F4530" i="1"/>
  <c r="G4530" i="1"/>
  <c r="F4531" i="1"/>
  <c r="G4531" i="1"/>
  <c r="F4532" i="1"/>
  <c r="G4532" i="1"/>
  <c r="F4533" i="1"/>
  <c r="G4533" i="1"/>
  <c r="F4534" i="1"/>
  <c r="G4534" i="1"/>
  <c r="F4535" i="1"/>
  <c r="G4535" i="1"/>
  <c r="F4536" i="1"/>
  <c r="G4536" i="1"/>
  <c r="F4537" i="1"/>
  <c r="G4537" i="1"/>
  <c r="F4538" i="1"/>
  <c r="G4538" i="1"/>
  <c r="F4539" i="1"/>
  <c r="G4539" i="1"/>
  <c r="F4540" i="1"/>
  <c r="G4540" i="1"/>
  <c r="F4541" i="1"/>
  <c r="G4541" i="1"/>
  <c r="F4542" i="1"/>
  <c r="G4542" i="1"/>
  <c r="F4543" i="1"/>
  <c r="G4543" i="1"/>
  <c r="F4544" i="1"/>
  <c r="G4544" i="1"/>
  <c r="F4545" i="1"/>
  <c r="G4545" i="1"/>
  <c r="F4546" i="1"/>
  <c r="G4546" i="1"/>
  <c r="F4547" i="1"/>
  <c r="G4547" i="1"/>
  <c r="F4548" i="1"/>
  <c r="G4548" i="1"/>
  <c r="F4549" i="1"/>
  <c r="G4549" i="1"/>
  <c r="F4550" i="1"/>
  <c r="G4550" i="1"/>
  <c r="F4551" i="1"/>
  <c r="G4551" i="1"/>
  <c r="F4552" i="1"/>
  <c r="G4552" i="1"/>
  <c r="F4553" i="1"/>
  <c r="G4553" i="1"/>
  <c r="F4554" i="1"/>
  <c r="G4554" i="1"/>
  <c r="F4555" i="1"/>
  <c r="G4555" i="1"/>
  <c r="F4556" i="1"/>
  <c r="G4556" i="1"/>
  <c r="F4557" i="1"/>
  <c r="G4557" i="1"/>
  <c r="F4558" i="1"/>
  <c r="G4558" i="1"/>
  <c r="F4559" i="1"/>
  <c r="G4559" i="1"/>
  <c r="F4560" i="1"/>
  <c r="G4560" i="1"/>
  <c r="F4561" i="1"/>
  <c r="G4561" i="1"/>
  <c r="F4562" i="1"/>
  <c r="G4562" i="1"/>
  <c r="F4563" i="1"/>
  <c r="G4563" i="1"/>
  <c r="F4564" i="1"/>
  <c r="G4564" i="1"/>
  <c r="F4565" i="1"/>
  <c r="G4565" i="1"/>
  <c r="F4566" i="1"/>
  <c r="G4566" i="1"/>
  <c r="F4567" i="1"/>
  <c r="G4567" i="1"/>
  <c r="F4568" i="1"/>
  <c r="G4568" i="1"/>
  <c r="F4569" i="1"/>
  <c r="G4569" i="1"/>
  <c r="F4570" i="1"/>
  <c r="G4570" i="1"/>
  <c r="F4571" i="1"/>
  <c r="G4571" i="1"/>
  <c r="F4572" i="1"/>
  <c r="G4572" i="1"/>
  <c r="F4573" i="1"/>
  <c r="G4573" i="1"/>
  <c r="F4574" i="1"/>
  <c r="G4574" i="1"/>
  <c r="F4575" i="1"/>
  <c r="G4575" i="1"/>
  <c r="F4576" i="1"/>
  <c r="G4576" i="1"/>
  <c r="F4577" i="1"/>
  <c r="G4577" i="1"/>
  <c r="F4578" i="1"/>
  <c r="G4578" i="1"/>
  <c r="F4579" i="1"/>
  <c r="G4579" i="1"/>
  <c r="F4580" i="1"/>
  <c r="G4580" i="1"/>
  <c r="F4581" i="1"/>
  <c r="G4581" i="1"/>
  <c r="F4582" i="1"/>
  <c r="G4582" i="1"/>
  <c r="F4583" i="1"/>
  <c r="G4583" i="1"/>
  <c r="F4584" i="1"/>
  <c r="G4584" i="1"/>
  <c r="F4585" i="1"/>
  <c r="G4585" i="1"/>
  <c r="F4586" i="1"/>
  <c r="G4586" i="1"/>
  <c r="F4587" i="1"/>
  <c r="G4587" i="1"/>
  <c r="F4588" i="1"/>
  <c r="G4588" i="1"/>
  <c r="F4589" i="1"/>
  <c r="G4589" i="1"/>
  <c r="F4590" i="1"/>
  <c r="G4590" i="1"/>
  <c r="F4591" i="1"/>
  <c r="G4591" i="1"/>
  <c r="F4592" i="1"/>
  <c r="G4592" i="1"/>
  <c r="F4593" i="1"/>
  <c r="G4593" i="1"/>
  <c r="F4594" i="1"/>
  <c r="G4594" i="1"/>
  <c r="F4595" i="1"/>
  <c r="G4595" i="1"/>
  <c r="F4596" i="1"/>
  <c r="G4596" i="1"/>
  <c r="F4597" i="1"/>
  <c r="G4597" i="1"/>
  <c r="F4598" i="1"/>
  <c r="G4598" i="1"/>
  <c r="F4599" i="1"/>
  <c r="G4599" i="1"/>
  <c r="F4600" i="1"/>
  <c r="G4600" i="1"/>
  <c r="F4601" i="1"/>
  <c r="G4601" i="1"/>
  <c r="F4602" i="1"/>
  <c r="G4602" i="1"/>
  <c r="F4603" i="1"/>
  <c r="G4603" i="1"/>
  <c r="F4604" i="1"/>
  <c r="G4604" i="1"/>
  <c r="F4605" i="1"/>
  <c r="G4605" i="1"/>
  <c r="F4606" i="1"/>
  <c r="G4606" i="1"/>
  <c r="F4607" i="1"/>
  <c r="G4607" i="1"/>
  <c r="F4608" i="1"/>
  <c r="G4608" i="1"/>
  <c r="F4609" i="1"/>
  <c r="G4609" i="1"/>
  <c r="F4610" i="1"/>
  <c r="G4610" i="1"/>
  <c r="F4611" i="1"/>
  <c r="G4611" i="1"/>
  <c r="F4612" i="1"/>
  <c r="G4612" i="1"/>
  <c r="F4613" i="1"/>
  <c r="G4613" i="1"/>
  <c r="F4614" i="1"/>
  <c r="G4614" i="1"/>
  <c r="F4615" i="1"/>
  <c r="G4615" i="1"/>
  <c r="F4616" i="1"/>
  <c r="G4616" i="1"/>
  <c r="F4617" i="1"/>
  <c r="G4617" i="1"/>
  <c r="F4618" i="1"/>
  <c r="G4618" i="1"/>
  <c r="F4619" i="1"/>
  <c r="G4619" i="1"/>
  <c r="F4620" i="1"/>
  <c r="G4620" i="1"/>
  <c r="F4621" i="1"/>
  <c r="G4621" i="1"/>
  <c r="F4622" i="1"/>
  <c r="G4622" i="1"/>
  <c r="F4623" i="1"/>
  <c r="G4623" i="1"/>
  <c r="F4624" i="1"/>
  <c r="G4624" i="1"/>
  <c r="F4625" i="1"/>
  <c r="G4625" i="1"/>
  <c r="F4626" i="1"/>
  <c r="G4626" i="1"/>
  <c r="F4627" i="1"/>
  <c r="G4627" i="1"/>
  <c r="F4628" i="1"/>
  <c r="G4628" i="1"/>
  <c r="F4629" i="1"/>
  <c r="G4629" i="1"/>
  <c r="F4630" i="1"/>
  <c r="G4630" i="1"/>
  <c r="F4631" i="1"/>
  <c r="G4631" i="1"/>
  <c r="F4632" i="1"/>
  <c r="G4632" i="1"/>
  <c r="F4633" i="1"/>
  <c r="G4633" i="1"/>
  <c r="F4634" i="1"/>
  <c r="G4634" i="1"/>
  <c r="F4635" i="1"/>
  <c r="G4635" i="1"/>
  <c r="F4636" i="1"/>
  <c r="G4636" i="1"/>
  <c r="F4637" i="1"/>
  <c r="G4637" i="1"/>
  <c r="F4638" i="1"/>
  <c r="G4638" i="1"/>
  <c r="F4639" i="1"/>
  <c r="G4639" i="1"/>
  <c r="F4640" i="1"/>
  <c r="G4640" i="1"/>
  <c r="F4641" i="1"/>
  <c r="G4641" i="1"/>
  <c r="F4642" i="1"/>
  <c r="G4642" i="1"/>
  <c r="F4643" i="1"/>
  <c r="G4643" i="1"/>
  <c r="F4644" i="1"/>
  <c r="G4644" i="1"/>
  <c r="F4645" i="1"/>
  <c r="G4645" i="1"/>
  <c r="F4646" i="1"/>
  <c r="G4646" i="1"/>
  <c r="F4647" i="1"/>
  <c r="G4647" i="1"/>
  <c r="F4648" i="1"/>
  <c r="G4648" i="1"/>
  <c r="F4649" i="1"/>
  <c r="G4649" i="1"/>
  <c r="F4650" i="1"/>
  <c r="G4650" i="1"/>
  <c r="F4651" i="1"/>
  <c r="G4651" i="1"/>
  <c r="F4652" i="1"/>
  <c r="G4652" i="1"/>
  <c r="F4653" i="1"/>
  <c r="G4653" i="1"/>
  <c r="F4654" i="1"/>
  <c r="G4654" i="1"/>
  <c r="F4655" i="1"/>
  <c r="G4655" i="1"/>
  <c r="F4656" i="1"/>
  <c r="G4656" i="1"/>
  <c r="F4657" i="1"/>
  <c r="G4657" i="1"/>
  <c r="F4658" i="1"/>
  <c r="G4658" i="1"/>
  <c r="F4659" i="1"/>
  <c r="G4659" i="1"/>
  <c r="F4660" i="1"/>
  <c r="G4660" i="1"/>
  <c r="F4661" i="1"/>
  <c r="G4661" i="1"/>
  <c r="F4662" i="1"/>
  <c r="G4662" i="1"/>
  <c r="F4663" i="1"/>
  <c r="G4663" i="1"/>
  <c r="F4664" i="1"/>
  <c r="G4664" i="1"/>
  <c r="F4665" i="1"/>
  <c r="G4665" i="1"/>
  <c r="F4666" i="1"/>
  <c r="G4666" i="1"/>
  <c r="F4667" i="1"/>
  <c r="G4667" i="1"/>
  <c r="F4668" i="1"/>
  <c r="G4668" i="1"/>
  <c r="F4669" i="1"/>
  <c r="G4669" i="1"/>
  <c r="F4670" i="1"/>
  <c r="G4670" i="1"/>
  <c r="F4671" i="1"/>
  <c r="G4671" i="1"/>
  <c r="F4672" i="1"/>
  <c r="G4672" i="1"/>
  <c r="F4673" i="1"/>
  <c r="G4673" i="1"/>
  <c r="F4674" i="1"/>
  <c r="G4674" i="1"/>
  <c r="F4675" i="1"/>
  <c r="G4675" i="1"/>
  <c r="F4676" i="1"/>
  <c r="G4676" i="1"/>
  <c r="F4677" i="1"/>
  <c r="G4677" i="1"/>
  <c r="F4678" i="1"/>
  <c r="G4678" i="1"/>
  <c r="F4679" i="1"/>
  <c r="G4679" i="1"/>
  <c r="F4680" i="1"/>
  <c r="G4680" i="1"/>
  <c r="F4681" i="1"/>
  <c r="G4681" i="1"/>
  <c r="F4682" i="1"/>
  <c r="G4682" i="1"/>
  <c r="F4683" i="1"/>
  <c r="G4683" i="1"/>
  <c r="F4684" i="1"/>
  <c r="G4684" i="1"/>
  <c r="F4685" i="1"/>
  <c r="G4685" i="1"/>
  <c r="F4686" i="1"/>
  <c r="G4686" i="1"/>
  <c r="F4687" i="1"/>
  <c r="G4687" i="1"/>
  <c r="F4688" i="1"/>
  <c r="G4688" i="1"/>
  <c r="F4689" i="1"/>
  <c r="G4689" i="1"/>
  <c r="F4690" i="1"/>
  <c r="G4690" i="1"/>
  <c r="F4691" i="1"/>
  <c r="G4691" i="1"/>
  <c r="F4692" i="1"/>
  <c r="G4692" i="1"/>
  <c r="F4693" i="1"/>
  <c r="G4693" i="1"/>
  <c r="F4694" i="1"/>
  <c r="G4694" i="1"/>
  <c r="F4695" i="1"/>
  <c r="G4695" i="1"/>
  <c r="F4696" i="1"/>
  <c r="G4696" i="1"/>
  <c r="F4697" i="1"/>
  <c r="G4697" i="1"/>
  <c r="F4698" i="1"/>
  <c r="G4698" i="1"/>
  <c r="F4699" i="1"/>
  <c r="G4699" i="1"/>
  <c r="F4700" i="1"/>
  <c r="G4700" i="1"/>
  <c r="F4701" i="1"/>
  <c r="G4701" i="1"/>
  <c r="F4702" i="1"/>
  <c r="G4702" i="1"/>
  <c r="F4703" i="1"/>
  <c r="G4703" i="1"/>
  <c r="F4704" i="1"/>
  <c r="G4704" i="1"/>
  <c r="F4705" i="1"/>
  <c r="G4705" i="1"/>
  <c r="F4706" i="1"/>
  <c r="G4706" i="1"/>
  <c r="F4707" i="1"/>
  <c r="G4707" i="1"/>
  <c r="F4708" i="1"/>
  <c r="G4708" i="1"/>
  <c r="F4709" i="1"/>
  <c r="G4709" i="1"/>
  <c r="F4710" i="1"/>
  <c r="G4710" i="1"/>
  <c r="F4711" i="1"/>
  <c r="G4711" i="1"/>
  <c r="F4712" i="1"/>
  <c r="G4712" i="1"/>
  <c r="F4713" i="1"/>
  <c r="G4713" i="1"/>
  <c r="F4714" i="1"/>
  <c r="G4714" i="1"/>
  <c r="F4715" i="1"/>
  <c r="G4715" i="1"/>
  <c r="F4716" i="1"/>
  <c r="G4716" i="1"/>
  <c r="F4717" i="1"/>
  <c r="G4717" i="1"/>
  <c r="F4718" i="1"/>
  <c r="G4718" i="1"/>
  <c r="F4719" i="1"/>
  <c r="G4719" i="1"/>
  <c r="F4720" i="1"/>
  <c r="G4720" i="1"/>
  <c r="F4721" i="1"/>
  <c r="G4721" i="1"/>
  <c r="F4722" i="1"/>
  <c r="G4722" i="1"/>
  <c r="F4723" i="1"/>
  <c r="G4723" i="1"/>
  <c r="F4724" i="1"/>
  <c r="G4724" i="1"/>
  <c r="F4725" i="1"/>
  <c r="G4725" i="1"/>
  <c r="F4726" i="1"/>
  <c r="G4726" i="1"/>
  <c r="F4727" i="1"/>
  <c r="G4727" i="1"/>
  <c r="F4728" i="1"/>
  <c r="G4728" i="1"/>
  <c r="F4729" i="1"/>
  <c r="G4729" i="1"/>
  <c r="F4730" i="1"/>
  <c r="G4730" i="1"/>
  <c r="F4731" i="1"/>
  <c r="G4731" i="1"/>
  <c r="F4732" i="1"/>
  <c r="G4732" i="1"/>
  <c r="F4733" i="1"/>
  <c r="G4733" i="1"/>
  <c r="F4734" i="1"/>
  <c r="G4734" i="1"/>
  <c r="F4735" i="1"/>
  <c r="G4735" i="1"/>
  <c r="F4736" i="1"/>
  <c r="G4736" i="1"/>
  <c r="F4737" i="1"/>
  <c r="G4737" i="1"/>
  <c r="F4738" i="1"/>
  <c r="G4738" i="1"/>
  <c r="F4739" i="1"/>
  <c r="G4739" i="1"/>
  <c r="F4740" i="1"/>
  <c r="G4740" i="1"/>
  <c r="F4741" i="1"/>
  <c r="G4741" i="1"/>
  <c r="F4742" i="1"/>
  <c r="G4742" i="1"/>
  <c r="F4743" i="1"/>
  <c r="G4743" i="1"/>
  <c r="F4744" i="1"/>
  <c r="G4744" i="1"/>
  <c r="F4745" i="1"/>
  <c r="G4745" i="1"/>
  <c r="F4746" i="1"/>
  <c r="G4746" i="1"/>
  <c r="F4747" i="1"/>
  <c r="G4747" i="1"/>
  <c r="F4748" i="1"/>
  <c r="G4748" i="1"/>
  <c r="F4749" i="1"/>
  <c r="G4749" i="1"/>
  <c r="F4750" i="1"/>
  <c r="G4750" i="1"/>
  <c r="F4751" i="1"/>
  <c r="G4751" i="1"/>
  <c r="F4752" i="1"/>
  <c r="G4752" i="1"/>
  <c r="F4753" i="1"/>
  <c r="G4753" i="1"/>
  <c r="F4754" i="1"/>
  <c r="G4754" i="1"/>
  <c r="F4755" i="1"/>
  <c r="G4755" i="1"/>
  <c r="F4756" i="1"/>
  <c r="G4756" i="1"/>
  <c r="F4757" i="1"/>
  <c r="G4757" i="1"/>
  <c r="F4758" i="1"/>
  <c r="G4758" i="1"/>
  <c r="F4759" i="1"/>
  <c r="G4759" i="1"/>
  <c r="F4760" i="1"/>
  <c r="G4760" i="1"/>
  <c r="F4761" i="1"/>
  <c r="G4761" i="1"/>
  <c r="F4762" i="1"/>
  <c r="G4762" i="1"/>
  <c r="F4763" i="1"/>
  <c r="G4763" i="1"/>
  <c r="F4764" i="1"/>
  <c r="G4764" i="1"/>
  <c r="F4765" i="1"/>
  <c r="G4765" i="1"/>
  <c r="F4766" i="1"/>
  <c r="G4766" i="1"/>
  <c r="F4767" i="1"/>
  <c r="G4767" i="1"/>
  <c r="F4768" i="1"/>
  <c r="G4768" i="1"/>
  <c r="F4769" i="1"/>
  <c r="G4769" i="1"/>
  <c r="F4770" i="1"/>
  <c r="G4770" i="1"/>
  <c r="F4771" i="1"/>
  <c r="G4771" i="1"/>
  <c r="F4772" i="1"/>
  <c r="G4772" i="1"/>
  <c r="F4773" i="1"/>
  <c r="G4773" i="1"/>
  <c r="F4774" i="1"/>
  <c r="G4774" i="1"/>
  <c r="F4775" i="1"/>
  <c r="G4775" i="1"/>
  <c r="F4776" i="1"/>
  <c r="G4776" i="1"/>
  <c r="F4777" i="1"/>
  <c r="G4777" i="1"/>
  <c r="F4778" i="1"/>
  <c r="G4778" i="1"/>
  <c r="F4779" i="1"/>
  <c r="G4779" i="1"/>
  <c r="F4780" i="1"/>
  <c r="G4780" i="1"/>
  <c r="F4781" i="1"/>
  <c r="G4781" i="1"/>
  <c r="F4782" i="1"/>
  <c r="G4782" i="1"/>
  <c r="F4783" i="1"/>
  <c r="G4783" i="1"/>
  <c r="F4784" i="1"/>
  <c r="G4784" i="1"/>
  <c r="F4785" i="1"/>
  <c r="G4785" i="1"/>
  <c r="F4786" i="1"/>
  <c r="G4786" i="1"/>
</calcChain>
</file>

<file path=xl/sharedStrings.xml><?xml version="1.0" encoding="utf-8"?>
<sst xmlns="http://schemas.openxmlformats.org/spreadsheetml/2006/main" count="70283" uniqueCount="9708">
  <si>
    <t>Usage Date</t>
  </si>
  <si>
    <t>Document ID</t>
  </si>
  <si>
    <t>Title</t>
  </si>
  <si>
    <t>Publisher</t>
  </si>
  <si>
    <t>PubDate</t>
  </si>
  <si>
    <t>eISBN13</t>
  </si>
  <si>
    <t>ISBN13</t>
  </si>
  <si>
    <t>Subject</t>
  </si>
  <si>
    <t>Dewey</t>
  </si>
  <si>
    <t>LCC</t>
  </si>
  <si>
    <t>Visible</t>
  </si>
  <si>
    <t>Trigger Event</t>
  </si>
  <si>
    <t>Usage Cost</t>
  </si>
  <si>
    <t>Purchase Type</t>
  </si>
  <si>
    <t>Collection</t>
  </si>
  <si>
    <t>Access Model</t>
  </si>
  <si>
    <t>Use Type</t>
  </si>
  <si>
    <t>DRM Free Use</t>
  </si>
  <si>
    <t>Book Downloads</t>
  </si>
  <si>
    <t>Days</t>
  </si>
  <si>
    <t>Start</t>
  </si>
  <si>
    <t>End</t>
  </si>
  <si>
    <t>Reader Duration</t>
  </si>
  <si>
    <t>Which Pages Read</t>
  </si>
  <si>
    <t>Total Pages Read</t>
  </si>
  <si>
    <t>Chapter Downloads</t>
  </si>
  <si>
    <t>Pages Printed</t>
  </si>
  <si>
    <t>Total Pages Printed</t>
  </si>
  <si>
    <t>Pages Copied</t>
  </si>
  <si>
    <t>Total Pages Copied</t>
  </si>
  <si>
    <t>ebrary ID</t>
  </si>
  <si>
    <t>Username</t>
  </si>
  <si>
    <t>User Agent</t>
  </si>
  <si>
    <t>First Name</t>
  </si>
  <si>
    <t>Last Name</t>
  </si>
  <si>
    <t>Email</t>
  </si>
  <si>
    <t>Custom 1</t>
  </si>
  <si>
    <t>Custom 2</t>
  </si>
  <si>
    <t>Custom 3</t>
  </si>
  <si>
    <t>Custom 4</t>
  </si>
  <si>
    <t>Custom 5</t>
  </si>
  <si>
    <t>Learning to Love Math : Teaching Strategies That Change Student Attitudes and Get Results</t>
  </si>
  <si>
    <t>Association for Supervision &amp; Curriculum Development</t>
  </si>
  <si>
    <t>Mathematics</t>
  </si>
  <si>
    <t>No</t>
  </si>
  <si>
    <t>Subscription</t>
  </si>
  <si>
    <t>Subscription: Academic Complete</t>
  </si>
  <si>
    <t>Free View</t>
  </si>
  <si>
    <t>'1,2,3,4,6,7,8,9,10,11,12'</t>
  </si>
  <si>
    <t>''</t>
  </si>
  <si>
    <t>Guest</t>
  </si>
  <si>
    <t>Mozilla/5.0 (Windows NT 10.0; Win64; x64) AppleWebKit/537.36 (KHTML, like Gecko) Chrome/108.0.0.0 Safari/537.36 Edg/108.0.1462.54</t>
  </si>
  <si>
    <t>Calculus Reordered : A History of the Big Ideas</t>
  </si>
  <si>
    <t>Princeton University Press</t>
  </si>
  <si>
    <t>QA303 .B747 2019</t>
  </si>
  <si>
    <t>Yes</t>
  </si>
  <si>
    <t>'1,2,3'</t>
  </si>
  <si>
    <t>Mozilla/5.0 (Windows NT 10.0; Win64; x64) AppleWebKit/537.36 (KHTML, like Gecko) Chrome/108.0.0.0 Safari/537.36</t>
  </si>
  <si>
    <t>Lean Six Sigma for Dummies</t>
  </si>
  <si>
    <t>John Wiley &amp; Sons, Incorporated</t>
  </si>
  <si>
    <t>Business/Management</t>
  </si>
  <si>
    <t>HD62.15 .B746 2022</t>
  </si>
  <si>
    <t>'1,2,3,4,5,6,7,8,9,10,11,12,13,15,16,17,18,19,20,21,22,,1,19,20,21,22,23,24,25,26,27'</t>
  </si>
  <si>
    <t>Patron</t>
  </si>
  <si>
    <t>Bioinformatics : Methods and Applications</t>
  </si>
  <si>
    <t>Elsevier Science &amp; Technology</t>
  </si>
  <si>
    <t>Science; Science: Biology/Natural History</t>
  </si>
  <si>
    <t>QH324.2 .B565 2022</t>
  </si>
  <si>
    <t>'292,288,294,293'</t>
  </si>
  <si>
    <t>Mozilla/5.0 (Windows NT 10.0; Win64; x64; rv:108.0) Gecko/20100101 Firefox/108.0</t>
  </si>
  <si>
    <t>Quantum Dissipative Systems (Fourth Edition)</t>
  </si>
  <si>
    <t>World Scientific Publishing Co Pte Ltd</t>
  </si>
  <si>
    <t>Science: Physics; Science</t>
  </si>
  <si>
    <t>QC174.12 -- .W45 2012eb</t>
  </si>
  <si>
    <t>Mozilla/5.0 (Macintosh; Intel Mac OS X 10.15; rv:108.0) Gecko/20100101 Firefox/108.0</t>
  </si>
  <si>
    <t>Artificial Intelligence in Healthcare and Medicine</t>
  </si>
  <si>
    <t>Taylor &amp; Francis Group</t>
  </si>
  <si>
    <t>Medicine</t>
  </si>
  <si>
    <t>R859.7.A78 A785 2022</t>
  </si>
  <si>
    <t>Ebook (firm order)</t>
  </si>
  <si>
    <t>Unlimited</t>
  </si>
  <si>
    <t>'1,3,2,5,6,8,9,10'</t>
  </si>
  <si>
    <t>Mozilla/5.0 (iPhone; CPU iPhone OS 16_0 like Mac OS X) AppleWebKit/605.1.15 (KHTML, like Gecko) Version/16.0 Mobile/15E148 Safari/604.1</t>
  </si>
  <si>
    <t>Delivering Sustainable Buildings : An Industry Insider's View</t>
  </si>
  <si>
    <t>Engineering; Engineering: Construction</t>
  </si>
  <si>
    <t>690.028/6</t>
  </si>
  <si>
    <t>TH880 -- .M35 2013eb</t>
  </si>
  <si>
    <t>'1,123,122,121,120,118,117,118,118,118,119,120,121,122,123,124'</t>
  </si>
  <si>
    <t>Rich Brain, Poor Brain</t>
  </si>
  <si>
    <t>Classroom Complete Press</t>
  </si>
  <si>
    <t>Education</t>
  </si>
  <si>
    <t>LC213.2 .K374 2016</t>
  </si>
  <si>
    <t>'1,1,2,3,4,5,6'</t>
  </si>
  <si>
    <t>Handbook of Nondestructive Evaluation, Second Edition</t>
  </si>
  <si>
    <t>McGraw-Hill Publishing</t>
  </si>
  <si>
    <t>Engineering: Civil; Engineering: General; Engineering</t>
  </si>
  <si>
    <t>TA417.2.H45 2013</t>
  </si>
  <si>
    <t>1-user</t>
  </si>
  <si>
    <t>'594,595,596,597,598,599,600,601,602,603,604,605,606,607,608,609,610,611,612,613,614,615,616,617,618,619,620,621,622,623,624,625,626,627,628,629,630,631,632,633,634,635,636,637,638,639,640,641,642,643,644,645,646,647,648,649,650,651,652,653,654,655,656,657,658,659,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'</t>
  </si>
  <si>
    <t>The Finite Element Method in Heat Transfer and Fluid Dynamics</t>
  </si>
  <si>
    <t>Engineering: Civil; Engineering; Engineering: General</t>
  </si>
  <si>
    <t>620.1/06</t>
  </si>
  <si>
    <t>TA357 .R43 2015</t>
  </si>
  <si>
    <t>'1,,1,1'</t>
  </si>
  <si>
    <t>Advanced Intelligent Systems for Sustainable Development (AI2SD'2018) : Volume 5: Advanced Intelligent Systems for Computing Sciences</t>
  </si>
  <si>
    <t>Springer International Publishing</t>
  </si>
  <si>
    <t>Science; Computer Science/IT</t>
  </si>
  <si>
    <t>Q342</t>
  </si>
  <si>
    <t>'625,626,627,628,629,630,631'</t>
  </si>
  <si>
    <t>'1,99,100,102,103,105,104,106,107,108,109,110,111,112,113,114,115,116,117,118,119,120,121,122,123,124'</t>
  </si>
  <si>
    <t>Environmental Sustainability in Building Design and Construction</t>
  </si>
  <si>
    <t>Environmental Studies</t>
  </si>
  <si>
    <t>GE40-45</t>
  </si>
  <si>
    <t>'1,,1'</t>
  </si>
  <si>
    <t>Pyrolysis of Biomass</t>
  </si>
  <si>
    <t>Walter de Gruyter GmbH</t>
  </si>
  <si>
    <t>Engineering; Engineering: Chemical</t>
  </si>
  <si>
    <t>TP360.W36 2017</t>
  </si>
  <si>
    <t>Mozilla/5.0 (Windows NT 10.0; Win64; x64) AppleWebKit/537.36 (KHTML, like Gecko) Chrome/105.0.0.0 Safari/537.36</t>
  </si>
  <si>
    <t>Aerodynamics for Engineering Students</t>
  </si>
  <si>
    <t>Engineering; Engineering: General</t>
  </si>
  <si>
    <t>'1'</t>
  </si>
  <si>
    <t>Mozilla/5.0 (Macintosh; Intel Mac OS X 10_15_7) AppleWebKit/605.1.15 (KHTML, like Gecko) Version/16.1 Safari/605.1.15</t>
  </si>
  <si>
    <t>'1,166,167,168,170,172,173,174,175,176,177,178,179,180,182,181,183,184,185,186,187,188,189,190,191,192,193,194,197,198,199,200,201,202,203,204,205,206,207,208,209,210,211,212,213,215,216,217,218,219,220,221,222,223,224,225,226,227,228,229,230,231,232,233,234,235,236,237,238,239,240,241,242,243,244,245,246,247,247,183,244,244,244,1,39,40,59,58,83,82,84,97,186,185,184,183,182,180,177,176,166,166,167,168,169,170,171,172,173,174,175,176,177,178,179,180,181,182,183,184,185,186,187,188,189,190,191'</t>
  </si>
  <si>
    <t>A Dictionary of Mechanical Engineering</t>
  </si>
  <si>
    <t>Oxford University Press, Incorporated</t>
  </si>
  <si>
    <t>Engineering: General; Engineering; Engineering: Mechanical</t>
  </si>
  <si>
    <t>TJ9 .A855 2019</t>
  </si>
  <si>
    <t>'1,358,359,360,,1'</t>
  </si>
  <si>
    <t>'1,1,1,8,166,166,167,168,169,169,18,19,20,20,20,39,40,59,58,60,60,60,70,83,84,97,141,142,143,144,145,146,147'</t>
  </si>
  <si>
    <t>'1,166,167,168,169,170,171,172,173,174,175,176,177,178,179,180,181,182,184,185,186,187,188,189,190,191,192,194,195,196,197,198,199,200,201,202,203,204,205,206,207,208,209,210,211,212,213,214,215,216,217,218,219,220,221,222,223'</t>
  </si>
  <si>
    <t>Your Money and Your Life : A Lifetime Approach to Money Management</t>
  </si>
  <si>
    <t>Stanford University Press</t>
  </si>
  <si>
    <t>Economics; Business/Management</t>
  </si>
  <si>
    <t>HG179</t>
  </si>
  <si>
    <t>Mozilla/5.0 (Linux; Android 13; SAMSUNG SM-A536E) AppleWebKit/537.36 (KHTML, like Gecko) SamsungBrowser/19.0 Chrome/102.0.5005.125 Mobile Safari/537.36</t>
  </si>
  <si>
    <t>Cybersecurity Risk Management: an ERM Approach</t>
  </si>
  <si>
    <t>Nova Science Publishers, Incorporated</t>
  </si>
  <si>
    <t>Computer Science/IT</t>
  </si>
  <si>
    <t>QA76.9.A25 .O3 2022</t>
  </si>
  <si>
    <t>Becoming a PMP® Certified Professional : A Study Guide to Mastering Project Management for the PMP® Exam</t>
  </si>
  <si>
    <t>Packt Publishing, Limited</t>
  </si>
  <si>
    <t>HD69.P75 .H868 2021</t>
  </si>
  <si>
    <t>'1,2,6,7,11,41'</t>
  </si>
  <si>
    <t>Mozilla/5.0 (Linux; Android 12; NTH-NX9) AppleWebKit/537.36 (KHTML, like Gecko) Chrome/108.0.0.0 Mobile Safari/537.36</t>
  </si>
  <si>
    <t>Person-Centred Communication : Theory, Skills and Practice</t>
  </si>
  <si>
    <t>McGraw-Hill Education</t>
  </si>
  <si>
    <t>Psychology; Medicine</t>
  </si>
  <si>
    <t>RC481.M68 2014eb</t>
  </si>
  <si>
    <t>The Therapeutic Relationship in Cognitive Behavioural Therapy</t>
  </si>
  <si>
    <t>SAGE Publications, Limited</t>
  </si>
  <si>
    <t>Medicine; Psychology</t>
  </si>
  <si>
    <t>RC489.C63 .T447 2019</t>
  </si>
  <si>
    <t>'7,99,100,101,102,103,104,105,105,106,106'</t>
  </si>
  <si>
    <t>'1,2,3,4,5,6,7,,7,45,46,47,48,57,58,59,60,61,101,102,103,103'</t>
  </si>
  <si>
    <t>Kant and the New Philosophy of Religion</t>
  </si>
  <si>
    <t>Indiana University Press</t>
  </si>
  <si>
    <t>Religion; Philosophy</t>
  </si>
  <si>
    <t>210/.92</t>
  </si>
  <si>
    <t>B2799.R4 -- K355 2006eb</t>
  </si>
  <si>
    <t>'119,120,121,122,123,124,125,126,127,128,129,130,131,132,133,,134,135,,119,120,121,122,123,124,125,126,127,128,129,130,131,132,133,,108,109,110,111,112,113,114,115,116,117,118,,70,71'</t>
  </si>
  <si>
    <t>Early Modern Philosophy of Religion : The History of Western Philosophy of Religion, Volume 3</t>
  </si>
  <si>
    <t>Religion</t>
  </si>
  <si>
    <t>BL51 -- .H573 2009eb</t>
  </si>
  <si>
    <t>'18,19,20,21,22,23,24,25,26,27,28,29,30,31,32,33,34,35,,50,51,52,53,54,55,56,57,58,59,60,61,62,63,,82,83,84,85,86,87,88,89,90,91,,118,119,120,121,122,123,124,125,126,127,128,129,,158,159,160,161,162,163,164,165,166,167,168,169,,144,145,146,147,148,149,150,151,152,153,154,155,156,157,,240,241,242,243,244,245,246,247,248,249,250,251'</t>
  </si>
  <si>
    <t>Oxford Studies in Philosophy of Religion : Volume 1</t>
  </si>
  <si>
    <t>BL51.O947eb vol. 1</t>
  </si>
  <si>
    <t>'159,160'</t>
  </si>
  <si>
    <t>'27,28,29,30,31,32,33,34,35,36,37,38,39,40,41,42,43,44,45,46,47,48,49,50,51,52,,10,11,12,13,14,15,16,17,18,19,20,21,22,23,24,25,26,,1,2,3,4,5,,10,11,12,13,14,15,16,17,18,19,20,21,22,23,24,25,26,,114,115,116,117,118,119,120,121,122,123,124,125,126,127,128,129,130,131,132,133,134,135,136,137,138,139,140,141,142,,6,7'</t>
  </si>
  <si>
    <t>Guide to Reading and Writing Japanese : Fourth Edition, JLPT All Levels (2,136 Japanese Kanji Characters)</t>
  </si>
  <si>
    <t>Tuttle Publishing</t>
  </si>
  <si>
    <t>Language/Linguistics</t>
  </si>
  <si>
    <t>PL528 -- .G853 2013eb</t>
  </si>
  <si>
    <t>'7,8,219,223,17,18,20,21,22,24,193,194,65,66,245,246,319,320,335,337,336,348,354'</t>
  </si>
  <si>
    <t>To Err Is Human : Building a Safer Health System</t>
  </si>
  <si>
    <t>National Academies Press</t>
  </si>
  <si>
    <t>Social Science; Health</t>
  </si>
  <si>
    <t>Subscription (DRM Free)</t>
  </si>
  <si>
    <t>'25,26,51,67,69,169,169,169,169,169,169,170,167,164,79,78,71,9,10,11,12,12,201,223,223,38,103,180,179,37,36,35,34,33,32,31,30,28,27'</t>
  </si>
  <si>
    <t>'25,26,27,28,29,30,31,32,33,34,35,36,37,38,39,40'</t>
  </si>
  <si>
    <t>ABC of Sports and Exercise Medicine</t>
  </si>
  <si>
    <t>617.1/027</t>
  </si>
  <si>
    <t>RC1210 .W384 2015</t>
  </si>
  <si>
    <t>Mozilla/5.0 (iPhone; CPU iPhone OS 16_2 like Mac OS X) AppleWebKit/605.1.15 (KHTML, like Gecko) Version/16.2 Mobile/15E148 Safari/604.1</t>
  </si>
  <si>
    <t>Mnemonics and Study Tips for Medical Students</t>
  </si>
  <si>
    <t>R737 .K436 2016</t>
  </si>
  <si>
    <t>'1,2,7,18,19,20,21,22,23,24,25,26,27,28,29,30,31,32,33,34,35,36,38,78,79,80,81,82,83,84,85,86,88,89,90,91,92,93,94,95,96'</t>
  </si>
  <si>
    <t>Biomaterials and Medical Device - Associated Infections</t>
  </si>
  <si>
    <t>R857.M3 -- .B566 2015eb</t>
  </si>
  <si>
    <t>'4,,,238,239,240,241,242,243,244,245,246,247,248,249,250,251,252,253,254,255,256,257,258,259,260,261,262,263,264,265,266,267,268,269'</t>
  </si>
  <si>
    <t>Industrial Catalysis : A Practical Approach</t>
  </si>
  <si>
    <t>Engineering; Science; Engineering: Chemical; Science: Chemistry</t>
  </si>
  <si>
    <t>660/.2995</t>
  </si>
  <si>
    <t>QD505</t>
  </si>
  <si>
    <t>'1,1,54,53,79,78,80,81,82,83,84,296,295,319,318,317'</t>
  </si>
  <si>
    <t>Mozilla/5.0 (Linux; Android 12; SM-T735) AppleWebKit/537.36 (KHTML, like Gecko) Chrome/108.0.0.0 Safari/537.36</t>
  </si>
  <si>
    <t>'1,1'</t>
  </si>
  <si>
    <t>Mozilla/5.0 (Windows NT 10.0; WOW64) AppleWebKit/537.36 (KHTML, like Gecko) Chrome/108.0.0.0 Safari/537.36</t>
  </si>
  <si>
    <t>Math Common Core Geometry-10Th Grade</t>
  </si>
  <si>
    <t>BarCharts Publishing, Inc.</t>
  </si>
  <si>
    <t>QA461 .E976 2014</t>
  </si>
  <si>
    <t>'5,6'</t>
  </si>
  <si>
    <t>Math Common Core Algebra 2-11Th Grade</t>
  </si>
  <si>
    <t>QA159 .E976 2014</t>
  </si>
  <si>
    <t>Math Common Core Algebra 1-9Th Grade</t>
  </si>
  <si>
    <t>'1,2'</t>
  </si>
  <si>
    <t>'3,4'</t>
  </si>
  <si>
    <t>Renewable Energy Integration : Practical Management of Variability, Uncertainty, and Flexibility in Power Grids</t>
  </si>
  <si>
    <t>Engineering: Mechanical; Engineering: General; Engineering</t>
  </si>
  <si>
    <t>TJ808 -- .J66 2014eb</t>
  </si>
  <si>
    <t>'1,2,4,5,6,7,8,12,13,14'</t>
  </si>
  <si>
    <t>Mozilla/5.0 (iPad; CPU OS 16_1 like Mac OS X) AppleWebKit/605.1.15 (KHTML, like Gecko) CriOS/108.0.5359.112 Mobile/15E148 Safari/604.1</t>
  </si>
  <si>
    <t>Metal-Organic Frameworks for Chemical Reactions : From Organic Transformations to Energy Applications</t>
  </si>
  <si>
    <t>Elsevier</t>
  </si>
  <si>
    <t>Science: Chemistry; Science</t>
  </si>
  <si>
    <t>QD381.8 .M483 2021</t>
  </si>
  <si>
    <t>Mozilla/5.0 (Windows NT 10.0; Win64; x64) AppleWebKit/537.36 (KHTML, like Gecko) Chrome/107.0.0.0 Safari/537.36 Edg/107.0.1418.42</t>
  </si>
  <si>
    <t>'1,1,1,54,66,65,63,62,61,59,58,57,56,60,67,68,69,70,71,72,73,74,76,78,79,80,81,82,83,84,546,549,550,551,552,553,1,1,54,85,84,83,82,81,86,87,88,89,90,91,94,93,95,96,98,99,100,101,102,104'</t>
  </si>
  <si>
    <t>'1,1,54,55,56,57,58,59,60,61,62,63,64,65,66,67,68,69,70,71,72,73,74'</t>
  </si>
  <si>
    <t>Soil Microenvironment for Bioremediation and Polymer Production</t>
  </si>
  <si>
    <t>Science: Chemistry</t>
  </si>
  <si>
    <t>'233,235,239,240,242,244,245,246,248,249'</t>
  </si>
  <si>
    <t>'249'</t>
  </si>
  <si>
    <t>Mozilla/5.0 (Macintosh; Intel Mac OS X 10_13_6) AppleWebKit/537.36 (KHTML, like Gecko) Chrome/107.0.0.0 Safari/537.36</t>
  </si>
  <si>
    <t>'1,1,54,55'</t>
  </si>
  <si>
    <t>Industrial Internet of Things : Technologies and Research Directions</t>
  </si>
  <si>
    <t>TK5105.8857 .I538 2022</t>
  </si>
  <si>
    <t>'1,1,1,3,6'</t>
  </si>
  <si>
    <t>Machine Vision for Industry 4. 0 : Applications and Case Studies</t>
  </si>
  <si>
    <t>Engineering; Engineering: Civil; Computer Science/IT</t>
  </si>
  <si>
    <t>TA1634 .C438 2022</t>
  </si>
  <si>
    <t>'1,1,1,2,4,6,7,8,9,11,12,14,16,18,19,21,22,23,24,25,26,27,28,29,31,32,34,36,37,39,40,41,43,44,46,48'</t>
  </si>
  <si>
    <t>Robot Operating System (ROS) : The Complete Reference (Volume 5)</t>
  </si>
  <si>
    <t>Engineering; Engineering: General; Engineering: Mechanical</t>
  </si>
  <si>
    <t>TJ212-225</t>
  </si>
  <si>
    <t>'1,1,1,1,1,2,5,7,9,11,13,14,15,16,17,18,19,20,21,22,23,24,25,26,27,28,29,30,31,32,34,35,36,37,38,39,40,41,42,43,44,45,46,47,48,49,50,51,52,53,54,55,56,57,58,59,60,61,62,63,64,65,66,67,68,69,70,71,72,73,74,75,76,77,78,79,80,81,82,83'</t>
  </si>
  <si>
    <t>Geologic Time Scale 2020</t>
  </si>
  <si>
    <t>Science; Science: Geology</t>
  </si>
  <si>
    <t>QE508 .G465 2020</t>
  </si>
  <si>
    <t>'232,233,234,235,236,237,238,239,240,241,242,243,244,245,246,247,248,249,250,251,252,253,254,255,256,257,258,259,,280,281,282,283,284,285,286,287,288,289,290,291,292,293,294,295,296,297,298,299,,280,281,282,283,284,285,286,287,288,289,290,291,292,293,294,295,296,297,298,299,,300,301,302,303,304,305,306,307,308,309,310,311,312,313,314,315,316,317,318,319,320,321,322,323,324,325,326,327,328,329,,330,331,332,333,334,335,336,337,338,339,340,341,342,343,344,345,346,347,348,349,350,351,352,353,354,355,356,357,358,359,360,361,362,363,364,365,,378,379,380,381,382,383,384,385,386,387,388,389,390,391,392,393,394,395,396,397,398,399,400,401,402,403,404,405,406,407,408,409,410,411,412,413,414,415,416,417,418,419,420,421,,990,991,992,993,994,995,996,997,998,999,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,1197,1198,1199,1200,1201,1202,1203,1204,1205,1206,1207,1208,1209,1210,1211,1212,1213,1214,1215,1216,1217,1218,1219,1220,1221,1222,1223,1224,1225,1226,1227,1228,1229'</t>
  </si>
  <si>
    <t>'233,234,235,236,237,239,240,241,242,243,244,245,246,235,25,52,244,245,249,250,252,253'</t>
  </si>
  <si>
    <t>'235'</t>
  </si>
  <si>
    <t>'1,1,54'</t>
  </si>
  <si>
    <t>Regulating Emotions : Culture, Social Necessity, and Biological Inheritance</t>
  </si>
  <si>
    <t>Psychology</t>
  </si>
  <si>
    <t>'1,2,3,4,5,6,7,8,9,10,11,12,13,14,15,15,16,17'</t>
  </si>
  <si>
    <t>'17'</t>
  </si>
  <si>
    <t>'1,1,2,54'</t>
  </si>
  <si>
    <t>'1,1,86,54,55,56,57,58,59,60,61,62,63,85,79,81,82,83,84,82,82'</t>
  </si>
  <si>
    <t>'1,462,463,464,465,403,404,405,406,407,408,409,410,54,55,56,57,84,83,82,81,80,79,78,77,76,75,74,73,72,71,70,69,68,85,85,86,87,88,89,90,91,92,119,120,121,122,546,545,547,548,549,550,549,551,552,553,555,557,558,550'</t>
  </si>
  <si>
    <t>'54,55,56,57,58,59,60,61,62,63,64,65,66,67,68,69,70,71,72,73,74,75,76,77,78,79,80,81,82,83,84,85,86,87,88,89,90,91,92,93,94,95,96,97,98,99,100,101,102,103,104,105,106,107,108,109,110,111,112,113,114,115,116,117,118,119,120,549,550,551,552,553,554,555,556,557'</t>
  </si>
  <si>
    <t>Multiscale Materials Modeling : Approaches to Full Multiscaling</t>
  </si>
  <si>
    <t>Engineering; Engineering: Civil; Engineering: General</t>
  </si>
  <si>
    <t>620.1/10151</t>
  </si>
  <si>
    <t>TA404.23.M85 2016</t>
  </si>
  <si>
    <t>'1,2,3,4,5,6,8,114,115,116,117,118,119,120'</t>
  </si>
  <si>
    <t>Implementing an Information Security Management System : Security Management Based on ISO 27001 Guidelines</t>
  </si>
  <si>
    <t>Apress L. P.</t>
  </si>
  <si>
    <t>QA76.9.A25</t>
  </si>
  <si>
    <t>'1,7,8,146,145,143'</t>
  </si>
  <si>
    <t>Integrated and Hybrid Process Technology for Water and Wastewater Treatment</t>
  </si>
  <si>
    <t>Engineering; Engineering: Environmental</t>
  </si>
  <si>
    <t>TD745 .I584 2021</t>
  </si>
  <si>
    <t>'502,503,504,505,506,507,508,509,510,511,512,513,514,515,516,517'</t>
  </si>
  <si>
    <t>Mozilla/5.0 (Macintosh; Intel Mac OS X 10_15_7) AppleWebKit/605.1.15 (KHTML, like Gecko) Version/16.0 Safari/605.1.15</t>
  </si>
  <si>
    <t>The Dyslexia, ADHD, and DCD-Friendly Study Skills Guide : Tips and Strategies for Exam Success</t>
  </si>
  <si>
    <t>Jessica Kingsley Publishers</t>
  </si>
  <si>
    <t>LC4704 .M365 2020</t>
  </si>
  <si>
    <t>'1,17,1,2,3,4,5,6,7,7,5,8,9,11,1,4,4,4,4,4,4,5,6,7,9,10,11,13,14,15,17,17,17,18,19,20'</t>
  </si>
  <si>
    <t>'1,2,3,4,5,7,8,134,135,136'</t>
  </si>
  <si>
    <t>Mastering Medical Exams : A systems-based approach</t>
  </si>
  <si>
    <t>Scion Publishing</t>
  </si>
  <si>
    <t>R834.5$b.M363 2020</t>
  </si>
  <si>
    <t>'1,14,15,17,18,21'</t>
  </si>
  <si>
    <t>'1,18,22,21,23,24,25,26,27,78,80,81,,1'</t>
  </si>
  <si>
    <t>Applied Biomedical Engineering Using Artificial Intelligence and Cognitive Models</t>
  </si>
  <si>
    <t>R859.7.A78 G379 2022</t>
  </si>
  <si>
    <t>'60,61,62,63,64,65,66,67,68'</t>
  </si>
  <si>
    <t>'18,21,23'</t>
  </si>
  <si>
    <t>Mozilla/5.0 (Macintosh; Intel Mac OS X 10_15_7) AppleWebKit/537.36 (KHTML, like Gecko) Chrome/108.0.0.0 Safari/537.36</t>
  </si>
  <si>
    <t>Exploring Arduino : Tools and Techniques for Engineering Wizardry</t>
  </si>
  <si>
    <t>Computer Science/IT; Engineering; Engineering: Mechanical</t>
  </si>
  <si>
    <t>006.2/2</t>
  </si>
  <si>
    <t>TJ223.P76.B58 2013eb</t>
  </si>
  <si>
    <t>'1,29,36,35,33,30,31,32'</t>
  </si>
  <si>
    <t>'31'</t>
  </si>
  <si>
    <t>Engineering: Mechanical; Engineering; Computer Science/IT</t>
  </si>
  <si>
    <t>TJ223.P76 .B586 2020</t>
  </si>
  <si>
    <t>'1,,1,15,14,27,26,28,29,30,,30,31'</t>
  </si>
  <si>
    <t>Nanoscale Materials in Water Purification</t>
  </si>
  <si>
    <t>Engineering: Environmental; Engineering</t>
  </si>
  <si>
    <t>628.1/62</t>
  </si>
  <si>
    <t>TD430 .N36 2019</t>
  </si>
  <si>
    <t>AutoPurchase</t>
  </si>
  <si>
    <t>'1,6,7,8,9,10,11,12,13,14,15,16,17,18'</t>
  </si>
  <si>
    <t>Fundamentals of Enhanced Oil Recovery</t>
  </si>
  <si>
    <t>Society of Petroleum Engineers</t>
  </si>
  <si>
    <t>Engineering: Mining; Engineering</t>
  </si>
  <si>
    <t>TN871.F863 2014</t>
  </si>
  <si>
    <t>'325,325,327,337,338,339,340,342,341,343,344,346,347,348,350,351,352,353,354'</t>
  </si>
  <si>
    <t>Mozilla/5.0 (Macintosh; Intel Mac OS X 10_15_7) AppleWebKit/605.1.15 (KHTML, like Gecko) Version/15.2 Safari/605.1.15</t>
  </si>
  <si>
    <t>'325,326,327,328,329,330,331,332,333,334,335,336,337,338,339,340,341,342,343,344,345,346,347,348,349,350,351,352,353,354,355,356,357,358,359,360,361,362,363,364'</t>
  </si>
  <si>
    <t>Islamic Science and the Making of the European Renaissance</t>
  </si>
  <si>
    <t>MIT Press</t>
  </si>
  <si>
    <t>Science: General</t>
  </si>
  <si>
    <t>509.17/67</t>
  </si>
  <si>
    <t>'1,2,3,40,39,38,37,36,35,,35,,35,36,37,38,34,30,32,33,39,40,207,208,209,206'</t>
  </si>
  <si>
    <t>'38,208'</t>
  </si>
  <si>
    <t>Mozilla/5.0 (Windows NT 6.1; Win64; x64) AppleWebKit/537.36 (KHTML, like Gecko) Chrome/108.0.0.0 Safari/537.36</t>
  </si>
  <si>
    <t>Introduction to Autonomous Mobile Robots, Second Edition</t>
  </si>
  <si>
    <t>629.8/932</t>
  </si>
  <si>
    <t>TJ211.415 -- .S54 2011eb</t>
  </si>
  <si>
    <t>'1,3,30,31,74,73,75,464,465,472,473'</t>
  </si>
  <si>
    <t>Single Crystals of Electronic Materials : Growth and Properties</t>
  </si>
  <si>
    <t>Science; Engineering; Engineering: Electrical; Science: Chemistry</t>
  </si>
  <si>
    <t>QD921 .S564 2018</t>
  </si>
  <si>
    <t>'1,102,101'</t>
  </si>
  <si>
    <t>'1,2,3,4,5,6,6,3,1,2,4,5,1,1,1,1'</t>
  </si>
  <si>
    <t>Mozilla/5.0 (Windows NT 10.0; Win64; x64) AppleWebKit/537.36 (KHTML, like Gecko) Chrome/108.0.0.0 Safari/537.36 Edg/108.0.1462.46</t>
  </si>
  <si>
    <t>'1,3,5,6,2,4,5,6,1,2,3,4'</t>
  </si>
  <si>
    <t>'1,1,2'</t>
  </si>
  <si>
    <t>Pyrite : A Natural History of Fool's Gold</t>
  </si>
  <si>
    <t>Science; Science: Geology; Science: Chemistry</t>
  </si>
  <si>
    <t>549/.32</t>
  </si>
  <si>
    <t>QE390.2.I76 -- .R53 2015eb</t>
  </si>
  <si>
    <t>'1,2,3,5,6,7,8,11,14,15,32,33,84,85,86,87,88,260,261,262'</t>
  </si>
  <si>
    <t>Mozilla/5.0 (Macintosh; Intel Mac OS X 10_14_6) AppleWebKit/537.36 (KHTML, like Gecko) Chrome/108.0.0.0 Safari/537.36</t>
  </si>
  <si>
    <t>'182,183,184,185,186,187'</t>
  </si>
  <si>
    <t>Handbook of Fire and Explosion Protection Engineering Principles : For Oil, Gas, Chemical and Related Facilities</t>
  </si>
  <si>
    <t>William Andrew</t>
  </si>
  <si>
    <t>Engineering: Construction; Engineering: Chemical; Engineering</t>
  </si>
  <si>
    <t>TH9445.C47 -- .N653 2014eb</t>
  </si>
  <si>
    <t>'1,250,252,253,255,254,254,1,2,4,53,62,78,264,265,381,382,479,481'</t>
  </si>
  <si>
    <t>Electrochemical Membrane Technology for Water and Wastewater Treatment</t>
  </si>
  <si>
    <t>TD745 .E443 2022</t>
  </si>
  <si>
    <t>Arab Spring in Egypt : Revolution and Beyond</t>
  </si>
  <si>
    <t>American University in Cairo Press</t>
  </si>
  <si>
    <t>Political Science; History</t>
  </si>
  <si>
    <t>JQ1850.A91.A795 201</t>
  </si>
  <si>
    <t>'1,2,3,4,5,6,7,8,9,10,11,12,13,14,15,16,17,18,19,20,21,22,23,24,25,26,27,28,29,30,31,32,33,34,35,36,37,,1,7,10,11,12,15,17,20,21,22,24,25,28,30,29,31,33,32,34,35,36,37,38,39,40,41,42,43,44,45,46,47,48,49,50,51,52,53,54,55,57,58,59,60,61,62,64,65,66,67,68,69,70,71,72,73,74,75,77,76,78,79,80,81,82,83,84,86,85,87,88,89,90,91,93,92,91,86,85,20,19,18,17,13,11,9,8,120,121,122,123,124,125,126,127,129,130,131,132,133,134,135,136,,134'</t>
  </si>
  <si>
    <t>Arab Spring : Uprisings, Powers, Interventions</t>
  </si>
  <si>
    <t>Berghahn Books, Incorporated</t>
  </si>
  <si>
    <t>Political Science; Geography/Travel</t>
  </si>
  <si>
    <t>909/.097492708312</t>
  </si>
  <si>
    <t>JQ1850.A91 2014</t>
  </si>
  <si>
    <t>'1,2,4,6,7,8,5,12,20,24,26,27,28,29,30,31,,1,2,4,5,27,28,29,30,31,32'</t>
  </si>
  <si>
    <t>The Battle for the Arab Spring : Revolution, Counter-Revolution and the Making of a New Era</t>
  </si>
  <si>
    <t>Yale University Press</t>
  </si>
  <si>
    <t>Geography/Travel; Political Science</t>
  </si>
  <si>
    <t>JQ1850.A91 -- N68 2012eb</t>
  </si>
  <si>
    <t>'1,117,118,,117,115,118,119,116,120,121,122,123,124,125,126,127,128,129,130,131,132,133,134,135,136,137,138,139,140,141'</t>
  </si>
  <si>
    <t>Youth and Revolution in Tunisia</t>
  </si>
  <si>
    <t>Bloomsbury Academic &amp; Professional</t>
  </si>
  <si>
    <t>History; Social Science</t>
  </si>
  <si>
    <t>HN784.A8 -- H66 2013eb</t>
  </si>
  <si>
    <t>'1,88,89,90,91,92,93,94,95,96,97,98,100,101,102,103,104,105,109,110,111,112,113,114,115,161,160,156,150,148,146,144,142,140,138,136,135,134,133,132,131,130,129,13,14,117,162,,160,,,160'</t>
  </si>
  <si>
    <t>'1,8,88'</t>
  </si>
  <si>
    <t>'1,2,3,5,6,7,8,9,10,11'</t>
  </si>
  <si>
    <t>'1,2,30,6,5,31,32,33,33,32,34,6,5,30,29,38,37,35,36,84,83,45,44,43,46,47'</t>
  </si>
  <si>
    <t>'1,1,266,290,291,292,287,285,282,280,279,278,277,276,275,274,273,272,271,270,268,269,267,281,284,283'</t>
  </si>
  <si>
    <t>The Science of Imaging</t>
  </si>
  <si>
    <t>Engineering; Engineering: Electrical; Fine Arts</t>
  </si>
  <si>
    <t>TR222.S293 2011</t>
  </si>
  <si>
    <t>'180,181,182,183,184,185,186,187,188,189,190,191,192,193,,24,25,26,27,28,29,30,31,32,33,34,35,36,37,38,39,40,41'</t>
  </si>
  <si>
    <t>Visualization Handbook</t>
  </si>
  <si>
    <t>Engineering: Electrical; Engineering; Computer Science/IT</t>
  </si>
  <si>
    <t>TK7882.I6 -- V59 2005eb</t>
  </si>
  <si>
    <t>'450,451,452,453,454,455,456,457,458,459,460,461,462,463,464,465,466,467,,280,281,282,283,284,285,286,287,288,289,290,291,292,293,294,295,296,297'</t>
  </si>
  <si>
    <t>'1,1,3,2,4,5,266,289,290,288,291,292,293,294,285,281,280,278,277,276,275,274,272,271,269,268,270'</t>
  </si>
  <si>
    <t>'1,2,5,246,247,248,,1,246,247,248,249,250,251,252,253,254,255,256,257,258,259,260,261,262,263,264,222,223,224,225,226,227,228,229,230,231,232,233,234,235,236,245,244,245'</t>
  </si>
  <si>
    <t>Light Metal and Their Alloys III</t>
  </si>
  <si>
    <t>Trans Tech Publications, Limited</t>
  </si>
  <si>
    <t>Engineering; Engineering: Mining</t>
  </si>
  <si>
    <t>TN773.L54 2014eb</t>
  </si>
  <si>
    <t>'1,1,2,5'</t>
  </si>
  <si>
    <t>Light Metals and Their Alloys I - Technology, Microstructure and Properties</t>
  </si>
  <si>
    <t>TN773.L485 2011eb</t>
  </si>
  <si>
    <t>'1,1,5,62,61,65,62,63'</t>
  </si>
  <si>
    <t>Light Metals and Their Alloys II</t>
  </si>
  <si>
    <t>TN773.L496 2012eb</t>
  </si>
  <si>
    <t>'1,,1,1,5,2'</t>
  </si>
  <si>
    <t>Principles of Corrosion Engineering and Corrosion Control</t>
  </si>
  <si>
    <t>TA462.A39 2006</t>
  </si>
  <si>
    <t>'1,1,79,80,81,82,87,88,89,90,91,92,93,93,93,83,101,102,102,85,101,102,101,101,102'</t>
  </si>
  <si>
    <t>Weaving the Dark Web : Legitimacy on Freenet, Tor, and I2P</t>
  </si>
  <si>
    <t>Library Science</t>
  </si>
  <si>
    <t>ZA4237 .G445 2018</t>
  </si>
  <si>
    <t>'1,285,235,236,237,238,239,240,241,242,243'</t>
  </si>
  <si>
    <t>Mozilla/5.0 (Windows NT 10.0; Win64; x64) AppleWebKit/537.36 (KHTML, like Gecko) Chrome/107.0.0.0 Safari/537.36</t>
  </si>
  <si>
    <t>'189,190,191,192,193,194,195,196,197,198,199,200,201,202,203,204,205,206,207,208,209,210,211,212,213,214,215,216,217,218,219,220,221,222,223,224,225,226,227,228,229,230,231,232'</t>
  </si>
  <si>
    <t>'325,2,326,327,329,330,331,332,333,335,337,338,340,339'</t>
  </si>
  <si>
    <t>Calculus</t>
  </si>
  <si>
    <t>QA303.G89 1984eb</t>
  </si>
  <si>
    <t>'1,5,3,4,6,7,8,9,10,11,13,15,17,18,27,26,38,39,40'</t>
  </si>
  <si>
    <t>Recent Trends in Biofilm Science and Technology</t>
  </si>
  <si>
    <t>QR100.8.B55$b.R434 2020</t>
  </si>
  <si>
    <t>'1,3,,110,110,110'</t>
  </si>
  <si>
    <t>'110,111,112,113,114,115,116,117,118,119,120,121'</t>
  </si>
  <si>
    <t>Beginning SQL</t>
  </si>
  <si>
    <t>005.75/65</t>
  </si>
  <si>
    <t>QA76.73.S67W57 2005</t>
  </si>
  <si>
    <t>'1,2,4'</t>
  </si>
  <si>
    <t>'1,4,5,6,7,8,9,10,12,11,14,15,16,17,17,17,18,19,20'</t>
  </si>
  <si>
    <t>Dark Matter And Cosmic Web Story</t>
  </si>
  <si>
    <t>Science; Science: Astronomy</t>
  </si>
  <si>
    <t>QB991.I54.E36 2013eb</t>
  </si>
  <si>
    <t>'1,5,6,16,11,3,8,9,10,12'</t>
  </si>
  <si>
    <t>'1,2,4,5,6,11,23,24,22,25,26,27,28,29,30,101,290,162,79,41,51,166,169,182,43,45,36,38,48'</t>
  </si>
  <si>
    <t>Hazardous Waste Management : An Overview of Advanced and Cost-Effective Solutions</t>
  </si>
  <si>
    <t>TD1030 .H393 2022</t>
  </si>
  <si>
    <t>'1,2,78,78,46,79,80,82,83,84,85,86,87,88,156,157,158,159,161,196,197,198,199,202,202,202,203,204,205,206,207,208,209,210,211,212,213,214,215,216,217,218,219,220,78,79,80,81,82,83,83,83,83,84,85,86,87,88,89,90,91,92,93,94,95,96,97,97,96,57,95,94,93,92,91,86,88,89,84,82,83,81,80,81,81,80,83,85,87,89,91,93,95,96,97,98'</t>
  </si>
  <si>
    <t>Mozilla/5.0 (Windows NT 10.0; Win64; x64) AppleWebKit/537.36 (KHTML, like Gecko) Chrome/108.0.0.0 Safari/537.36 Edg/108.0.1462.42</t>
  </si>
  <si>
    <t>'1,4,6,10,11,12,13,14,15,18'</t>
  </si>
  <si>
    <t>'18,18'</t>
  </si>
  <si>
    <t>Immersive Technology in Smart Cities : Augmented and Virtual Reality in IoT</t>
  </si>
  <si>
    <t>Engineering: Electrical; Social Science; Engineering</t>
  </si>
  <si>
    <t>TK5101-5105.9</t>
  </si>
  <si>
    <t>'1,2,3,4,5,6,7,8,9,10,11'</t>
  </si>
  <si>
    <t>Islamic Political Thought : An Introduction</t>
  </si>
  <si>
    <t>Political Science</t>
  </si>
  <si>
    <t>320.55/7</t>
  </si>
  <si>
    <t>JA84.I78 -- .I85 2015eb</t>
  </si>
  <si>
    <t>'1,100,102,101,103,104'</t>
  </si>
  <si>
    <t>The Global Jihad Movement</t>
  </si>
  <si>
    <t>Rowman &amp; Littlefield Publishers, Incorporated</t>
  </si>
  <si>
    <t>Political Science; Religion</t>
  </si>
  <si>
    <t>BP182 -- .G86 2015eb</t>
  </si>
  <si>
    <t>'1,126,84,127,128'</t>
  </si>
  <si>
    <t>'1,3,12,11,4,14,15,16,17,18,19,20,21,22,23,46,45,47,48,49'</t>
  </si>
  <si>
    <t>Calculus and Differential Equations with MATHEMATICA</t>
  </si>
  <si>
    <t>Alpha Science International</t>
  </si>
  <si>
    <t>QA76.95 .D434 2016</t>
  </si>
  <si>
    <t>'298,300,301,303,304,305,306,307,309,,272,273,274,276,277,278,279,280,281,282,283'</t>
  </si>
  <si>
    <t>Boundary Value Problems : And Partial Differential Equations</t>
  </si>
  <si>
    <t>515/.353</t>
  </si>
  <si>
    <t>QA379.P68 2006</t>
  </si>
  <si>
    <t>'308,309,310,311,312,313,314'</t>
  </si>
  <si>
    <t>Introduction to Partial Differential Equations</t>
  </si>
  <si>
    <t>New Central Book Agency</t>
  </si>
  <si>
    <t>QA377 .D888 2020</t>
  </si>
  <si>
    <t>Student Solutions Manual to Boundary Value Problems : And Partial Differential Equations</t>
  </si>
  <si>
    <t>QA379</t>
  </si>
  <si>
    <t>Understanding Jihad</t>
  </si>
  <si>
    <t>University of California Press</t>
  </si>
  <si>
    <t>297.7/2</t>
  </si>
  <si>
    <t>BP182</t>
  </si>
  <si>
    <t>'1,3,5,6,7,8,11,12,14,18,20,16,15,17'</t>
  </si>
  <si>
    <t>'1,20,21,30,12,11,13,46,47,48,49,44,43,42,41,45,22,6,2,3,5,7,10,31'</t>
  </si>
  <si>
    <t>Jihad and International Security</t>
  </si>
  <si>
    <t>Palgrave Macmillan</t>
  </si>
  <si>
    <t>Medicine; Political Science</t>
  </si>
  <si>
    <t>JZ2-6530</t>
  </si>
  <si>
    <t>'1,5,6,8,9,10,11,73,74'</t>
  </si>
  <si>
    <t>AI 2020: Advances in Artificial Intelligence : 33rd Australasian Joint Conference, AI 2020, Canberra, ACT, Australia, November 29-30, 2020, Proceedings</t>
  </si>
  <si>
    <t>Computer Science/IT; Science</t>
  </si>
  <si>
    <t>Q334-342</t>
  </si>
  <si>
    <t>'17,18,19,20,21,,17'</t>
  </si>
  <si>
    <t>'1,2,6,7,100,99'</t>
  </si>
  <si>
    <t>'1,2,6,5,3,4,8,7'</t>
  </si>
  <si>
    <t>Piezoelectric Materials: Structure, Properties and Applications : Structure, Properties and Applications</t>
  </si>
  <si>
    <t>Engineering: Electrical; Engineering; Engineering: General</t>
  </si>
  <si>
    <t>620.1/1297</t>
  </si>
  <si>
    <t>TK7872.P54 -- P535 2010eb</t>
  </si>
  <si>
    <t>'1,2,15,16,18,20,22,23,24,26,,1,,1,3,4,5,7,15,17,19,21,22,23,25,26,28,29,30,31,33,35,37,93,94,95,97,99,101,103,104,105,106,107,108,18,27'</t>
  </si>
  <si>
    <t>Powder Diffraction : Theory and Practice</t>
  </si>
  <si>
    <t>Royal Society of Chemistry</t>
  </si>
  <si>
    <t>Science; Science: Physics; Science: Chemistry</t>
  </si>
  <si>
    <t>QC482.D5 -- P69 2008eb</t>
  </si>
  <si>
    <t>'1,24,43,12,13,14,15,305,229,157,112,122,110,108,109,114,113,115,118,119,119,120,121,122,123,126,127,128,130,131,157,156,154,153,152,151,150,148,148,6,81,157,157,158,597,527,463,437,52,114,9'</t>
  </si>
  <si>
    <t>Twentieth-Century Philosophy of Religion : The History of Western Philosophy of Religion, Volume 5</t>
  </si>
  <si>
    <t>BL1853 .G37 2014</t>
  </si>
  <si>
    <t>'96,97,98,99,100,101,102,103,104,105,106,107,,96,97,98,99,100,101,102,103,104,105,106,107,,108,109,110,111,112,113,114,115,116,117,118,119,120,121,,136,137,138,139,140,141,142,143,144,145,146,147,148,149,,150,151,152,153,154,155,156,157,158,159,160,161,,162,163,164,165,166,167,168,169,170,171,172,173,174,175,176,177,,276,277,278,279,280,281,282,283,284,285,286,287'</t>
  </si>
  <si>
    <t>Religio-Philosophical Discourses in the Mediterranean World : From Plato, Through Jesus, to Late Antiquity</t>
  </si>
  <si>
    <t>BRILL</t>
  </si>
  <si>
    <t>Philosophy; Religion</t>
  </si>
  <si>
    <t>BL51.R455 2017</t>
  </si>
  <si>
    <t>'134,135,136,137,138,139,140,141,142,143,144,145,146,147,148,149,150,151,152,153,154,155,156,157,158,159,160,161,162,163,164,165,166,,331,332,333,334,335,336,337,338,339,340,341,342,343,344,345,,346,347,348,349,350,351,352,353,354,355,356,357,358,359,360,361,362,363,364,365,366,367,368,369,370,371,372,373,374,375,376,377,378,379,380,381,382,,287,288,289,290,291,292,293,294,295,296,297,298,299,300,301,302,303,304,305,306,307,308,309,310,311,312,313'</t>
  </si>
  <si>
    <t>Ancient Philosophy of Religion : The History of Western Philosophy of Religion, Volume 1</t>
  </si>
  <si>
    <t>'226,227,228,229,230,231,232,233,234,235,236,237,,238,239,240,241,242,243,244,245,246,247,248,249,,278,279,280,281,282,283,284,285,286,287,288,289,290,291,,94,95,96,97,98,99,100,101,102,103,104,105,106,107,,214,215,216,217,218,219,220,221,222,223,224,225,,292,293,294,295,296,297,298,299,300,301,302,303,304,305'</t>
  </si>
  <si>
    <t>Waste Management in the Chemical and Petroleum Industries</t>
  </si>
  <si>
    <t>TD899.P4 .B343 2020</t>
  </si>
  <si>
    <t>'1,4,69,70,71,72,73,74,75,76,77,79,78,3'</t>
  </si>
  <si>
    <t>The Architecture of Waste : Design for a Circular Economy</t>
  </si>
  <si>
    <t>Architecture</t>
  </si>
  <si>
    <t>NA2542.36$b.A73 2021</t>
  </si>
  <si>
    <t>'1,40,3,42,43,44,45,244,247,220,127,128,126,91,124,90,89,88'</t>
  </si>
  <si>
    <t>Deep Learning in Medical Image Analysis : Challenges and Applications</t>
  </si>
  <si>
    <t>Engineering: Chemical; Engineering; Medicine</t>
  </si>
  <si>
    <t>TP248.13-248.65</t>
  </si>
  <si>
    <t>'52,54,53,55,58,1,2,3,4,5,6,7,8,9,10'</t>
  </si>
  <si>
    <t>Strategic Partnerships in Asia : Balancing Without Alliances</t>
  </si>
  <si>
    <t>DS35.2 -- .N32 2009eb</t>
  </si>
  <si>
    <t>'1,1,1,14,106,172,194'</t>
  </si>
  <si>
    <t>Mozilla/5.0 (Macintosh; Intel Mac OS X 10_15_7) AppleWebKit/605.1.15 (KHTML, like Gecko) Version/15.4 Safari/605.1.15</t>
  </si>
  <si>
    <t>Egypt after Mubarak : Liberalism, Islam, and Democracy in the Arab World</t>
  </si>
  <si>
    <t>JQ3881 -- .R87 2008eb</t>
  </si>
  <si>
    <t>The Sartre Dictionary</t>
  </si>
  <si>
    <t>Bloomsbury Publishing Plc</t>
  </si>
  <si>
    <t>Philosophy</t>
  </si>
  <si>
    <t>B2430.S33.Z84 2008eb</t>
  </si>
  <si>
    <t>'1,1,3,4,5'</t>
  </si>
  <si>
    <t>Fearing Others : The Nature and Treatment of Social Phobia</t>
  </si>
  <si>
    <t>Cambridge University Press</t>
  </si>
  <si>
    <t>616.85/225</t>
  </si>
  <si>
    <t>RC552.S62 S77 2007</t>
  </si>
  <si>
    <t>Mozilla/5.0 (iPhone; CPU iPhone OS 15_6_1 like Mac OS X) AppleWebKit/605.1.15 (KHTML, like Gecko) Version/15.6.1 Mobile/15E148 Safari/604.1</t>
  </si>
  <si>
    <t>Difficult Atheism : Post-Theological Thinking in Alain Badiou, Jean-Luc Nancy and Quentin Meillassoux</t>
  </si>
  <si>
    <t>Edinburgh University Press</t>
  </si>
  <si>
    <t>BL2765.F8 -- W38 2011eb</t>
  </si>
  <si>
    <t>'1,1,254,259,258,257,256,255'</t>
  </si>
  <si>
    <t>'1,1,8,7,9,254,253'</t>
  </si>
  <si>
    <t>'1,4,5,6,7,9,12,11,226,226,68,259,1,2,3,5,7,6,9,10,11'</t>
  </si>
  <si>
    <t>Metal Oxide-Based Nanofibers and Their Applications</t>
  </si>
  <si>
    <t>Engineering: General; Engineering; Engineering: Civil</t>
  </si>
  <si>
    <t>TA418.9.F5 M483 2022</t>
  </si>
  <si>
    <t>'1,6,5,7,33,34,35,36,37'</t>
  </si>
  <si>
    <t>'1,3,4,6,8,2,10,28,446,437,414,399,349,314,289,123,59,39,26,13,13,6,12,11,251,253,254,255,256,257,258,258,257,262,264,281,289,276,275,277,278,279,280,282,283,285,284,286,287,290,291,292,294,295,296,297,298,299,300,301,302,303,304,305,306,307,308,309,310,311,312,314,313,315,316,318,319,320,321,321,320,319,318,317,316,314,313,308,244,57,1,2,3,4,4,1,28,30,,1,,30,1'</t>
  </si>
  <si>
    <t>Phobia : A Reassessment</t>
  </si>
  <si>
    <t>616.8/5225</t>
  </si>
  <si>
    <t>RC535 -- .P46 2003eb</t>
  </si>
  <si>
    <t>'1,2,3,4,5,6,7,8,13,,13,,13,13'</t>
  </si>
  <si>
    <t>Cellular Learning Automata: Theory and Applications</t>
  </si>
  <si>
    <t>'16,17,18'</t>
  </si>
  <si>
    <t>Mozilla/5.0 (Windows NT 10.0; Win64; x64; rv:107.0) Gecko/20100101 Firefox/107.0</t>
  </si>
  <si>
    <t>COVID Societies : Theorising the Coronavirus Crisis</t>
  </si>
  <si>
    <t>Health; Social Science</t>
  </si>
  <si>
    <t>RA644.C67 L878 2022</t>
  </si>
  <si>
    <t>'89'</t>
  </si>
  <si>
    <t>Mozilla/5.0 (Macintosh; Intel Mac OS X 10_14_6) AppleWebKit/605.1.15 (KHTML, like Gecko) Version/14.1.2 Safari/605.1.15</t>
  </si>
  <si>
    <t>Non-Traditional Security Issues in ASEAN : Agendas for Action</t>
  </si>
  <si>
    <t>ISEAS - Yusof Ishak Institute</t>
  </si>
  <si>
    <t>Military Science</t>
  </si>
  <si>
    <t>UA832.8.N66 2020</t>
  </si>
  <si>
    <t>'1,2,38,251'</t>
  </si>
  <si>
    <t>Transient Analysis of Power Systems : A Practical Approach</t>
  </si>
  <si>
    <t>Engineering: Electrical</t>
  </si>
  <si>
    <t>Solar Power and Energy Storage Systems</t>
  </si>
  <si>
    <t>Jenny Stanford Publishing</t>
  </si>
  <si>
    <t>Engineering: Mechanical; Engineering; Engineering: General</t>
  </si>
  <si>
    <t>TJ810 .K56 2019</t>
  </si>
  <si>
    <t>'1,112,111,113,114,115,116,117,118,119,120,121,122,123,124,125'</t>
  </si>
  <si>
    <t>Power Electronics and Energy Conversion Systems, Fundamentals and Hard-Switching Converters : Fundamentals and Hard-Switching Converters</t>
  </si>
  <si>
    <t>Engineering; Engineering: Electrical</t>
  </si>
  <si>
    <t>621.31/7</t>
  </si>
  <si>
    <t>TK7881.15 -- .I59 2012eb</t>
  </si>
  <si>
    <t>Control of Power Electronic Converters and Systems : Volume 2</t>
  </si>
  <si>
    <t>Engineering: Electrical; Engineering</t>
  </si>
  <si>
    <t>TK7872.C8 .C668 2018</t>
  </si>
  <si>
    <t>Control of Power Electronic Converters and Systems : Volume 1</t>
  </si>
  <si>
    <t>TK7872.C8$b.C668 2018</t>
  </si>
  <si>
    <t>Advances in Hydrogen Production, Storage and Distribution</t>
  </si>
  <si>
    <t>TP359.H8 -- .A383 2014eb</t>
  </si>
  <si>
    <t>'1,4,3,310,312,313,314,315,316,317,318,319,320'</t>
  </si>
  <si>
    <t>'318'</t>
  </si>
  <si>
    <t>'1,106,105,107,108,109,110,111,112,166,165,167,168,169,170,171,172,173,169,170,172,173,174,175,176,177,178,179,180,181,182,183,185,186,187,266,265,267,268,269,270,271,272,273,274'</t>
  </si>
  <si>
    <t>'169,170,171,172'</t>
  </si>
  <si>
    <t>Power Electronic Converters : PWM Strategies and Current Control Techniques</t>
  </si>
  <si>
    <t>TK7872.C8 -- C66 2011eb</t>
  </si>
  <si>
    <t>Voltage-Sourced Converters in Power Systems : Modeling, Control, and Applications</t>
  </si>
  <si>
    <t>621.31/3</t>
  </si>
  <si>
    <t>TK1007 -- .Y39 2010eb</t>
  </si>
  <si>
    <t>'344,344'</t>
  </si>
  <si>
    <t>'1,23,22,24,30,32,31,33,34,35,36,37,45,46,47,70,69,137,138,139,140,267,266,268,269,270,271,272,273,274,335,334,336,337,338,339,340,341,342,343,344'</t>
  </si>
  <si>
    <t>Impedance Source Power Electronic Converters</t>
  </si>
  <si>
    <t>TK7872.C8</t>
  </si>
  <si>
    <t>'1,262,261,263,264,265,266,267,,1'</t>
  </si>
  <si>
    <t>Design and Implementation of Voltage Source Converters in HVDC Systems</t>
  </si>
  <si>
    <t>TK1001-1841</t>
  </si>
  <si>
    <t>Modelling and Simulation of Power Electronic Converter Dominated Power Systems in PowerFactory</t>
  </si>
  <si>
    <t>Photovoltaic Power System : Modeling, Design, and Control</t>
  </si>
  <si>
    <t>TK1087.X536 2017</t>
  </si>
  <si>
    <t>'1,307,331,332,333,334,335,336,337,338,339,340,355,356,357,358,359,360,361,362,363,364,365,366,367,368,369,370,371,372,373,374,375'</t>
  </si>
  <si>
    <t>Smart Solar PV Inverters with Advanced Grid Support Functionalities</t>
  </si>
  <si>
    <t>TK1087 .V376 2022</t>
  </si>
  <si>
    <t>'1,110,109,111,112,113,114,115,116,117,118'</t>
  </si>
  <si>
    <t>Wearable Technology : Smart Watches to Google Glass for Libraries</t>
  </si>
  <si>
    <t>Z678.93.W43 B78 2015</t>
  </si>
  <si>
    <t>'1,3'</t>
  </si>
  <si>
    <t>Solar Energy Conversion Systems</t>
  </si>
  <si>
    <t>Engineering; Engineering: Mechanical; Engineering: General</t>
  </si>
  <si>
    <t>TJ810.B76 2014eb</t>
  </si>
  <si>
    <t>'4,3,148,149,150'</t>
  </si>
  <si>
    <t>'150,151,148,149,150,151,152,153,154,155,156,157,158,159,160,161,162,163,164,165,166,167,168,169,170,171,172,173,174,175,176,177,178,179,180,181,182,183,184,185,186,187,188,189,190,191'</t>
  </si>
  <si>
    <t>'3,148'</t>
  </si>
  <si>
    <t>Futuristic Sustainable Energy and Technology : Proceedings of the International Conference on Futuristic Sustainable Energy &amp;Technology (ICFSE, 2021), 19-20 September 2021</t>
  </si>
  <si>
    <t>Science; Science: Physics</t>
  </si>
  <si>
    <t>QC611.8.L68$b.A12 2021</t>
  </si>
  <si>
    <t>'1,6,5,33,34,35,36,37,38,39,40,41,42,43,44,45,46'</t>
  </si>
  <si>
    <t>Optics : Principles and Applications</t>
  </si>
  <si>
    <t>Science; Engineering: Electrical; Science: Physics; Engineering</t>
  </si>
  <si>
    <t>QC355.3 -- .S53 2006eb</t>
  </si>
  <si>
    <t>China's Communication of the Belt and Road Initiative : Silk Road and Infrastructure Narratives</t>
  </si>
  <si>
    <t>HF1604.Z4 V366 2022</t>
  </si>
  <si>
    <t>'1,5'</t>
  </si>
  <si>
    <t>Random Dynamical Systems : Theory and Applications</t>
  </si>
  <si>
    <t>QA614.835 -- .B53 2007eb</t>
  </si>
  <si>
    <t>'1,19,20'</t>
  </si>
  <si>
    <t>Fundamentals of Water Treatment Unit Processes : Physical, Chemical, and Biological</t>
  </si>
  <si>
    <t>TD430.H463 2011</t>
  </si>
  <si>
    <t>'1,2,2,13,335,334,336,337,338,339,340,342,343,344,345,346,347,348,349,350,351,353,354,355,356,357'</t>
  </si>
  <si>
    <t>Carbon Nanotubes and Graphene</t>
  </si>
  <si>
    <t>TA455.C3 -- .C373 2014eb</t>
  </si>
  <si>
    <t>'6,13,1,8,2,4,5,7,41,32,31,34,36'</t>
  </si>
  <si>
    <t>'1,3,2,5,6,7,8,10,12,13,14,16,17,19,20,18,196,197,199,201,203,204,206,207,208,210,212,213,214,215,217,218,220'</t>
  </si>
  <si>
    <t>'1,3,4,6,8,10,16,18,20,21,22,24,25'</t>
  </si>
  <si>
    <t>Are Cyborgs Persons? : An Account of Futurist Ethics</t>
  </si>
  <si>
    <t>Philosophy; Social Science</t>
  </si>
  <si>
    <t>H61.15</t>
  </si>
  <si>
    <t>Knitting Technology : A Comprehensive Handbook and Practical Guide</t>
  </si>
  <si>
    <t>Engineering; Engineering: Manufacturing; Fine Arts</t>
  </si>
  <si>
    <t>TT680.S646 2001eb</t>
  </si>
  <si>
    <t>Practical Food Safety : Contemporary Issues and Future Directions</t>
  </si>
  <si>
    <t>RA601.5.P733 2014eb</t>
  </si>
  <si>
    <t>Transactions on Engineering Technologies : World Congress on Engineering 2018</t>
  </si>
  <si>
    <t>Springer Singapore Pte. Limited</t>
  </si>
  <si>
    <t>TA342-343</t>
  </si>
  <si>
    <t>'1,2,3,4,5,6,7,119,120,121'</t>
  </si>
  <si>
    <t>Mathematical Modeling in Science and Engineering : An Axiomatic Approach</t>
  </si>
  <si>
    <t>Science: General; Mathematics</t>
  </si>
  <si>
    <t>QA402 -- .H45 2012eb</t>
  </si>
  <si>
    <t>'1,1,227,228,229,230'</t>
  </si>
  <si>
    <t>Porous Media Transport Phenomena</t>
  </si>
  <si>
    <t>620.1/16</t>
  </si>
  <si>
    <t>TA418.9.P6 -- C58 2011eb</t>
  </si>
  <si>
    <t>'1,1,1,2,79,80,81,82,49,83,84,85,86,87,88,89,90,91,92,96,97,98,,1,303,304,305,306,307,308,309,310,1'</t>
  </si>
  <si>
    <t>'1,2,15,23,24'</t>
  </si>
  <si>
    <t>Radiobiology for the Radiologist</t>
  </si>
  <si>
    <t>Wolters Kluwer</t>
  </si>
  <si>
    <t>616.07/57</t>
  </si>
  <si>
    <t>R895 .H355 2019</t>
  </si>
  <si>
    <t>Mozilla/5.0 (Macintosh; Intel Mac OS X 10_15_7) AppleWebKit/605.1.15 (KHTML, like Gecko) Version/15.6.1 Safari/605.1.15</t>
  </si>
  <si>
    <t>'1,3,20,32,31,33,34,35,45'</t>
  </si>
  <si>
    <t>Future of Health Technology : Future of Health Technology</t>
  </si>
  <si>
    <t>IOS Press, Incorporated</t>
  </si>
  <si>
    <t>610/.28</t>
  </si>
  <si>
    <t>R855.3 -- .F886 2002eb</t>
  </si>
  <si>
    <t>'1,4,3,5,7,9,15,14,16,18'</t>
  </si>
  <si>
    <t>Mozilla/5.0 (Windows NT 10.0; Win64; x64) AppleWebKit/537.36 (KHTML, like Gecko) Chrome/107.0.0.0 Safari/537.36 Edg/107.0.1418.62</t>
  </si>
  <si>
    <t>Materials Characterization : Introduction to Microscopic and Spectroscopic Methods</t>
  </si>
  <si>
    <t>Engineering</t>
  </si>
  <si>
    <t>'1,21,20,2,4,4,4,2,1,5,7,8,9,11,12,13,14,15,6,5,5,5,6,6,8,9,9,34,1,2'</t>
  </si>
  <si>
    <t>Nanotechnology : Principles and Applications</t>
  </si>
  <si>
    <t>T174.7 .N366 2021</t>
  </si>
  <si>
    <t>'4,4'</t>
  </si>
  <si>
    <t>The End of Comparative Philosophy and the Task of Comparative Thinking : Heidegger, Derrida, and Daoism</t>
  </si>
  <si>
    <t>State University of New York Press</t>
  </si>
  <si>
    <t>181/.114</t>
  </si>
  <si>
    <t>B799 -- .B87 2009eb</t>
  </si>
  <si>
    <t>'1,4'</t>
  </si>
  <si>
    <t>The Heidegger Change : On the Fantastic in Philosophy</t>
  </si>
  <si>
    <t>B3279.H49 -- M271213 2011eb</t>
  </si>
  <si>
    <t>'1,1,1,172,172,171,171,171'</t>
  </si>
  <si>
    <t>Biochar: Fundamentals and Applications in Environmental Science and Remediation Technologies</t>
  </si>
  <si>
    <t>Agriculture; Engineering; Engineering: Chemical</t>
  </si>
  <si>
    <t>TP248.B55 B563 2021</t>
  </si>
  <si>
    <t>'1,84,83,,102,103,104,106,108,109'</t>
  </si>
  <si>
    <t>Ancient Rings : An Illustrated Collector's Guide</t>
  </si>
  <si>
    <t>McFarland &amp; Company, Incorporated Publishers</t>
  </si>
  <si>
    <t>Fine Arts</t>
  </si>
  <si>
    <t>NK7444 .P655 2018</t>
  </si>
  <si>
    <t>'1,14,15,16,17'</t>
  </si>
  <si>
    <t>The Future of Management in an AI World : Redefining Purpose and Strategy in the Fourth Industrial Revolution</t>
  </si>
  <si>
    <t>HF4999.2-6182</t>
  </si>
  <si>
    <t>'1,1,1,7,6,8,,9,9,9,7,6,13,58,57,59,60,61'</t>
  </si>
  <si>
    <t>'1,14,16,17,18,20,21,22,23,25,26,27'</t>
  </si>
  <si>
    <t>Contemporary Japanese Thought</t>
  </si>
  <si>
    <t>Columbia University Press</t>
  </si>
  <si>
    <t>History</t>
  </si>
  <si>
    <t>DS822.5 -- .C656 2005eb</t>
  </si>
  <si>
    <t>'1,1,3,5,6,7,112,113,114,115,116,117,118,119,120,121,122,123,124,125'</t>
  </si>
  <si>
    <t>Mozilla/5.0 (Macintosh; Intel Mac OS X 10_15_7) AppleWebKit/537.36 (KHTML, like Gecko) Chrome/107.0.0.0 Safari/537.36</t>
  </si>
  <si>
    <t>Our Biometric Future : Facial Recognition Technology and the Culture of Surveillance</t>
  </si>
  <si>
    <t>New York University Press</t>
  </si>
  <si>
    <t>Social Science; Engineering: Electrical; Engineering</t>
  </si>
  <si>
    <t>363.2/32</t>
  </si>
  <si>
    <t>TK7882 .B56 G38 2011</t>
  </si>
  <si>
    <t>Mozilla/5.0 (Macintosh; Intel Mac OS X 10_12_6) AppleWebKit/537.36 (KHTML, like Gecko) Chrome/103.0.0.0 Safari/537.36</t>
  </si>
  <si>
    <t>'1,8,7,11,12,14,15,16,17,18,19,20,13'</t>
  </si>
  <si>
    <t>'11'</t>
  </si>
  <si>
    <t>'1,3,7,8,11'</t>
  </si>
  <si>
    <t>'1,2,3,,3,4,5,6,7,9,10,12,13,14,15,26,27,54,55,80,81,82,83,84,85,112,113,114,115,116,117,118,119,120,148,149,150,151,152,153,154,192,193,194,195,196,197,198,198,198'</t>
  </si>
  <si>
    <t>'1,,3,4,6,7,8,9,10,11,54,55,56,57,58,59,60,61,62,63,64,65,66,67,68,69,70,71,72,73,74,75,76,77,78,79,80,81,82,83,84,85,86,87,88,89,90,91,92,93,94,95,96,97,98,99,100,101,102,103,104,105,106,107,108,109,110,111,113,114,115,116,153,154,155'</t>
  </si>
  <si>
    <t>A History of Optics from Greek Antiquity to the Nineteenth Century</t>
  </si>
  <si>
    <t>QC353.D3 2012eb</t>
  </si>
  <si>
    <t>'1,1,1,89,138,174,308,308,51,134,181,178,1'</t>
  </si>
  <si>
    <t>'1,20,19,26,25,28,32,30,33'</t>
  </si>
  <si>
    <t>'1,1,1,12,14,55,55,179,180'</t>
  </si>
  <si>
    <t>Plastic Money : Constructing Markets for Credit Cards in Eight Postcommunist Countries</t>
  </si>
  <si>
    <t>HG3755</t>
  </si>
  <si>
    <t>'120,120,4,1,,120,120'</t>
  </si>
  <si>
    <t>Explorations in the Sociology of Consumption : Fast Food, Credit Cards and Casinos</t>
  </si>
  <si>
    <t>Social Science; Business/Management</t>
  </si>
  <si>
    <t>HF5415.32.R58 2001</t>
  </si>
  <si>
    <t>'83,83,4,1,,83,83,84,85,86'</t>
  </si>
  <si>
    <t>'1,1,11,2,3,4,5,6,7,8,10,7,318,319,316,101,44,10,11,9,8,4,10,22,21,19,18,20,23,24,25,26,26,27,314,29,29,30,27,31,32,33,33,46,45,44,41,40,10,14,16,39,41,42,43,44'</t>
  </si>
  <si>
    <t>Hot Topics in Biomaterials</t>
  </si>
  <si>
    <t>Future Science Ltd</t>
  </si>
  <si>
    <t>R857.M3.H688 2014</t>
  </si>
  <si>
    <t>'1,3,5,8,9,10,11,12,14,15,16,17,13'</t>
  </si>
  <si>
    <t>Mozilla/5.0 (Macintosh; Intel Mac OS X 10_15_2) AppleWebKit/537.36 (KHTML, like Gecko) Chrome/100.0.4896.127 Safari/537.36</t>
  </si>
  <si>
    <t>Under The Microscope: A Brief History Of Microscopy : A Brief History of Microscopy</t>
  </si>
  <si>
    <t>Science: Biology/Natural History; Science: General; Science</t>
  </si>
  <si>
    <t>QH204.C76 2006</t>
  </si>
  <si>
    <t>'1,1,2,10,16,24'</t>
  </si>
  <si>
    <t>'1,3,4,6,5,8,9,10,11'</t>
  </si>
  <si>
    <t>Northern Neighbours : Scotland and Norway Since 1800</t>
  </si>
  <si>
    <t>DA815 .N678 2015</t>
  </si>
  <si>
    <t>'1,3,4,5,6,7,8'</t>
  </si>
  <si>
    <t>'1,19,18,20,21,22,23,24,25,26,27'</t>
  </si>
  <si>
    <t>'1,15,14,16,17,18,19,20,21,22,23'</t>
  </si>
  <si>
    <t>Regulatory Frameworks for Dam Safety : A Comparative Study</t>
  </si>
  <si>
    <t>World Bank Publications</t>
  </si>
  <si>
    <t>Law</t>
  </si>
  <si>
    <t>344/.053493</t>
  </si>
  <si>
    <t>K3498.3 -- .B73 2002eb</t>
  </si>
  <si>
    <t>'1,1,31,32,47,167,171'</t>
  </si>
  <si>
    <t>'120,120,25'</t>
  </si>
  <si>
    <t>'83,83'</t>
  </si>
  <si>
    <t>Curious2018 : Future Insights in Science and Technology</t>
  </si>
  <si>
    <t>Pharmacy; Medicine</t>
  </si>
  <si>
    <t>RS400-431</t>
  </si>
  <si>
    <t>'1,1,2,4,4,5,6,7,7,8,9,10,12,12'</t>
  </si>
  <si>
    <t>Ai : Its Nature and Future</t>
  </si>
  <si>
    <t>Q335 -- .B634 2016eb</t>
  </si>
  <si>
    <t>'1,4,89,90,91,92,112,113,114,115,197,199,200,202,130,131'</t>
  </si>
  <si>
    <t>Modeling, Identification and Control of Robots</t>
  </si>
  <si>
    <t>TJ211.K48 2004</t>
  </si>
  <si>
    <t>Smart Card Handbook</t>
  </si>
  <si>
    <t>004.5/6</t>
  </si>
  <si>
    <t>TK7895.S62R3613 2010</t>
  </si>
  <si>
    <t>'1,1,2,3,98,8,7,9,10,11'</t>
  </si>
  <si>
    <t>Rheology and Processing of Polymeric Materials</t>
  </si>
  <si>
    <t>Science; Engineering; Science: Physics; Engineering: General</t>
  </si>
  <si>
    <t>QC189.5.H36eb vol. 1</t>
  </si>
  <si>
    <t>'222,,222,223,224'</t>
  </si>
  <si>
    <t>'24,25,26,27,28,29,30,31,32,33,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'</t>
  </si>
  <si>
    <t>Mozilla/5.0 (Macintosh; Intel Mac OS X 10_15_5) AppleWebKit/605.1.15 (KHTML, like Gecko) Version/13.1.1 Safari/605.1.15</t>
  </si>
  <si>
    <t>Introduction to Dynamics and Control of Flexible Structures</t>
  </si>
  <si>
    <t>American Institute of Aeronautics &amp; Astronautics</t>
  </si>
  <si>
    <t>TL910 -- .J86 1993eb</t>
  </si>
  <si>
    <t>'1,2,3,4,5,6,7,8,10,11,12,13,14,15,16,17,18,19,20,21,22,23,24,25,26,27,28,29,32,31,33,34,36,37,39,40,64,65,66,67,68,252,253,251,254,255,256,257,258,259,307'</t>
  </si>
  <si>
    <t>Mozilla/5.0 (Macintosh; Intel Mac OS X 10_15_7) AppleWebKit/605.1.15 (KHTML, like Gecko) Version/15.5 Safari/605.1.15</t>
  </si>
  <si>
    <t>Band Theory and Electronic Properties of Solids</t>
  </si>
  <si>
    <t>530.4/12</t>
  </si>
  <si>
    <t>QC176.8.E4 .S564 2012</t>
  </si>
  <si>
    <t>'58,57,59,60,61,61,62,63,60,59,58,64,65,66,67'</t>
  </si>
  <si>
    <t>'66,66'</t>
  </si>
  <si>
    <t>'1,,,,3,4,6,7,8,9,11,13,14'</t>
  </si>
  <si>
    <t>'1,2,33,34'</t>
  </si>
  <si>
    <t>Electronic Processes in Non-Crystalline Materials</t>
  </si>
  <si>
    <t>530.4/1</t>
  </si>
  <si>
    <t>QC176.8.E4.M67 2012</t>
  </si>
  <si>
    <t>'16'</t>
  </si>
  <si>
    <t>Graphene : Synthesis and Applications</t>
  </si>
  <si>
    <t>620/.5</t>
  </si>
  <si>
    <t>T174.7</t>
  </si>
  <si>
    <t>'1,6,3,4'</t>
  </si>
  <si>
    <t>Selling Spirituality : The Silent Takeover of Religion</t>
  </si>
  <si>
    <t>'1,2,3,4,5,6,7,8,9,16,18,18'</t>
  </si>
  <si>
    <t>Streets and the Shaping of Towns and Cities</t>
  </si>
  <si>
    <t>Island Press</t>
  </si>
  <si>
    <t>Engineering: Civil; Engineering; Fine Arts</t>
  </si>
  <si>
    <t>711/.41</t>
  </si>
  <si>
    <t>TE279</t>
  </si>
  <si>
    <t>'1,1,2,12,11,13,16,40,78,77,79,81,17,92,91,93,58,57,99,107,140,139'</t>
  </si>
  <si>
    <t>Developing Analytic Talent : Becoming a Data Scientist</t>
  </si>
  <si>
    <t>Library Science; Computer Science/IT</t>
  </si>
  <si>
    <t>QA76.9.D343.G736 20</t>
  </si>
  <si>
    <t>Understanding Regression Analysis : A Conditional Distribution Approach</t>
  </si>
  <si>
    <t>CRC Press LLC</t>
  </si>
  <si>
    <t>QA278.2$b.W478 2020</t>
  </si>
  <si>
    <t>'1,3,204,203,205,206,207,164,163,165,166,167,168,169,170,171,172,173,174,175,176,177,178'</t>
  </si>
  <si>
    <t>Theodore Roosevelt : An Autobiography</t>
  </si>
  <si>
    <t>Open Road Media</t>
  </si>
  <si>
    <t>E757.R667 2016</t>
  </si>
  <si>
    <t>'1,3,4,5,5,5,7,15,14,13'</t>
  </si>
  <si>
    <t>Sigmund Freud</t>
  </si>
  <si>
    <t>150.19/52/092 B</t>
  </si>
  <si>
    <t>BF109.F74J33 2003</t>
  </si>
  <si>
    <t>Mozilla/5.0 (Macintosh; Intel Mac OS X 10.15; rv:107.0) Gecko/20100101 Firefox/107.0</t>
  </si>
  <si>
    <t>'2,3,,44,45,46,47,48,49,50,51,52,53,54,55,,56,57,58,59,60,61,62,63,64,65,66,67,68,69,,70,71,72,73,74,75,76,77,78,79,80,81,82,83,84,85,,178,179,180,181,182,183,184,185,186,187,188,189,190,191,,204,205,206,207,208,209,210,211,212,213,214,215,,192,193,194,195,196,197,198,199,200,201,202,203,,228,229,230,231,232,233,234,235,236,237'</t>
  </si>
  <si>
    <t>'56,57,58,59,60,61,62,63,64,65,66,67,,2,3,,68,69,70,71,72,73,74,75,76,77,78,79,80,81,82,83,84,85,86,87,88,89,90,91,92,93,,120,121,122,123,124,125,126,127,128,129,130,131,132,133,,148,149,150,151,152,153,154,155,156,157,158,159,,202,203,204,205,206,207,208,209,210,211,212,213'</t>
  </si>
  <si>
    <t>Plotinus and the Presocratics : A Philosophical Study of Presocratic Influences in Plotinus' Enneads</t>
  </si>
  <si>
    <t>186/.4</t>
  </si>
  <si>
    <t>B693.E63 -- S73 2007eb</t>
  </si>
  <si>
    <t>'72,73,74,75,76,77,78,79,80,81,82,83,84,85,86,87,88,89,90,91,92,93,94,95,96,97,98,99,100,101'</t>
  </si>
  <si>
    <t>'16,16,17,18,15,16,17,15,14,13,12,18'</t>
  </si>
  <si>
    <t>'16,17,18,19,20,21'</t>
  </si>
  <si>
    <t>The Tears of Re : Beekeeping in Ancient Egypt</t>
  </si>
  <si>
    <t>Agriculture</t>
  </si>
  <si>
    <t>638/.10962</t>
  </si>
  <si>
    <t>SF531.E3 K75 2015</t>
  </si>
  <si>
    <t>'1,6,7,8,9,10,11,12'</t>
  </si>
  <si>
    <t>'1,1,1,1,28,30,151,116,117,117,117,116,116,47,48,49'</t>
  </si>
  <si>
    <t>'1,12,11,13,15,14,16,17,18,19,21,116,118,150,152,28,27,29,200,199,201,178,170,171,172,174,24,25,26,30,31,32,33,35,36,37,38,39,40'</t>
  </si>
  <si>
    <t>'1,3,4,5,7,9,8,10,11,12,13,14,15,16,17,18,19,20,21,22,22,23,24,25,26,27,28,29,30,31,32,33,34,35,36,8,76,77,78,79'</t>
  </si>
  <si>
    <t>Magnesium, Magnesium Alloys, and Magnesium Composites</t>
  </si>
  <si>
    <t>TA480.M3 -- M325 2011eb</t>
  </si>
  <si>
    <t>'1,59,62,107,106,104,103,101'</t>
  </si>
  <si>
    <t>'101,101,101,101,101'</t>
  </si>
  <si>
    <t>System Identification : A Frequency Domain Approach</t>
  </si>
  <si>
    <t>Computer Science/IT; Mathematics</t>
  </si>
  <si>
    <t>003/.1</t>
  </si>
  <si>
    <t>QA402 -- .P56 2012eb</t>
  </si>
  <si>
    <t>'1,2,4,11'</t>
  </si>
  <si>
    <t>A Dictionary of Physics</t>
  </si>
  <si>
    <t>QC5 .D538 2019</t>
  </si>
  <si>
    <t>'1,29,184'</t>
  </si>
  <si>
    <t>'1,253,254,255,256,258,259,260,261,257'</t>
  </si>
  <si>
    <t>Titanium : Physical Metallurgy, Processing, and Applications</t>
  </si>
  <si>
    <t>A S M International</t>
  </si>
  <si>
    <t>Engineering: General; Engineering</t>
  </si>
  <si>
    <t>'1,125,125,127,129,130,131,132,133,134,135,136'</t>
  </si>
  <si>
    <t>The Magnetic Organization : Attracting and Retaining the Best Talent</t>
  </si>
  <si>
    <t>SAGE Publications India Pvt, Ltd.</t>
  </si>
  <si>
    <t>658.3/14</t>
  </si>
  <si>
    <t>HF5549.5.S38B496</t>
  </si>
  <si>
    <t>'1,62,63,64,66'</t>
  </si>
  <si>
    <t>Manager's Guide to HR : Hiring, Firing, Performance Evaluations, Documentation, Benefits, and Everything Else You Need to Know</t>
  </si>
  <si>
    <t>AMACOM</t>
  </si>
  <si>
    <t>HF5549 -- .M786 2009eb</t>
  </si>
  <si>
    <t>'1,8,10,12,14'</t>
  </si>
  <si>
    <t>'1,1,1,125'</t>
  </si>
  <si>
    <t>Hydrogen Energy : Challenges and Solutions for a Cleaner Future</t>
  </si>
  <si>
    <t>Engineering; Engineering: Mechanical</t>
  </si>
  <si>
    <t>TJ807-830</t>
  </si>
  <si>
    <t>'241,1,242,243,244,246,247,248,249,252,253,255,256,258,268,269'</t>
  </si>
  <si>
    <t>Ice-Houses : Energy, Architecture, and Sustainability</t>
  </si>
  <si>
    <t>NA2542.3 .D444 2021</t>
  </si>
  <si>
    <t>'1,168,170,171,172,174,175,1,168,181,180'</t>
  </si>
  <si>
    <t>The Wheel : Inventions and Reinventions</t>
  </si>
  <si>
    <t>Engineering: Mechanical; Engineering</t>
  </si>
  <si>
    <t>TJ181.5 -- .B855 2016eb</t>
  </si>
  <si>
    <t>'52,53,61,66,1,12,13,14,15,16,11,10,8,6,5,7,4,3,2,20,18,22,23,24,25,17,50,49,47,45,39,55,67,69,64'</t>
  </si>
  <si>
    <t>'52,53,53,5,53'</t>
  </si>
  <si>
    <t>Mozilla/5.0 (Macintosh; Intel Mac OS X 10_15_7) AppleWebKit/605.1.15 (KHTML, like Gecko) Version/14.1.1 Safari/605.1.15</t>
  </si>
  <si>
    <t>'1,1,33,33,47,34,35,36,37,38,39,40,41,40,40,39,39,39,38,37,36,35,34,33,35,37,38,39,40,41,42,43,42,42,42,42,42,43,44,45,46,47,48,49,50,51,52,53,54,55,56,57,58,58'</t>
  </si>
  <si>
    <t>Polymer Science and Nanotechnology : Fundamentals and Applications</t>
  </si>
  <si>
    <t>QD381 .P659 2020</t>
  </si>
  <si>
    <t>'1,1,219,231,230,227,227'</t>
  </si>
  <si>
    <t>Mozilla/5.0 (Macintosh; Intel Mac OS X 10_15_7) AppleWebKit/605.1.15 (KHTML, like Gecko) Version/15.1 Safari/605.1.15</t>
  </si>
  <si>
    <t>'1,8,12,146'</t>
  </si>
  <si>
    <t>'1,14,218,220,222,223,225,226,227,228,229,228,138'</t>
  </si>
  <si>
    <t>The Ten Commandments of Lean Six Sigma : A Guide for Practitioners</t>
  </si>
  <si>
    <t>Emerald Publishing Limited</t>
  </si>
  <si>
    <t>HD58.7-58.95</t>
  </si>
  <si>
    <t>'1,3,2,4,142,143,144,146,148,149,147'</t>
  </si>
  <si>
    <t>'144,149'</t>
  </si>
  <si>
    <t>'1,33,34,35,36,37,33,34,27,30,31,32'</t>
  </si>
  <si>
    <t>'52,53,54,55,56'</t>
  </si>
  <si>
    <t>Introduction to Polymer Rheology</t>
  </si>
  <si>
    <t>Engineering: Civil; Science: Chemistry; Science; Engineering</t>
  </si>
  <si>
    <t>541/.2254</t>
  </si>
  <si>
    <t>TA455.P58 -- S495 2012eb</t>
  </si>
  <si>
    <t>'5,75,76,77,78,7,79'</t>
  </si>
  <si>
    <t>'5,6,7,8,9,10,11,12,,5,6,7,8,9,10,11,12'</t>
  </si>
  <si>
    <t>Feedback Control of Computing Systems</t>
  </si>
  <si>
    <t>Engineering: General; Engineering: Mechanical; Engineering</t>
  </si>
  <si>
    <t>TJ216.F44 2004</t>
  </si>
  <si>
    <t>'1,3,8,10,9,11,12'</t>
  </si>
  <si>
    <t>Modern Communications Jamming Principles and Techniques : Principles and Techniques</t>
  </si>
  <si>
    <t>Artech House</t>
  </si>
  <si>
    <t>TK6580 -- .P65 2011eb</t>
  </si>
  <si>
    <t>'1,881,882,883,884'</t>
  </si>
  <si>
    <t>Cold War Delta Prototypes : The Fairey Deltas, Convair Century-Series, and Avro 707</t>
  </si>
  <si>
    <t>TL670 .B888 2020</t>
  </si>
  <si>
    <t>Mozilla/5.0 (Macintosh; Intel Mac OS X 10_15_7) AppleWebKit/537.36 (KHTML, like Gecko) Chrome/106.0.0.0 Safari/537.36</t>
  </si>
  <si>
    <t>An Introduction to Computational Fluid Mechanics by Example</t>
  </si>
  <si>
    <t>Engineering; Science: Physics; Engineering: Civil; Science</t>
  </si>
  <si>
    <t>TA357 -- .C475 2011eb</t>
  </si>
  <si>
    <t>'1,5,4,6,7,9,10,11,13,270,271,272,273,274,275,276,277,278,280,282'</t>
  </si>
  <si>
    <t>Mozilla/5.0 (Windows NT 10.0; Win64; x64) AppleWebKit/537.36 (KHTML, like Gecko) Chrome/107.0.0.0 Safari/537.36 Edg/107.0.1418.26</t>
  </si>
  <si>
    <t>Alternative Investments</t>
  </si>
  <si>
    <t>HG6024.A3 A484 2021</t>
  </si>
  <si>
    <t>'1,2,173,174,175,176'</t>
  </si>
  <si>
    <t>The Future of Intelligent Transport Systems</t>
  </si>
  <si>
    <t>Engineering: Civil; Engineering; Business/Management</t>
  </si>
  <si>
    <t>TE228.3$b.D565 2020</t>
  </si>
  <si>
    <t>'1,1,2,3,9,8,10,11,15,16,18,20,19,266,188,189'</t>
  </si>
  <si>
    <t>Intelligent Robots</t>
  </si>
  <si>
    <t>Engineering: Electrical; Computer Science/IT</t>
  </si>
  <si>
    <t>'1,1,2,2,2,2,1,4,6,7,8,9,9,6,7,8,11,13,14,16,17,18,19,20,22,9,10,24,25,26,28,128,122,84,48,45,30,1,3,4,5,7,11,12,13,14,15'</t>
  </si>
  <si>
    <t>Introduction to Aerospace Materials</t>
  </si>
  <si>
    <t>TL698.M687 2012eb</t>
  </si>
  <si>
    <t>'1,2,2,1,4,16,17,18,19,20,21,26,21,22,23,24,25,27,28,29,30,33,32,34,39,40,42,43,266,267,268,268,190,268,268,268,80,268,268,347,267,267,1'</t>
  </si>
  <si>
    <t>'266,267,268,269,270,271,272,273,274,275,276,277,278,279,280,281,282'</t>
  </si>
  <si>
    <t>'268'</t>
  </si>
  <si>
    <t>Artificial You : AI and the Future of Your Mind</t>
  </si>
  <si>
    <t>Q335 .S364 2019</t>
  </si>
  <si>
    <t>'1,1,3,8,7,9,10,11,12,13,14,15,16,17,18,19,20,21,22'</t>
  </si>
  <si>
    <t>The Future of Work : Robots, AI, and Automation</t>
  </si>
  <si>
    <t>Brookings Institution Press</t>
  </si>
  <si>
    <t>306.3/60112</t>
  </si>
  <si>
    <t>HD5706 .W478 2018</t>
  </si>
  <si>
    <t>AI and Human Thought and Emotion</t>
  </si>
  <si>
    <t>Auerbach Publishers, Incorporated</t>
  </si>
  <si>
    <t>Psychology; Science</t>
  </si>
  <si>
    <t>Q334.7 .F744 2020</t>
  </si>
  <si>
    <t>'1,1,3,5,6,7,9,11,14,15,16,17,19,20,22,24,24,26,27,28,29,30,32,33,34,35,37,38,39,40,40,41,42,249,250'</t>
  </si>
  <si>
    <t>The Impact of Artificial Intelligence on Governance, Economics and Finance, Volume I</t>
  </si>
  <si>
    <t>Business/Management; Economics</t>
  </si>
  <si>
    <t>HD45</t>
  </si>
  <si>
    <t>'1,4,5,6,9,8,10,11,319,318,320,321'</t>
  </si>
  <si>
    <t>'1,2,4,5,6,7,9'</t>
  </si>
  <si>
    <t>البدوي الأخير: القبائل البدوية في الصحراء العربية</t>
  </si>
  <si>
    <t>Dar al Saqi</t>
  </si>
  <si>
    <t>Geography/Travel</t>
  </si>
  <si>
    <t>'1,2,4,5,6,7,8'</t>
  </si>
  <si>
    <t>Artificial Intelligence : Fundamentals and Applications</t>
  </si>
  <si>
    <t>Q335 .A785 2021</t>
  </si>
  <si>
    <t>'1,1,3,4,6,7,9,9,9,10,11,14,15,16,17,18,20,21,22'</t>
  </si>
  <si>
    <t>'1,1,1,145,146,147,148,149,150,151,152,153,154,155,156,157,260,261,491,492,492,268,267,266,514,515,516,517,518,519,520,521,522,1,2,3,4,6,25,24,265,343,491,528,529,530,531,532,533,493,494,495,496,497,498,499,500,501,502,503,504,506,507,837,838,839,840,842,,881,491,491,25'</t>
  </si>
  <si>
    <t>'491,492,493,494,495,496,497,498,499,500,501,502,503,504,505,506,507,508,509,510,511,512,513,514,515,516,517,518,519,520,521,522,523,524,525,526,527,528,529,530,531,532,533,534,535,536,537,538,539,540,541,542,543,544,545,546,547,548,549,550,551,552,553,554,555,556'</t>
  </si>
  <si>
    <t>'4,30,31,6'</t>
  </si>
  <si>
    <t>Proton Radiotherapy Accelerators</t>
  </si>
  <si>
    <t>QC787.P7W54 2001</t>
  </si>
  <si>
    <t>'1,10,15,6,14,16,19,43,45,42,44'</t>
  </si>
  <si>
    <t>Aerospace Alloys</t>
  </si>
  <si>
    <t>Engineering: Civil; Engineering; Engineering: Chemical</t>
  </si>
  <si>
    <t>TA401-492</t>
  </si>
  <si>
    <t>'1,104,105,106,107,108,109,110,111,112,113,114,115,116,117'</t>
  </si>
  <si>
    <t>'1,59,60,62,63,64,64,63,63,64,63,64,62,64,64,64,64,64,65,64'</t>
  </si>
  <si>
    <t>'63,63'</t>
  </si>
  <si>
    <t>'1,2,3,4,5,36,35,37,38,38,66,39,40,41,42,60,61,59,58,57,55,53,52,54,20,19,18,12,13,14,15,36,35,37'</t>
  </si>
  <si>
    <t>Piezoelectric Materials : Applications in SHM, Energy Harvesting and Biomechanics</t>
  </si>
  <si>
    <t>Engineering: General; Engineering: Civil; Engineering</t>
  </si>
  <si>
    <t>TA404.P549 2017</t>
  </si>
  <si>
    <t>'1,2,11,12'</t>
  </si>
  <si>
    <t>The Engineering of Human Joint Replacements</t>
  </si>
  <si>
    <t>Engineering; Medicine; Engineering: Manufacturing</t>
  </si>
  <si>
    <t>RD686.M385 2013eb</t>
  </si>
  <si>
    <t>'1,75,75,21,28,60,61,62,126,128,143'</t>
  </si>
  <si>
    <t>'1,1,4,3,6,7,,,7,7,,1,24,23,20,19,18,17,12,11,3,2,6,7,8'</t>
  </si>
  <si>
    <t>The Alzheimer Conundrum : Entanglements of Dementia and Aging</t>
  </si>
  <si>
    <t>Social Science; Medicine; Psychology; Health</t>
  </si>
  <si>
    <t>RC523.L63 2013eb</t>
  </si>
  <si>
    <t>'39,40,41,42'</t>
  </si>
  <si>
    <t>'1,2,4,3,6,7,9,93,94,95,97,98,100,102,103,104,105,106,107,108,110,111,112,113,114,115,116,117,118,119,120,121,122,60,123,99,96,91'</t>
  </si>
  <si>
    <t>'1,12,13,14,15,16,17,18,19,20,21,22,24,26,83,84,85,86,87,112,113,114,54'</t>
  </si>
  <si>
    <t>Networking Humans, Robots, and Environments</t>
  </si>
  <si>
    <t>Bentham Science Publishers</t>
  </si>
  <si>
    <t>N74.T4 -- N48 2013eb</t>
  </si>
  <si>
    <t>'1,2,3,4,5'</t>
  </si>
  <si>
    <t>Brief History of Timekeeping : The Science of Marking Time, from Stonehenge to Atomic Clocks</t>
  </si>
  <si>
    <t>Oneworld Publications</t>
  </si>
  <si>
    <t>Engineering; Engineering: Manufacturing</t>
  </si>
  <si>
    <t>TS542 .O794 2022</t>
  </si>
  <si>
    <t>'17,18,19,20,21,22,23,24'</t>
  </si>
  <si>
    <t>'1,125,126,127,128,129,131,133,134'</t>
  </si>
  <si>
    <t>Drinking Water: Quality Control, Distribution Systems and Treatment</t>
  </si>
  <si>
    <t>Unlimited (DRM Free)</t>
  </si>
  <si>
    <t>'1,4,2'</t>
  </si>
  <si>
    <t>'39'</t>
  </si>
  <si>
    <t>Handbook of Vacuum Science and Technology</t>
  </si>
  <si>
    <t>621.5/5</t>
  </si>
  <si>
    <t>TJ940.H59 1998</t>
  </si>
  <si>
    <t>'840,841,842,843,844,845,846,847,848,849,850,851,852,853,854,855,856,857,858,859,860,861,,26,27,28,29,30,31,32,33,34,35,36,37,38,39,40,41,42,43,44,45,46,47,48,49,50,51,52,53,54,55,56,57,58,59,60,61,62,63,64,65,66,67,68,69,70,71,72,73,74,75,76,77,78,79,80,81'</t>
  </si>
  <si>
    <t>Advanced Analytics and AI : Impact, Implementation, and the Future of Work</t>
  </si>
  <si>
    <t>658.0072/7</t>
  </si>
  <si>
    <t>HD30.215 .B663 2018</t>
  </si>
  <si>
    <t>'1,1,2,7,8,9,57,58,60,59,61,62,63,64,65,66,68'</t>
  </si>
  <si>
    <t>'1,2,3,6,4,8,10,12,15,14,16,21,154,155,156,157,158,160,134,135,111,112,113,110,114,,1,154,153,155,156,157,158'</t>
  </si>
  <si>
    <t>'1,59,60,61,62,63,64,64,64,62,61,60'</t>
  </si>
  <si>
    <t>'1,87,89,88,90,91,92,93,94,97,96,98,99,99,100,101,102,98,97,96,94,94,93,92,91,89,88,90,96,98,99,100,101,100,101,102,,1,87,88,89,90,92,94,95,97,98,100,101'</t>
  </si>
  <si>
    <t>Assessing Psychological Trauma and PTSD</t>
  </si>
  <si>
    <t>Guilford Publications</t>
  </si>
  <si>
    <t>616.85/21</t>
  </si>
  <si>
    <t>RC552.P67A85</t>
  </si>
  <si>
    <t>The Complex PTSD Treatment Manual : An Integrative, Mind-Body Approach to Trauma Recovery</t>
  </si>
  <si>
    <t>PESI</t>
  </si>
  <si>
    <t>RC552.P67</t>
  </si>
  <si>
    <t>'1,162,163'</t>
  </si>
  <si>
    <t>Where Are We Heading? : The Evolution of Humans and Things</t>
  </si>
  <si>
    <t>Science: Biology/Natural History; Science; Social Science</t>
  </si>
  <si>
    <t>GN406 .H633 2018</t>
  </si>
  <si>
    <t>'8,1,10,9'</t>
  </si>
  <si>
    <t>'52,53,56'</t>
  </si>
  <si>
    <t>Fast Facts: Bipolar Disorder : Bipolar Disorder</t>
  </si>
  <si>
    <t>HEALTH PRESS LIMITED</t>
  </si>
  <si>
    <t>RC516 -- .G66 2010eb</t>
  </si>
  <si>
    <t>'1,84,83,85,86,88,89'</t>
  </si>
  <si>
    <t>Geothermal Power Plants : Principles, Applications, Case Studies and Environmental Impact</t>
  </si>
  <si>
    <t>Engineering; Engineering: General; Engineering: Electrical</t>
  </si>
  <si>
    <t>TK1055.D57 2015</t>
  </si>
  <si>
    <t>Bipolar Disorder</t>
  </si>
  <si>
    <t>RC516 -- .S773 2014eb</t>
  </si>
  <si>
    <t>'14,98,99,100,101,104,107,106'</t>
  </si>
  <si>
    <t>'99,106,106'</t>
  </si>
  <si>
    <t>Cardiothoracic Critical Care</t>
  </si>
  <si>
    <t>RC684.C36 .C373 2020</t>
  </si>
  <si>
    <t>'1,1,130,129,8,7,6,9'</t>
  </si>
  <si>
    <t>Blind Bombing : How Microwave Radar Brought the Allies to D-Day and Victory in World War II</t>
  </si>
  <si>
    <t>Potomac Books, Incorporated</t>
  </si>
  <si>
    <t>D810.R33 .F564 2019</t>
  </si>
  <si>
    <t>'14,60,68'</t>
  </si>
  <si>
    <t>'1,65,68,70,71,72,73,74,75,76,77,78,79,80,82,83,84,85,86,88,89,90,93,92'</t>
  </si>
  <si>
    <t>Mozilla/5.0 (Macintosh; Intel Mac OS X 10_15_6) AppleWebKit/605.1.15 (KHTML, like Gecko) Version/15.4 Safari/605.1.15</t>
  </si>
  <si>
    <t>'1,312,313,314,315,316,317,318,319'</t>
  </si>
  <si>
    <t>'1,2,,1,2,3'</t>
  </si>
  <si>
    <t>'1,1,1,125,127,128,129,130,128'</t>
  </si>
  <si>
    <t>'1,273,275,277,269,17,270,268,267,59,61,64,227,226,225,224,223,222,221,220,219,219,218,59,60'</t>
  </si>
  <si>
    <t>'219'</t>
  </si>
  <si>
    <t>'1,125,126,127,128,129,130,131,132'</t>
  </si>
  <si>
    <t>Advances in Intelligent Systems and Interactive Applications : Proceedings of the 4th International Conference on Intelligent, Interactive Systems and Applications (IISA2019)</t>
  </si>
  <si>
    <t>Mozilla/5.0 (Macintosh; Intel Mac OS X 10_12_6) AppleWebKit/537.36 (KHTML, like Gecko) Chrome/103.0.5060.114 Safari/537.36</t>
  </si>
  <si>
    <t>Applied Mechanics of Polymers : Properties, Processing, and Behavior</t>
  </si>
  <si>
    <t>Science: Chemistry; Science; Engineering; Engineering: Chemical</t>
  </si>
  <si>
    <t>QD381 .Y687 2022</t>
  </si>
  <si>
    <t>'234,235,236,237,238,239,240,241,239,24,57,234,238,297,241,242,243,244,245,246,247,249,248,250,251,252'</t>
  </si>
  <si>
    <t>'1,26,27,28,29,30,31,32,33,34,35,36,37,66,488,489'</t>
  </si>
  <si>
    <t>'1,2,4,5,6,7,8,10,11,,84,65,66,67,63'</t>
  </si>
  <si>
    <t>'7'</t>
  </si>
  <si>
    <t>'1,312,314,316,317,318,319'</t>
  </si>
  <si>
    <t>'14,15,16,17,18,19,11,10,,14,15,16,19,20,21,22,23,24,25,46,47,48,48,48,49,50,52,54,56,57,53,59,,14'</t>
  </si>
  <si>
    <t>'19,19'</t>
  </si>
  <si>
    <t>'1,14,216,217,218,220,222,221,223,225,226,227,228,229,230,231,232,233,234,235'</t>
  </si>
  <si>
    <t>Alexa Is Stealing Your Job : The Impact of Artificial Intelligence on Your Future</t>
  </si>
  <si>
    <t>Morgan James Publishing</t>
  </si>
  <si>
    <t>Q334.7 .S337 2020</t>
  </si>
  <si>
    <t>'1,3,4,6,8,10,12,14,16,18,20,22,24,26,27,29,31,33,35,37,40,41,21,28,13'</t>
  </si>
  <si>
    <t>Adult Knee</t>
  </si>
  <si>
    <t>Lippincott Williams &amp; Wilkins</t>
  </si>
  <si>
    <t>617.5/82059</t>
  </si>
  <si>
    <t>RD561 -- .A35 2003eb</t>
  </si>
  <si>
    <t>'1,2,3,984,983,985'</t>
  </si>
  <si>
    <t>'14'</t>
  </si>
  <si>
    <t>'1,2,4,6,5,8'</t>
  </si>
  <si>
    <t>Major Depressive Disorder</t>
  </si>
  <si>
    <t>RC537 .S384 2015</t>
  </si>
  <si>
    <t>'10'</t>
  </si>
  <si>
    <t>Machine Learning with R</t>
  </si>
  <si>
    <t>Q325.5.L36 2013eb</t>
  </si>
  <si>
    <t>'1,2,3,4,5,6,9,236,237,239,240,241,242,244,245,246,247,248,249,250,251,252,253,254,255,256,257'</t>
  </si>
  <si>
    <t>Candles in the Dark : A New Spirit for a Plural World</t>
  </si>
  <si>
    <t>University of Washington Press</t>
  </si>
  <si>
    <t>Social Science; Political Science</t>
  </si>
  <si>
    <t>HM665 -- .C35 2002eb</t>
  </si>
  <si>
    <t>'1,2,7,8,9,10'</t>
  </si>
  <si>
    <t>Chemical History of a Candle</t>
  </si>
  <si>
    <t>ElecBook</t>
  </si>
  <si>
    <t>Science; Science: Chemistry</t>
  </si>
  <si>
    <t>QD39.F2 2001</t>
  </si>
  <si>
    <t>'1,2,4,3,5,6,7,8'</t>
  </si>
  <si>
    <t>'1,3,4,,1'</t>
  </si>
  <si>
    <t>'1,30,26'</t>
  </si>
  <si>
    <t>Traditions of Death and Burial</t>
  </si>
  <si>
    <t>Social Science</t>
  </si>
  <si>
    <t>GT3150 .F575 2019</t>
  </si>
  <si>
    <t>Introduction to Machine Learning</t>
  </si>
  <si>
    <t>006.3/1</t>
  </si>
  <si>
    <t>Q325.5 -- .A473 2014eb</t>
  </si>
  <si>
    <t>'1,2,59,60,61,62,63,64,65,66,67,68,69,70,71,72,73,74,75,76,77,78,79,80,81,82,83,84,85,21,22,23,24,25,26,27,28'</t>
  </si>
  <si>
    <t>'27,28'</t>
  </si>
  <si>
    <t>The Mirror of the Medieval : An Anthropology of the Western Historical Imagination</t>
  </si>
  <si>
    <t>D116 .F39 2017</t>
  </si>
  <si>
    <t>'1,2,3,3,3,4,6,6,19,20,21,22'</t>
  </si>
  <si>
    <t>'1,2,3,5,6'</t>
  </si>
  <si>
    <t>'1,2,4,7,8,9'</t>
  </si>
  <si>
    <t>Thermophysical Properties of Individual Hydrocarbons of Petroleum and Natural Gases : Properties, Methods, and Low-Carbon Technologies</t>
  </si>
  <si>
    <t>Business/Management; Science; Science: Chemistry</t>
  </si>
  <si>
    <t>HB171.5 .G754 2022</t>
  </si>
  <si>
    <t>'1,918,919,920,921,923,929,960,959,986,990,1014'</t>
  </si>
  <si>
    <t>Cryogenic Helium Refrigeration for Middle and Large Powers</t>
  </si>
  <si>
    <t>Engineering; Science; Science: Physics; Engineering: General</t>
  </si>
  <si>
    <t>QC277.9-278.6</t>
  </si>
  <si>
    <t>'1,14,15,16,17,23,18,19,20,21,22,24'</t>
  </si>
  <si>
    <t>'1,13,15,16,17,18,19,20,21,22,23,24,25,26'</t>
  </si>
  <si>
    <t>Power Play : The Literature and Politics of Chess in the Late Middle Ages</t>
  </si>
  <si>
    <t>University of Pennsylvania Press</t>
  </si>
  <si>
    <t>Literature</t>
  </si>
  <si>
    <t>809/.933579</t>
  </si>
  <si>
    <t>'1,2,4,5,7,9,10,12,11'</t>
  </si>
  <si>
    <t>Petroleum Reservoir Management : Considerations and Practices</t>
  </si>
  <si>
    <t>Business/Management; Environmental Studies; Economics</t>
  </si>
  <si>
    <t>HD9560.5 .P384 2022</t>
  </si>
  <si>
    <t>'66,67,68,69,69,96,95,97,122,121,184,183,185,186,262,261,263,278'</t>
  </si>
  <si>
    <t>Surface Modified Biochemical Titanium Alloys</t>
  </si>
  <si>
    <t>610.28/4</t>
  </si>
  <si>
    <t>R857.T57 -- V33 2010eb</t>
  </si>
  <si>
    <t>'1,8,9,10,11,12,13,14,15,16,17,18,19,20,21,22,23,24,25,26,27,28,29,30,32,33,34,35,36,37,38,39,40,41,43,372,373,44,72,73,74,75,76,77,78,79,80,81,82,83,84,6,7,616,617,618,619,620,621,622,623,624,625,626,627,626,626'</t>
  </si>
  <si>
    <t>An Introduction to Machine Learning</t>
  </si>
  <si>
    <t>TK7867-7867.5</t>
  </si>
  <si>
    <t>'1,8,9,10,11,12,13,14,15,16,24,23,25,26'</t>
  </si>
  <si>
    <t>Titanium Alloys: Preparation, Properties and Applications : Preparation, Properties and Applications</t>
  </si>
  <si>
    <t>Engineering: General; Engineering; Engineering: Mining</t>
  </si>
  <si>
    <t>620.1/89322</t>
  </si>
  <si>
    <t>TN693.T5 -- T495 2010eb</t>
  </si>
  <si>
    <t>'1,,1,9'</t>
  </si>
  <si>
    <t>'1,125,126,127,128,129,130,131,132,133,134,135,136,137,138,139,1,2,125,126,127,128,129,130,131,132,133,134,135,136,137,138,139,140,141,142,143,144,145,145,144,146,143,142,141,140,139,138,137,135,125,126,125,114,125,125,126,127,128,129,130,131,132,133,134,135,136,137,138,139,140,141,142,143,143,142,141,140,139,138,137,136,135,134,133,133'</t>
  </si>
  <si>
    <t>The Design of Aircraft Landing Gear</t>
  </si>
  <si>
    <t>SAE International</t>
  </si>
  <si>
    <t>'1,808,809,810,811,812,813,814,815,816,817,818,819,820,821,822,823,824,825,826,827,828,829,830,831,832,833,834,835,836,837,838,839,840,842,843,844,846,845,847,848,849,850,851,852,853,854,856,858,859,857,,861'</t>
  </si>
  <si>
    <t>GPS Satellite Surveying</t>
  </si>
  <si>
    <t>Engineering: Civil; Science: Astronomy; Science; Engineering</t>
  </si>
  <si>
    <t>526.9/82</t>
  </si>
  <si>
    <t>TA595.5 -- .L45 2015eb</t>
  </si>
  <si>
    <t>'235,236,237,238,240,241,254,253'</t>
  </si>
  <si>
    <t>Nitride Semiconductor Devices : Fundamentals and Applications</t>
  </si>
  <si>
    <t>TK7871.85.M67 2013</t>
  </si>
  <si>
    <t>'1,12'</t>
  </si>
  <si>
    <t>A Cultural History of Chess-Players : Minds, Machines, and Monsters</t>
  </si>
  <si>
    <t>Manchester University Press</t>
  </si>
  <si>
    <t>Sport &amp;amp; Recreation</t>
  </si>
  <si>
    <t>GV1457.5 .S537 2017</t>
  </si>
  <si>
    <t>'1,218,217,219,220,222,223,224,225,226,227,228,229,233,234,235,236'</t>
  </si>
  <si>
    <t>Polymeric Gels : Characterization, Properties and Biomedical Applications</t>
  </si>
  <si>
    <t>QD549.2.P64 .P659 2018</t>
  </si>
  <si>
    <t>'1,1,44,45'</t>
  </si>
  <si>
    <t>Smart Polymers and Their Applications</t>
  </si>
  <si>
    <t>TA455.P58 -- .S63 2014eb</t>
  </si>
  <si>
    <t>'1,1,48,61,62,63,19,20'</t>
  </si>
  <si>
    <t>Chitosan-Based Hydrogels : Functions and Applications</t>
  </si>
  <si>
    <t>Engineering: Chemical; Engineering</t>
  </si>
  <si>
    <t>TP248.65.C55 -- C45 2012eb</t>
  </si>
  <si>
    <t>'1,1,2,4,6'</t>
  </si>
  <si>
    <t>Kafka : A Very Short Introduction</t>
  </si>
  <si>
    <t>833/.912</t>
  </si>
  <si>
    <t>PT2621.A26 -- Z856 2004eb</t>
  </si>
  <si>
    <t>'1,14,13,15,16,17'</t>
  </si>
  <si>
    <t>Progress in the Science of Functional Dyes</t>
  </si>
  <si>
    <t>Engineering; Science: Chemistry; Engineering: Chemical; Science</t>
  </si>
  <si>
    <t>QD241-441</t>
  </si>
  <si>
    <t>'1,2,3,4,5,6,7,10'</t>
  </si>
  <si>
    <t>'1,125,126,127,128,129,130,131,132,133,134,135,136,137,138,139,140,141,142,143,144,145'</t>
  </si>
  <si>
    <t>Spacecraft Attitude Control : A Linear Matrix Inequality Approach</t>
  </si>
  <si>
    <t>TL3260 .L58 2022</t>
  </si>
  <si>
    <t>'1,3,5,6,8,10,11,12,14,15,16,17,17,4,16,16,11,16,4,54,80,82'</t>
  </si>
  <si>
    <t>'1,1,1,21,21,397,16,17,17,216,218,,1,1,216,217,218,219,,1,14,226,227,229,228,231,232,234,235,236,237,253,,1,14,216,217,218,219,221,222,223,225,226,227,228'</t>
  </si>
  <si>
    <t>Solar Energy Engineering : Processes and Systems</t>
  </si>
  <si>
    <t>TJ810.K35 2014eb</t>
  </si>
  <si>
    <t>'1,244,246,247,248,249,250,251,252,253,254,255,256,257,258,259,260,261,262,263,264,265,266,267,268'</t>
  </si>
  <si>
    <t>'10,13,14,12'</t>
  </si>
  <si>
    <t>Blue Coat or Powdered Wig : Free People of Color in Pre-Revolutionary Saint Domingue</t>
  </si>
  <si>
    <t>University of Georgia Press</t>
  </si>
  <si>
    <t>972.94/00496</t>
  </si>
  <si>
    <t>F1923 -- .K56 2001eb</t>
  </si>
  <si>
    <t>'6,28,10,11,12,13'</t>
  </si>
  <si>
    <t>'1,3,4,5,7,8,11,17,16,18,19,20,21,22,15,9,10,12,13,14,1,,,25'</t>
  </si>
  <si>
    <t>High Performance Materials in Aerospace</t>
  </si>
  <si>
    <t>Springer Netherlands</t>
  </si>
  <si>
    <t>TL1-483</t>
  </si>
  <si>
    <t>'1,126,125,151,150,149,152,154,155,156,157,159,161,162,163,164,165,166,167,168,169,170,171,172,173,174,175,176,177,178,179,180,181,182,183,184,185,186,187,188,189,190,191,192,193,144,2,4,5,6,7,8,9'</t>
  </si>
  <si>
    <t>'10,11,12,13,14,7,6,,10,10,11,12,12,8,10,11'</t>
  </si>
  <si>
    <t>'1,2,3,4,5,6,7'</t>
  </si>
  <si>
    <t>'1,4,51,52,54,56,57,58,59,60,61,62,63,64,69,76,77,78,79,101,99,98,97,96,95,100,102,103,104,105,106,107,108,109,110,111,112,113,114,115,116,117,118,119,120,121,122,123,124,125,126,127,128,129,131,132,133,134,135,137,138,139,140,142,143,144,145,146,147,148,149,150,151,152,153,154,155,156'</t>
  </si>
  <si>
    <t>'14,2,3,4,8,6,9,11,10,12,13'</t>
  </si>
  <si>
    <t>'1,87,87,88,89,90,91,92,93,96,97,99,100,101,102,103,104,105,106,106,106,105,104,103,101,100,100,101,102'</t>
  </si>
  <si>
    <t>'1,3,4,6,6,16,15,17,18,20,23,23,23,23,23,23,25,25,26,27,28,31,32,34,35,37,37,17,21,22'</t>
  </si>
  <si>
    <t>'1,1,2,87,87,88,89,89,90,92,93,95,97,98,99,100,101,102,103,104,105,106'</t>
  </si>
  <si>
    <t>'1,26,27,28,51,76,74,73,72,71,69,68,66,65,63,58,59,60,61,62'</t>
  </si>
  <si>
    <t>'60,60'</t>
  </si>
  <si>
    <t>'24,,24,25,26,27,28,29,30'</t>
  </si>
  <si>
    <t>Dams for Hydroelectric Energy Barrages Pour l'Énergie Hydroélectrique</t>
  </si>
  <si>
    <t>TK1081 .D36 2021</t>
  </si>
  <si>
    <t>'1,2,5'</t>
  </si>
  <si>
    <t>Mozilla/5.0 (iPhone; CPU iPhone OS 16_1_1 like Mac OS X) AppleWebKit/605.1.15 (KHTML, like Gecko) Version/16.1 Mobile/15E148 Safari/604.1</t>
  </si>
  <si>
    <t>'24,26,28,29'</t>
  </si>
  <si>
    <t>Circular Economy for Dummies</t>
  </si>
  <si>
    <t>HC79.E5 .R583 2021</t>
  </si>
  <si>
    <t>'1,2,27,28,29,30,31,32,33,34,35,36,37,38'</t>
  </si>
  <si>
    <t>Mozilla/5.0 (Windows NT 10.0; Win64; x64) AppleWebKit/537.36 (KHTML, like Gecko) Chrome/107.0.0.0 Safari/537.36 Edg/107.0.1418.52</t>
  </si>
  <si>
    <t>'1,2,102,103,104,105,106,107,108,109,110,111,112,113,114,116,117,118,119,120,121,123,125,126,127,128,129,124,,102,103,104,104,104,105,106'</t>
  </si>
  <si>
    <t>'1,8,9,10,11,12,14,13,16,17,18,19,16,16,16,16,13'</t>
  </si>
  <si>
    <t>'1,62,64,65,66,67'</t>
  </si>
  <si>
    <t>'1,1,196,115,196,197,198,199,201,202,203,78,80,81,82,83,84,85,86,87,88,89,79,204'</t>
  </si>
  <si>
    <t>Physical Principles of Electron Microscopy : An Introduction to TEM, SEM, and AEM</t>
  </si>
  <si>
    <t>Springer</t>
  </si>
  <si>
    <t>Engineering; Engineering: Civil; Science: General</t>
  </si>
  <si>
    <t>TA418.5-.84</t>
  </si>
  <si>
    <t>3-user</t>
  </si>
  <si>
    <t>'132,133,134,135,136,,132,133,134,135,136,137,138,139,141,142,143,144,145,146,147,149'</t>
  </si>
  <si>
    <t>Introduction to Modern Liquid Chromatography</t>
  </si>
  <si>
    <t>QD79.C454 -- S58 2010eb</t>
  </si>
  <si>
    <t>'3,4,5,7,8,13,12,11,14,15'</t>
  </si>
  <si>
    <t>Essentials in Modern HPLC Separations</t>
  </si>
  <si>
    <t>660/.2842</t>
  </si>
  <si>
    <t>TP156.S45 -- M65 2012eb</t>
  </si>
  <si>
    <t>'482,483'</t>
  </si>
  <si>
    <t>Nanomaterial Characterization : An Introduction</t>
  </si>
  <si>
    <t>620.1/15</t>
  </si>
  <si>
    <t>TA418.9.N35 -- N25345 2016eb</t>
  </si>
  <si>
    <t>'178,180,181,182,183,184,185,186,187,188,189,179,176,174,173,175,,82,84,85,86,87,88,89,90,91,92,93,94,96,95,97,99,83,81,78,,178,179,180,181,182,183,184,185,,208,209,210,211,212,213,214,215,216,217,218,219,220,221,222,223,225,226,227,228'</t>
  </si>
  <si>
    <t>'1,62,63,64,66,67,68'</t>
  </si>
  <si>
    <t>'67'</t>
  </si>
  <si>
    <t>'1,3,5,8,9,10,11,12,13,14,15,16,17,18,19,20,21,22,23,24,25,26'</t>
  </si>
  <si>
    <t>Gender and Culture at the Limit of Rights</t>
  </si>
  <si>
    <t>Political Science; Social Science</t>
  </si>
  <si>
    <t>323.3/4091724</t>
  </si>
  <si>
    <t>HQ1236</t>
  </si>
  <si>
    <t>'1,2,3,5,6,7,4,24,25'</t>
  </si>
  <si>
    <t>Mozilla/5.0 (Windows NT 10.0; Win64; x64) AppleWebKit/537.36 (KHTML, like Gecko) Chrome/106.0.0.0 Safari/537.36 OPR/92.0.0.0</t>
  </si>
  <si>
    <t>'1,2,78,79,149,150,151,143'</t>
  </si>
  <si>
    <t>'149'</t>
  </si>
  <si>
    <t>Handbook of Forgiveness</t>
  </si>
  <si>
    <t>155.9/2</t>
  </si>
  <si>
    <t>BF637.F67 .H363 2020</t>
  </si>
  <si>
    <t>'1,24,23,108,107,109,110,110,110,111,110,152,151,152,153,154'</t>
  </si>
  <si>
    <t>Muslim women in the United Kingdom and beyond : Experiences and Images</t>
  </si>
  <si>
    <t>305.48/697104</t>
  </si>
  <si>
    <t>HQ1593 -- .M88 2003eb</t>
  </si>
  <si>
    <t>'1,2,3,4,28,29,30,31,32,33,34,35,63,27,22,23,24'</t>
  </si>
  <si>
    <t>Do Muslim Women Need Saving?</t>
  </si>
  <si>
    <t>Harvard University Press</t>
  </si>
  <si>
    <t>305.48/697</t>
  </si>
  <si>
    <t>HQ1170</t>
  </si>
  <si>
    <t>'1,2,3,4,38,12,13,14,39,40,154,155,156,157,158,159,160,161,162,163,164,165,166,167,168,41,42,43,65,66,67,68,69,70,71'</t>
  </si>
  <si>
    <t>Race, Racism and Social Work : Contemporary issues and debates</t>
  </si>
  <si>
    <t>Policy Press</t>
  </si>
  <si>
    <t>HV41.R33 2014eb</t>
  </si>
  <si>
    <t>'1,1,87,101,102,103,104,105,106,100,99'</t>
  </si>
  <si>
    <t>'1,87,93,94,96,97,98,99,100'</t>
  </si>
  <si>
    <t>'1,4,4,5,8,17,18,18,17,16,15,14,4,3,1,1,1,1,1'</t>
  </si>
  <si>
    <t>'1,1,87,89,90,91,92,93,94,95,96,106,105,104,103,102,101,100,99,98,97'</t>
  </si>
  <si>
    <t>Digital Watermarking and Steganography</t>
  </si>
  <si>
    <t>QA76.9.A25C68 2008</t>
  </si>
  <si>
    <t>'1,166,167,168,169,170,172,173,174,175,177,176,178,180,90,,1,166'</t>
  </si>
  <si>
    <t>Mozilla/5.0 (Macintosh; Intel Mac OS X 10_15_7) AppleWebKit/605.1.15 (KHTML, like Gecko) Version/14.1 Safari/605.1.15</t>
  </si>
  <si>
    <t>Hydrogenation : Catalysts and Processes</t>
  </si>
  <si>
    <t>QD281.H8 .H937 2018</t>
  </si>
  <si>
    <t>Essentials of Pharmaceutical Analysis</t>
  </si>
  <si>
    <t>Medicine; Pharmacy</t>
  </si>
  <si>
    <t>'187,188'</t>
  </si>
  <si>
    <t>'17,18'</t>
  </si>
  <si>
    <t>Practical Aspects of Modern High Performance Liquid Chromatography : Proceedings, December 7-8, 1981, Berlin (West)</t>
  </si>
  <si>
    <t>De Gruyter, Inc.</t>
  </si>
  <si>
    <t>Science: Biology/Natural History; Science: Chemistry; Science</t>
  </si>
  <si>
    <t>QD79.C454 -- P68 1983eb</t>
  </si>
  <si>
    <t>Advances in Structural Engineering--Optimization : Emerging Trends in Structural Optimization</t>
  </si>
  <si>
    <t>Engineering; Engineering: Civil; Science</t>
  </si>
  <si>
    <t>Considering Trilingual Education</t>
  </si>
  <si>
    <t>Education; Language/Linguistics</t>
  </si>
  <si>
    <t>372.65/1</t>
  </si>
  <si>
    <t>P115 -- .H46 2012eb</t>
  </si>
  <si>
    <t>'165,166,24,25,26,27,28,29,30,31,32,33,34,35,36,37,38,39,40,41,42,43,44,45,46,47,48,49,50,51,52,53,54,55,56,57,58,167,168,169,170,171,172'</t>
  </si>
  <si>
    <t>'1,2,3,4,5,,24,25,26,27,28,29,30,31,32,33,34,35,36,37,38,39,40,,219,220,221,222,223,224,225,226,227,228,229,230,231,232,233,234,235,236'</t>
  </si>
  <si>
    <t>Mozilla/5.0 (Windows NT 6.1; Win64; x64) AppleWebKit/537.36 (KHTML, like Gecko) Chrome/107.0.0.0 Safari/537.36</t>
  </si>
  <si>
    <t>'1,3,4,5,6,7,8,9,10,11,12,13'</t>
  </si>
  <si>
    <t>Physics of Nuclear Reactors</t>
  </si>
  <si>
    <t>Engineering; Engineering: Electrical; Engineering: General</t>
  </si>
  <si>
    <t>TK9202 .P497 2021</t>
  </si>
  <si>
    <t>'1,214,215,216,217,220,221,222,223,224,225'</t>
  </si>
  <si>
    <t>Sustainable Irrigation and Drainage IV : Management, Technologies and Policies</t>
  </si>
  <si>
    <t>WIT Press</t>
  </si>
  <si>
    <t>Environmental Studies; Agriculture; Business/Management; Economics</t>
  </si>
  <si>
    <t>HD1711.S878 2013</t>
  </si>
  <si>
    <t>'1,158,161,162,163,164,165,166,167,264,265,268,269,270'</t>
  </si>
  <si>
    <t>'242,243,244,245,246,247,248,249,250,251,253,254,255,256,257,258,259,260,261,262,263,265,266,267,268,269,270,271,272,273,274,275,276,277,278,279,280,282,283'</t>
  </si>
  <si>
    <t>Closed Circuit Trickle Irrigation Design : Theory and Applications</t>
  </si>
  <si>
    <t>Apple Academic Press, Incorporated</t>
  </si>
  <si>
    <t>631.5/87</t>
  </si>
  <si>
    <t>S619.T74 C56 2015</t>
  </si>
  <si>
    <t>'1,56,66,60,58,57,64,298,301,297,295,293,293,293,293,293,291,288'</t>
  </si>
  <si>
    <t>'1,62,63,64,64'</t>
  </si>
  <si>
    <t>'62,63,64,65,66,67,68,69,70,71,72,73,74,75,76,77,78,79,80,81,82,83,84,85,86,87,88,89,90,91,92,93,94,95,96,97,98,99,100,101,102,103,104,105,106,107,108,109,110,111,112,113,114,115,116,117,118'</t>
  </si>
  <si>
    <t>'242'</t>
  </si>
  <si>
    <t>Photonics and Electronics with Germanium</t>
  </si>
  <si>
    <t>Engineering; Engineering: General; Engineering: Civil</t>
  </si>
  <si>
    <t>TA1520 .W384 2015</t>
  </si>
  <si>
    <t>'1,7'</t>
  </si>
  <si>
    <t>'1,87'</t>
  </si>
  <si>
    <t>'1,3,5,6,7,10,13,16,18,20,21,23,24,25,26,29,14,15,156,157,158,159,160,161,160,161,162,,1,2,156,157,159,161,160,160,161,161,161,161,161,161,161,161,161,161,162,163,164,165,167,169,170,160'</t>
  </si>
  <si>
    <t>'1,2,3,4,5,6,7,8,9,10,11,12,13,,,13,12,14'</t>
  </si>
  <si>
    <t>Hybrid Renewable Energy Systems and Microgrids</t>
  </si>
  <si>
    <t>TJ808 .H937 2021</t>
  </si>
  <si>
    <t>'1,,1,330,342,343,344'</t>
  </si>
  <si>
    <t>Combination Drug Delivery Approach As an Effective Therapy for Various Diseases</t>
  </si>
  <si>
    <t>RS199.5 .C663 2022</t>
  </si>
  <si>
    <t>'1,8,10,9,7,11,12,13,48,47,49,50,51,45,44,43,42,34,3,4,5,6,46'</t>
  </si>
  <si>
    <t>'1,87,88,89,90,91,92,93,95,96,97,98,99'</t>
  </si>
  <si>
    <t>Handbook of Nanomaterials for Wastewater Treatment : Fundamentals and Scale up Issues</t>
  </si>
  <si>
    <t>'36,1,1,4,5,6,7,9,10,11,12,439,452,453,454,455,456,457,458,459,460,461,462,463,464'</t>
  </si>
  <si>
    <t>Strictly Stress : Effective Stress Management: a Series of 12 Sessions for High School Students</t>
  </si>
  <si>
    <t>Psychology; Social Science; Health</t>
  </si>
  <si>
    <t>RA785 -- .R34 2001eb</t>
  </si>
  <si>
    <t>'1,3,4,6,7,7,7'</t>
  </si>
  <si>
    <t>National Security in the New World Order : Government and the Technology of Information</t>
  </si>
  <si>
    <t>JF1525.A8 M668 2022</t>
  </si>
  <si>
    <t>Change, Choices, Consequences : A Guide to Mega Thinking and Planning</t>
  </si>
  <si>
    <t>HRD Press</t>
  </si>
  <si>
    <t>658.4/012</t>
  </si>
  <si>
    <t>HD58.9 -- .K378 2006eb</t>
  </si>
  <si>
    <t>Successful Strategic Planning : A Guide for Nonprofit Agencies and Organizations</t>
  </si>
  <si>
    <t>Sage Publications, Incorporated</t>
  </si>
  <si>
    <t>'1,1,1'</t>
  </si>
  <si>
    <t>'1,,1,1,1,65,66,76,87,87'</t>
  </si>
  <si>
    <t>Process Heat Transfer : Principles, Applications and Rules of Thumb</t>
  </si>
  <si>
    <t>Engineering; Science: Physics; Engineering: General; Science</t>
  </si>
  <si>
    <t>QC320 -- .S48 2014eb</t>
  </si>
  <si>
    <t>'1,2,3,6,69,70,72'</t>
  </si>
  <si>
    <t>Closed Circuit Television</t>
  </si>
  <si>
    <t>621.389/28</t>
  </si>
  <si>
    <t>TK6680.C54 2007</t>
  </si>
  <si>
    <t>'1,63,64,58,65,66,67,68,69,70,71,72,73,74,75,76,77,78,79,80,81,82,83,84,85,86,87,67,67,68,69,70,71,72,73,74,75,76,77,78,79,80,81,82,83,84,85,86,87,88,89,90,91,92,93,94,95,97,98,99,,1,63,62,13,43,44,87,85,83'</t>
  </si>
  <si>
    <t>'63,64,65,66,67,68,69,70,71,72,73,74,75,76,77,78,79,80,81,82,83,84,85,86'</t>
  </si>
  <si>
    <t>'1,63,63,71'</t>
  </si>
  <si>
    <t>'1,4,14,15,17,16,18'</t>
  </si>
  <si>
    <t>'1,280,279,257,258,259,260,261,286,287,331,332,333,334,335,336'</t>
  </si>
  <si>
    <t>'1,2,3,5,4,7,13,43,44,45,63,64,65,66,67,68,69,70,71,72,73,74,75,76,77,78,79,80,1,,2,3,63,64,65,67,68,69,71,72,73,74,75,77,76,78,79,80,81,82,83'</t>
  </si>
  <si>
    <t>Pollutants and Water Management : Resources, Strategies and Scarcity</t>
  </si>
  <si>
    <t>Engineering; Engineering: Environmental; Environmental Studies</t>
  </si>
  <si>
    <t>TD420 .P655 2021</t>
  </si>
  <si>
    <t>'1,7,8,9,285'</t>
  </si>
  <si>
    <t>Thermodynamic Analysis and Optimization of Geothermal Power Plants</t>
  </si>
  <si>
    <t>TK1055 .T447 2021</t>
  </si>
  <si>
    <t>'1,16,17'</t>
  </si>
  <si>
    <t>Nonverbal Communication</t>
  </si>
  <si>
    <t>Social Science; Psychology</t>
  </si>
  <si>
    <t>BF637.N66 -- N656 2013eb</t>
  </si>
  <si>
    <t>'141'</t>
  </si>
  <si>
    <t>Mozilla/5.0 (Macintosh; Intel Mac OS X 10_15_6) AppleWebKit/605.1.15 (KHTML, like Gecko) Version/15.6.1 Safari/605.1.15</t>
  </si>
  <si>
    <t>Pesticides in Crop Production : Physiological and Biochemical Action</t>
  </si>
  <si>
    <t>SB960$b.P478 2020</t>
  </si>
  <si>
    <t>'1,2,3,4,32,33,34,35,36,37,38,38,38,23,24,24,23,25,52,57'</t>
  </si>
  <si>
    <t>'38'</t>
  </si>
  <si>
    <t>Virology : Principles and Applications</t>
  </si>
  <si>
    <t>Wiley</t>
  </si>
  <si>
    <t>Science: Biology/Natural History</t>
  </si>
  <si>
    <t>'1,1,179,180,216'</t>
  </si>
  <si>
    <t>Adolescent-Focused Therapy for Anorexia Nervosa : A Developmental Approach</t>
  </si>
  <si>
    <t>RC552.A5$b.L635 2020</t>
  </si>
  <si>
    <t>'1,10,,1,,1,5,3,7,8,8,8,8,15,16,18,17'</t>
  </si>
  <si>
    <t>Face Paint : The Story of Makeup</t>
  </si>
  <si>
    <t>ABRAMS (Ignition)</t>
  </si>
  <si>
    <t>GT2340 -- .E437 2015eb</t>
  </si>
  <si>
    <t>'1,3,3,3,3,4,6,7,8,9,10,11,12,13,14,15,16,17,18,19,20,21,22,23,24,25,26,27,28,29,30,31,32,33,34,35,36,37,38,39,40,41,42,43,44,45,46,47,48,50,52'</t>
  </si>
  <si>
    <t>She Bop Ii (Gen) : The Definitive History of Women in Rock, Pop and Soul</t>
  </si>
  <si>
    <t>ML82 .O375 2002</t>
  </si>
  <si>
    <t>'1,1,6,225,226,227,228,267,541'</t>
  </si>
  <si>
    <t>Women's Periodicals and Print Culture in Britain, 1940s-2000s : The Postwar and Contemporary Period</t>
  </si>
  <si>
    <t>General Works/Reference; Journalism</t>
  </si>
  <si>
    <t>PN5124.W6 .W664 2020</t>
  </si>
  <si>
    <t>'1,1,98,120,351,352'</t>
  </si>
  <si>
    <t>'1,1,179,180,216,216,216,179,179,180,180,180,181,181'</t>
  </si>
  <si>
    <t>What Went Wrong? : Western Impact and Middle Eastern Response</t>
  </si>
  <si>
    <t>956/.015</t>
  </si>
  <si>
    <t>DS62.4.L495 2002</t>
  </si>
  <si>
    <t>'1,1,1,1,2,4,4'</t>
  </si>
  <si>
    <t>Handbook of Adhesives and Surface Preparation : Technology, Applications and Manufacturing</t>
  </si>
  <si>
    <t>Engineering: Chemical; Engineering: Civil; Engineering</t>
  </si>
  <si>
    <t>TA455.A34 -- H36 2011eb</t>
  </si>
  <si>
    <t>'1,6,7,65,64,66,68,67'</t>
  </si>
  <si>
    <t>'65,66'</t>
  </si>
  <si>
    <t>Reactions and Mechanisms in Thermal Analysis of Advanced Materials</t>
  </si>
  <si>
    <t>620.1/1217</t>
  </si>
  <si>
    <t>TA417.7.H55.R43 2015</t>
  </si>
  <si>
    <t>'1,2,3,4,4,7,8,9,10,11,57,58,59,60,61'</t>
  </si>
  <si>
    <t>'1,2,3,4'</t>
  </si>
  <si>
    <t>Seasonal Affective Disorder and Light Therapy : Using Human-Centered Design to Treat Winter Depression</t>
  </si>
  <si>
    <t>Vieweg</t>
  </si>
  <si>
    <t>Medicine; Science: Biology/Natural History; Science</t>
  </si>
  <si>
    <t>QP360-360.7</t>
  </si>
  <si>
    <t>'1,2,3,4,5,6,7,19,20'</t>
  </si>
  <si>
    <t>'1,2,5,6'</t>
  </si>
  <si>
    <t>'233,234,,234,,1,200,201,201,256,257,258,259,260,261,262,264,487,489,490,256,276,314,315,316,319,322'</t>
  </si>
  <si>
    <t>'1,809,838,839,841,842,843,844,845,846,847,848,849,850,851,852,853,854,855,856,857'</t>
  </si>
  <si>
    <t>Mozilla/5.0 (Macintosh; Intel Mac OS X 10_15_7) AppleWebKit/537.36 (KHTML, like Gecko) Chrome/105.0.0.0 Safari/537.36</t>
  </si>
  <si>
    <t>Bioisosteres in Medicinal Chemistry</t>
  </si>
  <si>
    <t>RS403 -- .B76 2012eb</t>
  </si>
  <si>
    <t>'1,2,21,22,23,24,25,26,27,28,29'</t>
  </si>
  <si>
    <t>'44,45,46,46,46,57,61,63,65,67,70,71,72,75,76'</t>
  </si>
  <si>
    <t>Mozilla/5.0 (Windows NT 10.0; Win64; x64) AppleWebKit/537.36 (KHTML, like Gecko) Chrome/107.0.0.0 Safari/537.36 OPR/93.0.0.0</t>
  </si>
  <si>
    <t>Design of Experiments for Engineers and Scientists</t>
  </si>
  <si>
    <t>Mathematics; Engineering: Manufacturing; Engineering</t>
  </si>
  <si>
    <t>QA279 -- .A58 2003eb</t>
  </si>
  <si>
    <t>'1,2,330,331,333,341,342,343'</t>
  </si>
  <si>
    <t>Functional Nanofibers and Their Applications</t>
  </si>
  <si>
    <t>Engineering; Engineering: Civil; Engineering: Manufacturing</t>
  </si>
  <si>
    <t>TA418.9.F5F865 2012</t>
  </si>
  <si>
    <t>'1,217,218'</t>
  </si>
  <si>
    <t>'218'</t>
  </si>
  <si>
    <t>'1,1,217,217,218,227,219,215,216,220,218'</t>
  </si>
  <si>
    <t>'217,217,218'</t>
  </si>
  <si>
    <t>'1,2,3,4,6,8,10,13,15,18,11,12,14,24,23,27,28,29,31,32,440,439,438,9,217,218,218,217,217,217'</t>
  </si>
  <si>
    <t>Green's Functions : Construction and Applications</t>
  </si>
  <si>
    <t>Mathematics; Science: Physics; Science</t>
  </si>
  <si>
    <t>QC174.17.G68 -- M45 2012eb</t>
  </si>
  <si>
    <t>'1,21,21,22,23,24,25,26,27,28,29,30,31,334,335,336,337,338,339,341,342,343,344,344,344,344,345,346,347,348,349,351,352,354,356,357,358,359,360,362'</t>
  </si>
  <si>
    <t>Heat Conduction</t>
  </si>
  <si>
    <t>Science: Physics; Engineering; Science; Engineering: General</t>
  </si>
  <si>
    <t>QC321.O34 2012</t>
  </si>
  <si>
    <t>'1,324,327,329,330,332,333,334,336,337,338,339,340,341,342,343,344,345,346,347,348,348,348,348,349,350,351,352,353,355,356,357,359,360,361,362,363,364,365,367,368,369,370,371,372,373,374,375,376,377,378,379,380,381,382,,1'</t>
  </si>
  <si>
    <t>'73,74,75,76,77,78,79,80'</t>
  </si>
  <si>
    <t>'79'</t>
  </si>
  <si>
    <t>'1,1,324,324,325,326,327,328,329,330,331,332,333,334,335,336,337'</t>
  </si>
  <si>
    <t>'1,1,27,46,73,91,105,129,142,161'</t>
  </si>
  <si>
    <t>'73,44,45,46,46,47,48,49,50,51,52,53,54,55,56,57,58,59,60,61,62,63,64,41,42,43,44'</t>
  </si>
  <si>
    <t>'1,1,1,3,4,10,,1'</t>
  </si>
  <si>
    <t>'1,3,73,824,816,819'</t>
  </si>
  <si>
    <t>'1,10,11,12,15,14,16,17,18,19'</t>
  </si>
  <si>
    <t>The Provost's Handbook : The Role of the Chief Academic Officer</t>
  </si>
  <si>
    <t>Johns Hopkins University Press</t>
  </si>
  <si>
    <t>378.1/01</t>
  </si>
  <si>
    <t>International Encyclopedia of Hospitality Management 2nd Edition</t>
  </si>
  <si>
    <t>Tourism/Hospitality</t>
  </si>
  <si>
    <t>TX911.3.M27 -- P59 2010eb</t>
  </si>
  <si>
    <t>Historical Parallels, Commemoration and Icons</t>
  </si>
  <si>
    <t>History; Geography/Travel</t>
  </si>
  <si>
    <t>D13 .H578 2019</t>
  </si>
  <si>
    <t>'1,81,10,11,12,13,14,15,16,17,18,19,20,21'</t>
  </si>
  <si>
    <t>Strategic Management of Research Organizations</t>
  </si>
  <si>
    <t>HD30.28 .B375 2020</t>
  </si>
  <si>
    <t>'128,129,130,131,132,76,77,78,79,80,81,82,83,84,85'</t>
  </si>
  <si>
    <t>Performance Leadership(tm)</t>
  </si>
  <si>
    <t>Business Expert Press</t>
  </si>
  <si>
    <t>HF5549.5.P35.L466 2016</t>
  </si>
  <si>
    <t>'1,96,95,97,98,99,100,101,102,103,104,105,106,107,108,109,110,111,112,113,114,115,116,117,118,119,120'</t>
  </si>
  <si>
    <t>'97,97,98,98,98,101'</t>
  </si>
  <si>
    <t>'73,75,77,79,80,80,80,81,82,83,84,85,86,87,88,90,89,92,91,90'</t>
  </si>
  <si>
    <t>'1,96,95'</t>
  </si>
  <si>
    <t>'1,2,2,40,84,126,123'</t>
  </si>
  <si>
    <t>Mega Planning : Practical Tools for Organizational Success</t>
  </si>
  <si>
    <t>HD31</t>
  </si>
  <si>
    <t>'1,72,73,74,75,76,77,222,223,190,191,192,193,194,195,196,197,198,199,200,201,202,203,205,206,207,208,209,210,211,212,213,214,215,216,217,218,219,221,224,225,226,227'</t>
  </si>
  <si>
    <t>'215,215'</t>
  </si>
  <si>
    <t>'1,,1,97,97,168,25,168,8,68,75,76,77'</t>
  </si>
  <si>
    <t>'73,73,73,74,75,76,77,78,79,82,80,84,85,86,87,88,90,91,89,81'</t>
  </si>
  <si>
    <t>'1,2,9,10,11,403,404'</t>
  </si>
  <si>
    <t>'1,14,13,15,16,17,18,19,20,130,131,,133,134,135,137,138,139,140,141'</t>
  </si>
  <si>
    <t>Gadolinium: Compounds, Production and Applications : Compounds, Production and Applications</t>
  </si>
  <si>
    <t>616.07/54</t>
  </si>
  <si>
    <t>RC78.7.C65 -- G33 2010eb</t>
  </si>
  <si>
    <t>Embedded Systems Architecture : Explore Architectural Concepts, Pragmatic Design Patterns, and Best Practices to Produce Robust Systems</t>
  </si>
  <si>
    <t>Engineering: Electrical; Computer Science/IT; Engineering</t>
  </si>
  <si>
    <t>TK7895.E42 .L333 2018</t>
  </si>
  <si>
    <t>'7,8,9,9,10,163,190,191,192,189,196,194'</t>
  </si>
  <si>
    <t>'1,1,200,495,496,500'</t>
  </si>
  <si>
    <t>'1,73,74,76,91,90,89,88,87,85,86,92,93,94'</t>
  </si>
  <si>
    <t>'87,87,87,92,91,92,92'</t>
  </si>
  <si>
    <t>'105,142,141,143,144,145,146,147,148,149,150,151,146,147,149,150,151'</t>
  </si>
  <si>
    <t>Key Performance Indicators (KPI) : Developing, Implementing, and Using Winning KPIs</t>
  </si>
  <si>
    <t>658.4/013</t>
  </si>
  <si>
    <t>HF5549.5.P37 -- P37 2010eb</t>
  </si>
  <si>
    <t>'1,4,5,6,7,8,9,10,24,26,57,265,263,264,266,267,268,270,271,272'</t>
  </si>
  <si>
    <t>Key Performance Indicators for Government and Non Profit Agencies : Implementing Winning KPIs</t>
  </si>
  <si>
    <t>HF5549.5.P37 -- P373 2012eb</t>
  </si>
  <si>
    <t>'1,29,30,31,32,131,132,133,134,135,137,141,142,143,144'</t>
  </si>
  <si>
    <t>Strategic Planning Plus : An Organizational Guide</t>
  </si>
  <si>
    <t>'1,37,38,39,40,41,41,85,86,89,90,91,92,102,101,103,97,96,98,99,95,93'</t>
  </si>
  <si>
    <t>Rethinking Higher Education : Participation, Research, and Differentiation</t>
  </si>
  <si>
    <t>McGill-Queen's University Press</t>
  </si>
  <si>
    <t>LA418.O6F35 2013</t>
  </si>
  <si>
    <t>'1,270,269,271,272'</t>
  </si>
  <si>
    <t>'105,106,107,108,109,126,125,131,132,133,134,135,136,137,138,129,127,128,130'</t>
  </si>
  <si>
    <t>'1,82,81,84,85,86,87,88,89,90'</t>
  </si>
  <si>
    <t>The Butterfly Effect</t>
  </si>
  <si>
    <t>Spinifex Press</t>
  </si>
  <si>
    <t>PR9619.3.H</t>
  </si>
  <si>
    <t>'1,11,12,13,14,16,15,17,18,19,20,21,22,23,24,25,26,27,221,223,224,225,226,227,228,229,230,231,232,234,235,236,237,238,239,240,241,242,243,244,245,246,247,248,249,250,251'</t>
  </si>
  <si>
    <t>Air Dispersion Modeling : Foundations and Applications</t>
  </si>
  <si>
    <t>TD883.1.D48 2014eb</t>
  </si>
  <si>
    <t>'1,9,10,11,88,89,90,91,92,93,94,95,96,97,98,99,100,102,103,105,107,109,110,111,112,113,114,114,6,6,48,49'</t>
  </si>
  <si>
    <t>Mozilla/5.0 (Macintosh; Intel Mac OS X 10_15_7) AppleWebKit/605.1.15 (KHTML, like Gecko) Version/15.3 Safari/605.1.15</t>
  </si>
  <si>
    <t>'1,809,810,811,812,814,815,717,718,719,720,721,722,723,724,725,726,727,728'</t>
  </si>
  <si>
    <t>Thermodynamics of the Earth and Planets</t>
  </si>
  <si>
    <t>Science; Science: Geology; Science: Physics</t>
  </si>
  <si>
    <t>QC311 .P236 2011</t>
  </si>
  <si>
    <t>'1,1,157,156,7,37,37,38,36,35,34,33,32,30,31,157,156,159,195,196,197,197,197,198,200,201,202,203,204,205,206,207,208,209,210,212,214'</t>
  </si>
  <si>
    <t>Hydrogen and Syngas Production and Purification Technologies</t>
  </si>
  <si>
    <t>American Institute of Chemical Engineers</t>
  </si>
  <si>
    <t>662.6;665.8/1</t>
  </si>
  <si>
    <t>TP359.H8 -- H8434 2010eb</t>
  </si>
  <si>
    <t>'432'</t>
  </si>
  <si>
    <t>'432,433,434,435,436,437,438,439,440,441,442,443,444,445,446,447,448,449,450,451,452,453,454,455,456,457,458,459,460,461,462,463,464,465,466,467,468,,329,330,331,332,333,334,335,336,337,338,339,340,341,342,343,344,345,346,,469,470,471,472,473,474,475,476,477,478,479,480,481,482,483,484,485,486,487,488,489,490,491,492,493,494,495,496,497,498,499,500,501,502,503'</t>
  </si>
  <si>
    <t>Gas Purification</t>
  </si>
  <si>
    <t>TP754.K6 1997</t>
  </si>
  <si>
    <t>'1,2,3,1033,1034'</t>
  </si>
  <si>
    <t>'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'</t>
  </si>
  <si>
    <t>Objectives and Key Results : Driving Focus, Alignment, and Engagement with OKRs</t>
  </si>
  <si>
    <t>HD58.9.N583 2016</t>
  </si>
  <si>
    <t>'1,23,24,25,26,51,52,53,54,55,56,57,58,59,60,61,62,62,62'</t>
  </si>
  <si>
    <t>Organizational Theory in Higher Education</t>
  </si>
  <si>
    <t>LB2341 -- .M285 2013eb</t>
  </si>
  <si>
    <t>'1,38,39,38,41,42,43,44,44,44,45,43,53,54,83,165,217,219'</t>
  </si>
  <si>
    <t>'1,91,92,93,94,95,96,97,98,99,100,101,93'</t>
  </si>
  <si>
    <t>Asian Muslim Women : Globalization and Local Realities</t>
  </si>
  <si>
    <t>'1,1,278,277,276,275,273,272,269,270,271'</t>
  </si>
  <si>
    <t>Mozilla/5.0 (Macintosh; Intel Mac OS X 10_15_6) AppleWebKit/605.1.15 (KHTML, like Gecko) Version/14.0.3 Safari/605.1.15</t>
  </si>
  <si>
    <t>Contemporary Issues in Islam</t>
  </si>
  <si>
    <t>939.4-956</t>
  </si>
  <si>
    <t>DS63.123 .A37 2015</t>
  </si>
  <si>
    <t>'96,96,97,98,99,100,101,102,103,104,105,106'</t>
  </si>
  <si>
    <t>On Shifting Ground : Muslim Women in the Global Era</t>
  </si>
  <si>
    <t>Feminist Press at The City University of New York</t>
  </si>
  <si>
    <t>HQ1170 -- .O5 2014eb</t>
  </si>
  <si>
    <t>'1,1,169,367,368,369,370,365,362,361,358,357,356,355,354,353,352,351,350,349,372,374'</t>
  </si>
  <si>
    <t>Modernizing Women : Gender and Social Change in the Middle East</t>
  </si>
  <si>
    <t>Lynne Rienner Publishers</t>
  </si>
  <si>
    <t>HQ1726.5 .M644 2013</t>
  </si>
  <si>
    <t>'1,,286,288,286,286,286'</t>
  </si>
  <si>
    <t>Women, Family, and Gender in Islamic Law</t>
  </si>
  <si>
    <t>340.5/9</t>
  </si>
  <si>
    <t>KBP526.3 -- .T83 2008eb</t>
  </si>
  <si>
    <t>'1,1,1,259'</t>
  </si>
  <si>
    <t>'1,56,55,59,60,61,62,63,26,25,27,28'</t>
  </si>
  <si>
    <t>Goal Setting : How to Create an Action Plan and Achieve Your Goals</t>
  </si>
  <si>
    <t>HF5549.5.G6W55 2008</t>
  </si>
  <si>
    <t>'1,7,46,8,9,10,11'</t>
  </si>
  <si>
    <t>'1,4,3,5,6,7,33,32'</t>
  </si>
  <si>
    <t>'1,13,14,15,16,18,19,21,20,22,22,24,21,23'</t>
  </si>
  <si>
    <t>'21'</t>
  </si>
  <si>
    <t>Mozilla/5.0 (Windows NT 10.0; Win64; x64) AppleWebKit/537.36 (KHTML, like Gecko) Chrome/107.0.0.0 Safari/537.36 Edg/107.0.1418.56</t>
  </si>
  <si>
    <t>'73,74,75,76,76,75,74,73,77,78,79,80,81,82,83,84,85,86,87,88,90,91,89'</t>
  </si>
  <si>
    <t>'78,78,78'</t>
  </si>
  <si>
    <t>Green Corrosion Inhibitors : Theory and Practice</t>
  </si>
  <si>
    <t>620.1/1223</t>
  </si>
  <si>
    <t>TA462 -- .S27 2011eb</t>
  </si>
  <si>
    <t>'1,3,2,7,44,32,21,20,19,18,17,16,12'</t>
  </si>
  <si>
    <t>Logic, Rhetoric and Legal Reasoning in the Qur'an : God's Arguments</t>
  </si>
  <si>
    <t>297.1/2281</t>
  </si>
  <si>
    <t>BP134.R33 -- G89 2014eb</t>
  </si>
  <si>
    <t>'78,79,80,81,82,83'</t>
  </si>
  <si>
    <t>'1,2,4,6,8,12,11,12'</t>
  </si>
  <si>
    <t>'1,1,,1,1,232,232,232,232,233,233,141,233,232,232,233,233,234,235,237,238,239,240,240,240,239,239,239,239'</t>
  </si>
  <si>
    <t>'232'</t>
  </si>
  <si>
    <t>'1,1,206,259,259,259,11,11,7,11,12,11,11,12'</t>
  </si>
  <si>
    <t>'1,330,331,332,333,334,335,335,208,208,234,330,330,331,331,331,177,272,236,330,330'</t>
  </si>
  <si>
    <t>'330'</t>
  </si>
  <si>
    <t>'1,1,1,257,258,258,261,262,263,263,257,257,261,8,8,276,273,272,271,270,270,154,155,257,258,259,261,262,264,265,266,267,268,269,269,269,261,283,285,286,288,289,290,287,282,281,280,279,278,278,277,276,275,274,273,273,259,261,260,258,257,259,257,258,260,261,262,263,264,264,264,264,17,276,39,40,41,42,43,44,45,46,46,117,117,23,23,7,257,257,257,257,257,257,261,257,9,259,260,261,264,265,268,269,271,272,274,278,289,291,293,295,297,299,300,290,288,286,287,285,285,82,284,283,282,282,257,275,283,276,277,281,272,260,258,259,259,259,259,261,262,263,8,39,40,41,42,42,101,181,181,181,182,,1,181,181,182'</t>
  </si>
  <si>
    <t>'181'</t>
  </si>
  <si>
    <t>'1,1,,96,96,96,85'</t>
  </si>
  <si>
    <t>Muslim Women of Power : Gender, Politics and Culture in Islam</t>
  </si>
  <si>
    <t>320.417/67082</t>
  </si>
  <si>
    <t>HQ1236.5.I74 -- B46 2010eb</t>
  </si>
  <si>
    <t>'1,96'</t>
  </si>
  <si>
    <t>Guide to the LEED Green Associate V4 Exam</t>
  </si>
  <si>
    <t>Architecture; Engineering: Construction; Engineering</t>
  </si>
  <si>
    <t>TH880 .C68 2014</t>
  </si>
  <si>
    <t>Guidebook to the LEED Certification Process : For LEED for New Construction, LEED for Core and Shell, and LEED for Commercial Interiors</t>
  </si>
  <si>
    <t>Engineering: Construction; Engineering; Architecture</t>
  </si>
  <si>
    <t>720/.47</t>
  </si>
  <si>
    <t>TH880 -- .C685 2011eb</t>
  </si>
  <si>
    <t>'1,18,17,19,20,21'</t>
  </si>
  <si>
    <t>Materials : Engineering, Science, Processing and Design</t>
  </si>
  <si>
    <t>620.1/1</t>
  </si>
  <si>
    <t>TA403.A84 2007</t>
  </si>
  <si>
    <t>'1,1,15'</t>
  </si>
  <si>
    <t>Mozilla/5.0 (Windows NT 10.0; Win64; x64) AppleWebKit/537.36 (KHTML, like Gecko) Chrome/106.0.0.0 Safari/537.36</t>
  </si>
  <si>
    <t>'1,1,232,239,238'</t>
  </si>
  <si>
    <t>China and the Gulf Cooperation Council Countries : Strategic Partnership in a Changing World</t>
  </si>
  <si>
    <t>Lexington Books</t>
  </si>
  <si>
    <t>History; Political Science</t>
  </si>
  <si>
    <t>DS740.4.O45 2016</t>
  </si>
  <si>
    <t>'18'</t>
  </si>
  <si>
    <t>'1,1,240,232,16,15,17,18,19,20,21,22,23,24,25,232,233,234,235,236,237,238,239,240,231'</t>
  </si>
  <si>
    <t>Water Engineering : Hydraulics, Distribution and Treatment</t>
  </si>
  <si>
    <t>Engineering: Environmental</t>
  </si>
  <si>
    <t>Multiple Criteria Decision Making</t>
  </si>
  <si>
    <t>HD30.23 .M858 2020</t>
  </si>
  <si>
    <t>'1,3,5,6,7,8,9,10,11,12'</t>
  </si>
  <si>
    <t>Water Quality</t>
  </si>
  <si>
    <t>American Water Works Association</t>
  </si>
  <si>
    <t>628.1/61</t>
  </si>
  <si>
    <t>TD370 -- .W392 2010eb</t>
  </si>
  <si>
    <t>'6,7'</t>
  </si>
  <si>
    <t>'1,1,3,5,6,7'</t>
  </si>
  <si>
    <t>Electrospun Nanofibers Research : Recent Developments</t>
  </si>
  <si>
    <t>TA418.9.F5 -- E445 2009eb</t>
  </si>
  <si>
    <t>'1,7,6,8,9'</t>
  </si>
  <si>
    <t>Handbook of Water Purity and Quality</t>
  </si>
  <si>
    <t>TD420 .H363 2021</t>
  </si>
  <si>
    <t>'1,1,3,2,5,6,7'</t>
  </si>
  <si>
    <t>Drinking Water and Health, : Volume 4</t>
  </si>
  <si>
    <t>RA591.N38 v.4 1982</t>
  </si>
  <si>
    <t>'1,,1,6,6'</t>
  </si>
  <si>
    <t>'7,11,13,16,15,10,9,8,6,1'</t>
  </si>
  <si>
    <t>'1,1,1,226,228,227,229,230,231,232,232,232,232,232,228,228,228'</t>
  </si>
  <si>
    <t>'228'</t>
  </si>
  <si>
    <t>'1,1,276,277,278'</t>
  </si>
  <si>
    <t>Petroleum, Natural Gas and Coal : Nature, Formation Mechanisms, Future Prospects in the Energy Transition</t>
  </si>
  <si>
    <t>EDP Sciences</t>
  </si>
  <si>
    <t>Science: Physics</t>
  </si>
  <si>
    <t>'1,2,3,4,5,7,8,9,10,11,12,13,14,15,14'</t>
  </si>
  <si>
    <t>Surfactants from Renewable Resources</t>
  </si>
  <si>
    <t>668/.1</t>
  </si>
  <si>
    <t>TP994.S8735 2010</t>
  </si>
  <si>
    <t>'1,2,3,4,5,7,8,9,10,11,34,37,38,40,43,44,46,47,48'</t>
  </si>
  <si>
    <t>Construction Quality Management : Principles and Practice</t>
  </si>
  <si>
    <t>TH438.2 -- .W38 2011eb</t>
  </si>
  <si>
    <t>'1,155,205,230,62,63,86,155,86,94,92'</t>
  </si>
  <si>
    <t>'62'</t>
  </si>
  <si>
    <t>Management, Performance, and Applications of Micro Irrigation Systems</t>
  </si>
  <si>
    <t>S619.T74 -- .M36 2015eb</t>
  </si>
  <si>
    <t>'1,35,37,42,40,39,38,38,38,55,56'</t>
  </si>
  <si>
    <t>'37,38,39,40,41,42,43,44,45,46,47,48,49,50,51,52,53,54'</t>
  </si>
  <si>
    <t>Claiming the Bicycle : Women, Rhetoric, and Technology in Nineteenth-Century America</t>
  </si>
  <si>
    <t>Southern Illinois University Press</t>
  </si>
  <si>
    <t>GV1057</t>
  </si>
  <si>
    <t>Machine Learning Solutions : Expert Techniques to Tackle Complex Machine Learning Problems Using Python</t>
  </si>
  <si>
    <t>QA76.73.P98 .T436 2018</t>
  </si>
  <si>
    <t>'258,259,260,261,262,263,264,265,266,267,268,269,270,271,272,273,274,275,276,277,278,279,280,281,282,283,284,285,286,287,288,289,290,291,292,293,294,295'</t>
  </si>
  <si>
    <t>How To Do Things With Words</t>
  </si>
  <si>
    <t>Barakaldo Books</t>
  </si>
  <si>
    <t>P95.55$b.A978 2020</t>
  </si>
  <si>
    <t>'15,16,8,,8,9,11,12,13,14,15'</t>
  </si>
  <si>
    <t>Fundamental Principles of Radar : Rationality, Critical Thinking, and Education</t>
  </si>
  <si>
    <t>LB1062.5</t>
  </si>
  <si>
    <t>'62,63,64,65,66,67,68,69,70,71,72,73,74,75,76,77,78,79,80,81,82,83,84,85,86,87,88,89,90,91,92,93'</t>
  </si>
  <si>
    <t>The Status of Women under Islamic Law and Modern Islamic Legislation</t>
  </si>
  <si>
    <t>KBP526.32.N37A37 200</t>
  </si>
  <si>
    <t>'1,13,14,15,16,19'</t>
  </si>
  <si>
    <t>'1,520,521,522,523,524,525,526,260,261,262,263,264,265,266,267,268,269,270,271,272,273,274,275,276,277,278,279,280,281,282,283,284,99,148,147,146,145,144,143,142,141,140,139,138,137,136,135,134,133,132,131,130,128,127,129,125,123,122,121,120,119,118,116,115,114,113,111,110,109,108,107,105,104,103,102,100,98,97,96,95,94,93,92,91,90,89,88'</t>
  </si>
  <si>
    <t>'1,13,14'</t>
  </si>
  <si>
    <t>Writing Muslim Identity : The Construction of Identity</t>
  </si>
  <si>
    <t>820.9/38297</t>
  </si>
  <si>
    <t>PR149.I8</t>
  </si>
  <si>
    <t>'1,2,2,2,2,2,2,2,3,4,5,6,7,8,9,18,12,17'</t>
  </si>
  <si>
    <t>Peaceful Families : American Muslim Efforts Against Domestic Violence</t>
  </si>
  <si>
    <t>362.82/920973</t>
  </si>
  <si>
    <t>HQ809.3.U5 .H366 2019</t>
  </si>
  <si>
    <t>'16,17,18,19,20,21,22,23,24,25,26,27'</t>
  </si>
  <si>
    <t>'1,297,298,301,303,304,305,306,307'</t>
  </si>
  <si>
    <t>'1,4,6,8,11,13,16,23,22,25,26,27'</t>
  </si>
  <si>
    <t>Historical Dictionary of Women in the Middle East and North Africa</t>
  </si>
  <si>
    <t>Scarecrow Press, Incorporated</t>
  </si>
  <si>
    <t>HQ1726.5 -- .T35 2013eb</t>
  </si>
  <si>
    <t>'1,29,31,33,34,35,36,37,38,39,40,41'</t>
  </si>
  <si>
    <t>'1,1,1,1,1,1,1,4,25,26,27,27,109,111,112,113,115,116,117,118,119,120,121,122,123,124,125,126,127,128,129,130,131,132,133,135,136,137,138,139,140,141,142,143,144,145,147,149,150,260,261,262,263,264,265,266,268,324,325,326,327,328,329,330,331,332,333,334,335,336,338,339,340,341,343,344,345'</t>
  </si>
  <si>
    <t>The Religions of Modern Syria and Palestine</t>
  </si>
  <si>
    <t>Gorgias Press, LLC</t>
  </si>
  <si>
    <t>BL2340 .B557 2011</t>
  </si>
  <si>
    <t>'1,185,186,184,183,187,188,189,190,191,192,193,194,195,196,197,198,199,200,201,202,203,204,205,206'</t>
  </si>
  <si>
    <t>'185,186,187,188,189,190,191,192,193,194,195,196,197,198,199,200,201,202,203,204,205,206,207,208,209,210,211,212,213,214,215,216,217,218,219,220,221,222,223,224,225,226,227,228,229,230,231,232,233,234,235,236,237,238'</t>
  </si>
  <si>
    <t>'1,13,14,15'</t>
  </si>
  <si>
    <t>'1,160,159,161,162,163,164,165,166,167,168,169,171,172,1'</t>
  </si>
  <si>
    <t>'62,63,65,66,67,69,70,71,72,73,74,75'</t>
  </si>
  <si>
    <t>Heat Generation and Transport in the Earth</t>
  </si>
  <si>
    <t>Science: Geology; Science</t>
  </si>
  <si>
    <t>QE509 .J38 2011</t>
  </si>
  <si>
    <t>'1,15,16,17,383,384,385,386,387,389,384,350,125,126,127,19,20,21'</t>
  </si>
  <si>
    <t>'19,19,19,19,20,20,21,22,22,22,23,24,25,26,27,28,30,1,1,1,2,3,6,8,9,9,9,9,10,11,143,144'</t>
  </si>
  <si>
    <t>'19,20,21,22,143,144,145,146,147,148,149,150,151,152,153,154,155,156,157,158,159,160,161,162,163,164,165,166,167,168,169,170,171,172,173,174,175,176,177,178'</t>
  </si>
  <si>
    <t>'1,3,4,5,7,14,15,12'</t>
  </si>
  <si>
    <t>'1,1,3,4,5,6,7,10,9,11,12,14,16,17,18,19,19,,19,19'</t>
  </si>
  <si>
    <t>Optical Architectures for Augmented-, Virtual-, and Mixed-Reality Headsets</t>
  </si>
  <si>
    <t>SPIE</t>
  </si>
  <si>
    <t>Engineering; Engineering: Electrical; Computer Science/IT</t>
  </si>
  <si>
    <t>TK7882.T47 .K747 2020</t>
  </si>
  <si>
    <t>'1,2,3,4,5,6,7,8'</t>
  </si>
  <si>
    <t>'1,1,,1,1,38,16,15,14,17,18,19,19'</t>
  </si>
  <si>
    <t>From Victims to Suspects : Muslim Women Since 9/11</t>
  </si>
  <si>
    <t>HQ1170 .H877 2019</t>
  </si>
  <si>
    <t>'1,103,112,113,114,115,116,251,252,253,254,255'</t>
  </si>
  <si>
    <t>'1,1,7,8,140,140,140,141,140,141,141,142,143,143,144,145,146,147,152,134,135,136,137,138,138,145,138,181,181'</t>
  </si>
  <si>
    <t>'140'</t>
  </si>
  <si>
    <t>'1,62,64,66,68,70,71,72,73,74,75'</t>
  </si>
  <si>
    <t>'74'</t>
  </si>
  <si>
    <t>'1,1,1,330,331,331,332,333'</t>
  </si>
  <si>
    <t>'1,96,96,96,97,98,98,97,99,100,101,102,103,104,106,107,108,109,110,111,112'</t>
  </si>
  <si>
    <t>'111'</t>
  </si>
  <si>
    <t>Brill's Companion to the Reception of Galen</t>
  </si>
  <si>
    <t>'1,1,8,9,10,11,289,291,290,292,293,294,295,296,297,298,299,300,301,302,303,304,288,289,289,290,291,292,293,294,295,296,297,298,299,300,301,302,303,304,305,306,305,20,27,29,32,37,189,347,567,665,685,8,289,289,289,271,290,289,289,289,275,272,27,,1,2,2,3,4'</t>
  </si>
  <si>
    <t>Becoming a Strategic Leader : Your Role in Your Organization's Enduring Success</t>
  </si>
  <si>
    <t>658.4/092</t>
  </si>
  <si>
    <t>HD57.7.H84 2014</t>
  </si>
  <si>
    <t>'75,76,77,78,79,80,81,82,83,84,85,86,87,88,89,90,91,92,93,94,95,96,97,98,99,100,101,102,103,104,105,106,107,108,109,110,111,112,113,114,115,116,117,118,119,120,121,122,123,124,125,126'</t>
  </si>
  <si>
    <t>Mozilla/5.0 (Macintosh; Intel Mac OS X 10_15_6) AppleWebKit/605.1.15 (KHTML, like Gecko) Version/15.6.3 Safari/605.1.15</t>
  </si>
  <si>
    <t>Analyzing Oil Production and Consumption : Asking Questions, Evaluating Evidence, and Designing Solutions</t>
  </si>
  <si>
    <t>Cavendish Square Publishing LLC</t>
  </si>
  <si>
    <t>Engineering: Mining; Juvenile Literature</t>
  </si>
  <si>
    <t>'1,3,5,6,1,2,3,4,5,7'</t>
  </si>
  <si>
    <t>'1,1,1,1,1,2,3,4,5,260,260,261,262,263,264,265,266,267,268,269,64,65,66,67,68,69,70,71,72,73,74,75,76,70,71,69,68,67,66,65,64,63,62,61,60,59,55,1,2,3,4,5,6,7,8,9,10,11,12,15,16,18,19,20,21,22,23,24,25,26,27,28,29,30,31,32,33,34,35,36,37,38,39,40,41,42,43,44,45,46,47,52,,54,49,2,25,26,28,29,30,31,32,33,35,37,38,39,41,43,44,45,46,47,48,49,50,51,52,53,54,55,56,57,58,59,60,61,62,63,64,65,87,88,89,90,91,92,93,94,95,96,97,98,260,261,262,263,84'</t>
  </si>
  <si>
    <t>Power Generation Technologies</t>
  </si>
  <si>
    <t>Engineering; Engineering: Electrical; Law</t>
  </si>
  <si>
    <t>621.31/21</t>
  </si>
  <si>
    <t>KF27 .B744 2019</t>
  </si>
  <si>
    <t>'134,134,139,140,143,144,145'</t>
  </si>
  <si>
    <t>TK1001 -- .B725 2005eb</t>
  </si>
  <si>
    <t>'1,1,15,78,77,76'</t>
  </si>
  <si>
    <t>'134'</t>
  </si>
  <si>
    <t>'1,4,4,5,7,5,6,25,24,202,207,208,209,206,205,204,203,201,218,212,213,230,231,232,233'</t>
  </si>
  <si>
    <t>'134,134,141,142,144,145,152,151'</t>
  </si>
  <si>
    <t>'1,1,44,45,80,81,85,256,257'</t>
  </si>
  <si>
    <t>'1,4,7,11,13,18,2,2,2,31,32,420,358,356,360,359,361'</t>
  </si>
  <si>
    <t>'1,176,177,178,179,180,180,180,181,182,181,181,182,182,182,182'</t>
  </si>
  <si>
    <t>'181,181'</t>
  </si>
  <si>
    <t>'1,28,29,31,10,11,12,12,12,11,11,10,12,13,15,16,17,21,28,28,136,137,139,140,140'</t>
  </si>
  <si>
    <t>Strategic Management in the Arts</t>
  </si>
  <si>
    <t>NX760 .V37 2012</t>
  </si>
  <si>
    <t>'1,59,59,60,61,62,63,64,65,66,67,68,69,70,71,72,73,74,75,76,77,78,79,80,139,141,142,143,144,145,146,147,148,149,150,152,154,156,309,310,311,312,313,315,316,317,318,319,320,321,322,323,324,325'</t>
  </si>
  <si>
    <t>'63,64,64'</t>
  </si>
  <si>
    <t>Defence Diplomacy and National Security Strategy : Views from the Global South</t>
  </si>
  <si>
    <t>African Sun Media</t>
  </si>
  <si>
    <t>UA10.5$b.D444 2020</t>
  </si>
  <si>
    <t>'1,73,74,79,73,73,75,76,78,80,81,82,83,78'</t>
  </si>
  <si>
    <t>'1,3,4,9,8,10,26,18,13,12,11,15,16,19,20,21,24,37,38,39,40,41,42,43,44,45,47,48,49,50,51,52,53,55,56,57,57,110,117,88,87,89,85,11,12,25,24,27,31,33,35,36,34,28,26,29,56,60,62,61,59,63,64,65,66,67,68,69,70,71,72,73,74,75,76,77,78,79,80,81,82,83,84,86,90,91,92,93,94,95,96,97,98,274,276,277,278,279,280,281,282,284,285,287,288'</t>
  </si>
  <si>
    <t>'57,57,66,67,73,74,74,76,85,84,91,92,94,93,94,277,288'</t>
  </si>
  <si>
    <t>'1,46,47,37,26,27,28,29,30,31,32,33,34,35,36,38,39,40,41,42,43,44'</t>
  </si>
  <si>
    <t>Exercise for Mood and Anxiety : Proven Strategies for Overcoming Depression and Enhancing Well-Being</t>
  </si>
  <si>
    <t>615.8/2</t>
  </si>
  <si>
    <t>BF521 -- .O88296 2011eb</t>
  </si>
  <si>
    <t>'1,2,7'</t>
  </si>
  <si>
    <t>Mozilla/5.0 (Macintosh; Intel Mac OS X 10_15_7) AppleWebKit/537.36 (KHTML, like Gecko) Chrome/97.0.4692.99 Safari/537.36</t>
  </si>
  <si>
    <t>'1,73,76,91,92,90'</t>
  </si>
  <si>
    <t>'1,2,3,4,5,6,7,8,9,10'</t>
  </si>
  <si>
    <t>'1,3,4,2,6,8,9,17,16,14'</t>
  </si>
  <si>
    <t>'8,9,,1,,1'</t>
  </si>
  <si>
    <t>Thermoelectric Energy Conversion : Basic Concepts and Device Applications</t>
  </si>
  <si>
    <t>TK2950</t>
  </si>
  <si>
    <t>'1,23,24,25,26,27,28,29,30,44,45,46,47,42,46,45'</t>
  </si>
  <si>
    <t>Mozilla/5.0 (Windows NT 10.0; WOW64) AppleWebKit/537.36 (KHTML, like Gecko) Chrome/107.0.0.0 Safari/537.36</t>
  </si>
  <si>
    <t>Thermoelectric Materials and Devices</t>
  </si>
  <si>
    <t>TK2950 .C446 2021</t>
  </si>
  <si>
    <t>'1,10,11,12,13,14,60,61,62,63,64,65,66,67,68,69,70,71,72,73,74,75,75,10,82,252,256,255,257,258,259,260'</t>
  </si>
  <si>
    <t>Thermoelectric Energy Conversion : Theories and Mechanisms, Materials, Devices, and Applications</t>
  </si>
  <si>
    <t>TK2896 .T447 2021</t>
  </si>
  <si>
    <t>'1,34,35,36,559,560,561,562,563,564,558,557'</t>
  </si>
  <si>
    <t>Photovoltaics : System Design and Practice</t>
  </si>
  <si>
    <t>TK1087 -- .H33 2012eb</t>
  </si>
  <si>
    <t>'1,113,114'</t>
  </si>
  <si>
    <t>'1,3,4,5,6,7,,1,7,9,10,11,12,13,14,15'</t>
  </si>
  <si>
    <t>Chemical Methods</t>
  </si>
  <si>
    <t>TN871 .C446 2022</t>
  </si>
  <si>
    <t>'268,269,270,271,272,273,274,276,277,278,279,280,281,282,283,284,285,286,287,288,289,290,291,292,293,294,295,296,297'</t>
  </si>
  <si>
    <t>The Noodle Narratives : The Global Rise of an Industrial Food into the Twenty-First Century</t>
  </si>
  <si>
    <t>HD9330.M322.E77 201</t>
  </si>
  <si>
    <t>'1,3,4,5,6'</t>
  </si>
  <si>
    <t>'1,6,7'</t>
  </si>
  <si>
    <t>'6'</t>
  </si>
  <si>
    <t>Mozilla/5.0 (Macintosh; Intel Mac OS X 10_15_4) AppleWebKit/537.36 (KHTML, like Gecko) Chrome/107.0.0.0 Safari/537.36</t>
  </si>
  <si>
    <t>Vibration Mitigation Systems in Structural Engineering</t>
  </si>
  <si>
    <t>Engineering: Civil; Engineering</t>
  </si>
  <si>
    <t>TA654 .A483 2021</t>
  </si>
  <si>
    <t>'358,359,360,362,363,364,365,366,1,180,181,182,183,184,185,186,187,188,189,197,375,367,361,356,2'</t>
  </si>
  <si>
    <t>Engineering Design with Polymers and Composites</t>
  </si>
  <si>
    <t>620.1/923</t>
  </si>
  <si>
    <t>TA455.P58 G47 2015</t>
  </si>
  <si>
    <t>'74,75,76,77,78,79,80,81,82,85,16,,326,327,328,329,330,331,332,333,334,335,336,337,338,339,340,341,342,,,,,,74,75,97,98,101,100,99'</t>
  </si>
  <si>
    <t>'74,75,76,77,78,79,80,81,82,83,84,85,86,87,88,89,90,91,92,93,94,95,96,97,98,99,,,,,74,75,76,77,78,79,80,81,82,83,84,85,86,87,88,89,90,91,92,93,94,95,96,97,98,99,74,75,76,77,78,79,80,81,82,83,84,85,86,87,88,89,90,91,92,93,94,95,96,97,98,99,74,75,76,77,78,79,80,81,82,83,84,85,86,87,88,89,90,91,92,93,94,95,96,97,98,99,100,101,102,103,104,105,106'</t>
  </si>
  <si>
    <t>'1,5,2,3,4,6,8,10,11,13,14,17,16,19,20,23,22,,1,46,45,44,47,48,49,50,51,53,52'</t>
  </si>
  <si>
    <t>Modern Arabic Literature</t>
  </si>
  <si>
    <t>892/.709005</t>
  </si>
  <si>
    <t>PJ7538 -- .S73 2006eb</t>
  </si>
  <si>
    <t>'1,2,4,6,108,109,110,111,112,113,114,115,116,117,118,119,120,121,122,123'</t>
  </si>
  <si>
    <t>'108,108,110,108,117,119,123'</t>
  </si>
  <si>
    <t>'1,2,4,5,6,7,7,10,8'</t>
  </si>
  <si>
    <t>'1,9,2,2,1,9,8,10,11,12,13'</t>
  </si>
  <si>
    <t>'1,2,6,7,8,10,11,12,14,15,16,17,18,20,19,21,22,25,26,28,30,31,33,32,34,35,37,36,38,38,12,14,16,19,20,21,22,18,24,26,27,28,29,30,36,37,39,41,43,44,45,46,47,48,49,50,52,53,55,57,58,59,60,61,62,63,64,65,67,68,69,70,71,72,73,74,75,76,79,80,84,85,88,89,90,92,96,98,99,100,101,102,103,104,105,106,107,108,110,112,109,111,113,114,115,117,119,122,124,125,126,128,129,130,131,132,134,135,136,138,139,141,142,143,144,145,146,147,148,150,151,152,153,154,157,158,160,161,162,163,165,166,167,168,169,170,171,173,174,175,189,10,11,13,17'</t>
  </si>
  <si>
    <t>'1,158,159,160'</t>
  </si>
  <si>
    <t>'1,106,107,108,109,110,111,112,113'</t>
  </si>
  <si>
    <t>Using the Project Management Maturity Model : Strategic Planning for Project Management</t>
  </si>
  <si>
    <t>658.4/04</t>
  </si>
  <si>
    <t>HD69.P75 .K479 2019</t>
  </si>
  <si>
    <t>'1,65,66'</t>
  </si>
  <si>
    <t>Preparing for the Future : Strategic Planning in the U. S. Air Force</t>
  </si>
  <si>
    <t>358.4/03/0973</t>
  </si>
  <si>
    <t>UG633.B37 2003</t>
  </si>
  <si>
    <t>'1,2,3,4,5,6,9,8,10'</t>
  </si>
  <si>
    <t>'1,3,4,5,6,8,9,10,11,12'</t>
  </si>
  <si>
    <t>An Introduction to Arabic Literature</t>
  </si>
  <si>
    <t>PJ7510 .A43 2000</t>
  </si>
  <si>
    <t>'1,2,5,6,7,10,11,14,15,16,18,19,20,21,22,23,24,25,26,27,29,30,31,32,28,22,29,32,33,34,35,36,37,38,39,40,41,42,43,44,46,47,48,49,50,51,52,53,54,55,56,57,58,59,60,61,63,64,65,66,67,68,69,70,71,72,73,74,75,76,77,80,82,83,84,85,86,87,88,89,90,91'</t>
  </si>
  <si>
    <t>'34,35,36,36,67,68,68,68,89,89'</t>
  </si>
  <si>
    <t>'1,2,2,5,7'</t>
  </si>
  <si>
    <t>'1,2,56,57,37,38,39,40,41,43,45,46,47,48,50,51,274,275,276,277,278,279,280,281,282,283,284,285,287,288,58,59'</t>
  </si>
  <si>
    <t>'1,14,13,15,16,17,18,19,130,131'</t>
  </si>
  <si>
    <t>Greenhouse Engineering : Integrated Energy Management</t>
  </si>
  <si>
    <t>'1,73,74,76,77,78,79,80,81,82,83,84,85,86,87,88,89,90,91,92,93,94,96,98,99,100,101,87,87,84,73,72'</t>
  </si>
  <si>
    <t>'83,84,85,86,87,88,89,90,91,92,73,74,75,76,77,78,79,80,81,82,83,84,85,86,87,88,89,90,91,92,93,94,95,96,97,98,99,100,101,102,103,104,105,106,107,108,109,110,111,112,113,114,115,116,117,118,119,120,121,122,123'</t>
  </si>
  <si>
    <t>Milk and Milk Products : Technology, Chemistry and Microbiology</t>
  </si>
  <si>
    <t>Health; Agriculture</t>
  </si>
  <si>
    <t>TX341-641</t>
  </si>
  <si>
    <t>'1,8,7,9,6,100,101,102,103,99,98'</t>
  </si>
  <si>
    <t>'17,18,,17,18,19'</t>
  </si>
  <si>
    <t>'1,59,1,2,,61,63,64,65'</t>
  </si>
  <si>
    <t>'1,3,54,55,82,83,84,85,86,87,88,89,90,91,92,93,94,95,98,97,96'</t>
  </si>
  <si>
    <t>Petroleum Production Engineering, a Computer-Assisted Approach</t>
  </si>
  <si>
    <t>Engineering: Chemical; Engineering: Mining; Engineering</t>
  </si>
  <si>
    <t>TN871.G785 2007</t>
  </si>
  <si>
    <t>'1,1,8,9'</t>
  </si>
  <si>
    <t>Well Productivity Handbook : Vertical, Fractured, Horizontal, Multilateral, Multi-Fractured, and Radial-Fractured Wells</t>
  </si>
  <si>
    <t>TN880 .G863 2019</t>
  </si>
  <si>
    <t>'1,1,2,4,6,7,8,9,10,208,209,208,268,208,,208,208,208,208,209,210,211'</t>
  </si>
  <si>
    <t>Review of the Department of Defense Enhanced Particulate Matter Surveillance Program Report</t>
  </si>
  <si>
    <t>Environmental Studies; Medicine</t>
  </si>
  <si>
    <t>'1,2,3,4,5,6,7,8,9,10,11,13,14,16,15,17,18,19,21'</t>
  </si>
  <si>
    <t>'1,3,23,23,24,25,26,27,28,29,30,31,32,33,35,36,37,39,40,42,43,44,45'</t>
  </si>
  <si>
    <t>'1,2,4,5,6,8,10,13,15'</t>
  </si>
  <si>
    <t>Mozilla/5.0 (iPad; CPU OS 15_7 like Mac OS X) AppleWebKit/605.1.15 (KHTML, like Gecko) EdgiOS/107.0.1418.52 Version/15.0 Mobile/15E148 Safari/604.1</t>
  </si>
  <si>
    <t>'1,2,3,2,4,23,1,24,24,23,25,26,26,16,23,,23'</t>
  </si>
  <si>
    <t>Interpretable Machine Learning with Python : Learn to Build Interpretable High-Performance Models with Hands-on Real-world Examples</t>
  </si>
  <si>
    <t>Q325.5 .M377 2021</t>
  </si>
  <si>
    <t>'1,13,13,,1,13'</t>
  </si>
  <si>
    <t>'1,2,474,473,475'</t>
  </si>
  <si>
    <t>'1,6,5,7,8'</t>
  </si>
  <si>
    <t>'13,14,15,16,17,18,19,20,21,23,24,25,26,27,28,29,31,32,33,34'</t>
  </si>
  <si>
    <t>'1,,1,13,14,15,37,63,38,51,52,53,54,55,56,64,77,16,28,29,30,26,26,24'</t>
  </si>
  <si>
    <t>'13,14,15,16,17,18,19,20,21,22,23,24,25,26,27,28,29,30,31,32,33,34,35,36'</t>
  </si>
  <si>
    <t>'134,136,138,140,141,142,144,146,145,147,149,148,150'</t>
  </si>
  <si>
    <t>'1,1,2,4,5,6,7,8,9,10,11,12,13,14,16,117,118,119,120,121,122,123,124,125,126,127,128,129,130,131,132,133,134,135,136,137,138,139,140,176,185,199,229,237,238,239,240,241,270'</t>
  </si>
  <si>
    <t>'238'</t>
  </si>
  <si>
    <t>Glamour : Women, History, Feminism</t>
  </si>
  <si>
    <t>GT525.D94 2010</t>
  </si>
  <si>
    <t>'1,2,3,3,4,2,5,6,9,10,40,41,41,42,43,43,45,42,42,49,163,164,164,164,73,74,75,76,77,78,79,80,81,82,84,86,87,88,90,91,192'</t>
  </si>
  <si>
    <t>Circular Economy and Engineering : A New Ecologically Efficient Model</t>
  </si>
  <si>
    <t>HD28-70</t>
  </si>
  <si>
    <t>The Handbook to Building a Circular Economy</t>
  </si>
  <si>
    <t>RIBA Publications</t>
  </si>
  <si>
    <t>TH880 .C447 2021</t>
  </si>
  <si>
    <t>'1,2,10,11,12,13,14,16,17,18,19,20,20,11,17,31,31,31,31,31,31,33,34,35,36,37,38'</t>
  </si>
  <si>
    <t>Circular Economy : Challenges and Opportunities for Ethical and Sustainable Business</t>
  </si>
  <si>
    <t>HC79.E5 .C573 2022</t>
  </si>
  <si>
    <t>'1,2,42,44,44,44,45,44,44,44,45,47,48,49,50,51,53,54,55,56,57,58,59,60,63,65,66,67,68,,68'</t>
  </si>
  <si>
    <t>'1,4,6,8,10,9,11'</t>
  </si>
  <si>
    <t>Power-Switching Converters</t>
  </si>
  <si>
    <t>TK7881.15 .A54 2011</t>
  </si>
  <si>
    <t>'34'</t>
  </si>
  <si>
    <t>Nature and Nurture in Early Child Development</t>
  </si>
  <si>
    <t>155.42/2</t>
  </si>
  <si>
    <t>BF341 .N377 2011</t>
  </si>
  <si>
    <t>'263,264,265,266,267,268,269,270,271,272,273,274,275,276,277,278,279,280,281,282,283,284,285,286,287,288,289,290,291,292,293,294,295,296,297,298,299,300,301,302,303,304,305,306,307,308,309,310'</t>
  </si>
  <si>
    <t>Wise Leadership</t>
  </si>
  <si>
    <t>Michigan State University Press</t>
  </si>
  <si>
    <t>HD57</t>
  </si>
  <si>
    <t>50 Ways to Improve Your Weather Forecasting</t>
  </si>
  <si>
    <t>EC993.84.P54 2013eb</t>
  </si>
  <si>
    <t>'1,2,3,4,5,6,12,18,20,21,22,23,24,25,26,27,28,29,29,29,29,29,30,31,32,33,34,35,36,37,38'</t>
  </si>
  <si>
    <t>Mozilla/5.0 (Macintosh; Intel Mac OS X 10_15_7) AppleWebKit/537.36 (KHTML, like Gecko) Chrome/98.0.4758.102 Safari/537.36</t>
  </si>
  <si>
    <t>Treatise on Process Metallurgy, Volume 3: Industrial Processes : Industrial Processes</t>
  </si>
  <si>
    <t>Engineering: Chemical; Engineering; Engineering: Manufacturing</t>
  </si>
  <si>
    <t>TS205.T74 2014eb</t>
  </si>
  <si>
    <t>'44,45,73,75,76,77,78,80,79,81,82,83,84,86,87,88,90,91,6'</t>
  </si>
  <si>
    <t>'44,47,48,60,62,64,65,66,67,68,69,70,71,72'</t>
  </si>
  <si>
    <t>'65,69,70,70,72,72'</t>
  </si>
  <si>
    <t>'1,2,4,8,9,10,11,13,224,22,23,24,26,27,28,67,69,71,72,73,74,75,76,78,80,81,82,83,84,85,86,87,88,90,91,92,93,94,95,96,98,124,125'</t>
  </si>
  <si>
    <t>Introduction to UAV Systems</t>
  </si>
  <si>
    <t>Military Science; Engineering; Engineering: General</t>
  </si>
  <si>
    <t>UG1242.D7 -- F34 2012eb</t>
  </si>
  <si>
    <t>'1,3,5,4,6,7,8,9,10,10,10,12,9'</t>
  </si>
  <si>
    <t>The Collapse of the Kyoto Protocol and the Struggle to Slow Global Warming</t>
  </si>
  <si>
    <t>Environmental Studies; Science: Physics; Science</t>
  </si>
  <si>
    <t>363.738/74526</t>
  </si>
  <si>
    <t>QC981.8.G56 -- V53 2001eb</t>
  </si>
  <si>
    <t>'1,1,5,6,7,8,18,19,20,22,91,92,93'</t>
  </si>
  <si>
    <t>Small Unmanned Aircraft : Theory and Practice</t>
  </si>
  <si>
    <t>Engineering: General; Engineering; Military Science</t>
  </si>
  <si>
    <t>UG1242.D7 -- B43 2012eb</t>
  </si>
  <si>
    <t>'1,14,41'</t>
  </si>
  <si>
    <t>'44,44,46,47,47,48,49,51,52,53,54,55,56,57,58,59,60,61,62,63,64,65,66,67,68,69,70,71,44,6,73,72'</t>
  </si>
  <si>
    <t>'53,59'</t>
  </si>
  <si>
    <t>Building Academic Leadership Capacity : A Guide to Best Practices</t>
  </si>
  <si>
    <t>LB2341 -- .G553 2015eb</t>
  </si>
  <si>
    <t>'70'</t>
  </si>
  <si>
    <t>'134,136,137,139,142,144,146,147,149,150,151,154,153,152'</t>
  </si>
  <si>
    <t>Civil Liberties, National Security and Prospects for Consensus : Legal, Philosophical and Religious Perspectives</t>
  </si>
  <si>
    <t>342.08/5</t>
  </si>
  <si>
    <t>K3278 .C35 2012</t>
  </si>
  <si>
    <t>'13,3,4,14'</t>
  </si>
  <si>
    <t>'134,136,137,139,141,142,143,144'</t>
  </si>
  <si>
    <t>'1,41,42,15,16'</t>
  </si>
  <si>
    <t>'73,74,75,76,77,78,79,80,81,82,83,84,85,86,87,88,89,90'</t>
  </si>
  <si>
    <t>'1,2,3,5,7,8,9,10,11,12,17,18,20,22,23,24,26,27,28,29,30,31,32,33,34,35,36,37,38'</t>
  </si>
  <si>
    <t>'1,2,3,5,6,7,8,9,11,12,14'</t>
  </si>
  <si>
    <t>Automating Open Source Intelligence : Algorithms for OSINT</t>
  </si>
  <si>
    <t>JF1525.I6</t>
  </si>
  <si>
    <t>'1,2,3,4,5,6,7,8,9,10,11,12,13,14,15,16,17,18,19,20,21,22,170,171,172,173,174,175,176,177,178,179,1'</t>
  </si>
  <si>
    <t>'44,45,46,47,48,49,50,51,52,53,54,55,56,57,58,59,60,61,62,63,64,65,66,67,68,69,70,71,72'</t>
  </si>
  <si>
    <t>'1,31,75,76,,1,75'</t>
  </si>
  <si>
    <t>'1,2,3,4,31,32,33,34,35,36,37,38,39,40,41,42,43,44,45,46,47,48,49,50,51,52,53,54,55,56,57,58,59,60,61,62,63,64,65,66,67,68,69,70,71,72,73,74'</t>
  </si>
  <si>
    <t>Convection Heat Transfer</t>
  </si>
  <si>
    <t>'1,4,6,7,3,9,10,12,13,5,14,16,19,17,20,21,23,26,25,28'</t>
  </si>
  <si>
    <t>'1,1,3,4'</t>
  </si>
  <si>
    <t>'1,2,5,4,7'</t>
  </si>
  <si>
    <t>'1,39,3,4,6,7,9,10,12,15,16,18,19,21,22,23,25,26,27,29,31,30,28'</t>
  </si>
  <si>
    <t>Visual Guidance of Unmanned Aerial Manipulators</t>
  </si>
  <si>
    <t>'1,2,3,4,5,6,7,8,10,11,12,13,14'</t>
  </si>
  <si>
    <t>Performance, Stability, Dynamics, and Control of Airplanes</t>
  </si>
  <si>
    <t>TL671.4 -- .P28 2004eb</t>
  </si>
  <si>
    <t>'2,2,3,4,5,6,7,8,9,10,12,11,13,14,15'</t>
  </si>
  <si>
    <t>'1,2,,2,2'</t>
  </si>
  <si>
    <t>'1,24,25,27,29,26,28'</t>
  </si>
  <si>
    <t>Fundamental Spacecraft Dynamics and Control</t>
  </si>
  <si>
    <t>'241,,244,245,246,247,248,249,250,251,252,253,254,255,256,258,259,261,260,262,263,264,266,267,268,269,270,271,272,273,274,275,276,277,278,279,280,281,282,283,284,286,287,288,289,290,291,292,293,294,295,296,297,299,301,302,304,306,307,308,310,312,314,315,316,317,318,319,320,321,323,322,324,311,309,265,257,285'</t>
  </si>
  <si>
    <t>'292,293,294,295,296,297,298,299,300,301,302,303'</t>
  </si>
  <si>
    <t>Spacecraft Dynamics and Control : An Introduction</t>
  </si>
  <si>
    <t>629.4/1</t>
  </si>
  <si>
    <t>'122,122,123,125,59,60,61,63,64,62,66,65,67,68,70,71,72,73,74,75,76,77,78,79,217,218,219,220,221,222,223,273,274,275,276,277,278,279,280,281,282,283,284,285,286,287,288,289,535,536,537,538,523,482,483,484,485,486,487,488,490,492,493,494,495,496,497,498,499,500,447,448,449,450,451,452,453,446,429,430,431,432,433,434,435,436,437,438,439,440,441,405,406,407,408,409,410,411,412,413,414,415,416,417,418,419,420,421,422,424,425,426,427,423,428,379,380,381,382,383,384,385,386,365,366,367,368,272,,273,217,219,218,274,275,317,349,350,352,351'</t>
  </si>
  <si>
    <t>'496,497,498,499,500,501,502,503,504,505,506,482,483,484,485,486,487,488,489,490,491,492,493,494,495,496,497,498,499,500,501,502,503,504,505,506,507,508,509,510,511,512,513,514,515,516,517,518,519,520,521,522,447,448,449,450,451,452,453,454,455,456,457,458,459,460,461,462,463,464,465,466,467,468,469,470,471,472,473,474,475,476,477,478,479,480,481,429,430,431,432,433,434,435,436,437,438,439,440,441,442,443,444,445,446,,217,218,219,220,221,222,273,274,275,276,277,278,279,280,281,282,283,284,285,286,287,288,289,290,291,292,293,294,295,296,297,298,299,300,301,302,303,304,305,306,307,308,309,310,311,312,313,314,315,316'</t>
  </si>
  <si>
    <t>'1,2,3,33,35,36,37,51,191,192,194,261,263,264,265,267'</t>
  </si>
  <si>
    <t>Mozilla/5.0 (iPhone; CPU iPhone OS 16_0_2 like Mac OS X) AppleWebKit/605.1.15 (KHTML, like Gecko) Version/16.0 Mobile/15E148 Safari/604.1</t>
  </si>
  <si>
    <t>'1,2,3,4,5,6,7,8,9,10,11,12,13,14,15,16,17,18'</t>
  </si>
  <si>
    <t>'4,6,7,8,,8,,1,3,4,5,6,8,9,10,11,12,13,14,15,16,18,17,19,20,21,22,23,24,24,8,28,28,8,9,13,15,16,18,20,21,19,23,25,29,26,30,27,24'</t>
  </si>
  <si>
    <t>'1,4,7,6,5,8,9,57,56,58,59,60,61,62,63,65,66,68,69,70,71,73'</t>
  </si>
  <si>
    <t>City Watch : Discovering the Uncommon Chicago</t>
  </si>
  <si>
    <t>University of Iowa Press</t>
  </si>
  <si>
    <t>977.3/11043</t>
  </si>
  <si>
    <t>F548</t>
  </si>
  <si>
    <t>'1,1,2,3,4,5,6,7,8,10,11,12,13,14,15,16'</t>
  </si>
  <si>
    <t>The Watch That Ends the Night</t>
  </si>
  <si>
    <t>813/.54</t>
  </si>
  <si>
    <t>'1,2,3,4,5,6,7,8,9,10,11,12,13,14,15,16,17,18,19,20,21'</t>
  </si>
  <si>
    <t>Machine Learning with Pytorch and Scikit-Learn : Develop Machine Learning and Deep Learning Models with Python</t>
  </si>
  <si>
    <t>'10,11,12,13,14,15,16,17'</t>
  </si>
  <si>
    <t>Probability and Statistical Inference : From Basic Principles to Advanced Models</t>
  </si>
  <si>
    <t>QA273.2 .M387 2017</t>
  </si>
  <si>
    <t>'1,2,3,4,5,6,7,8,9,10,11,12,13,14,16,17,18,19,20,21,22,23,24,25,26,27,28,29,30,31,32,33'</t>
  </si>
  <si>
    <t>'1,2,3,4,6,6,6,6,8,9,11,13,14,15,17,18,19,21,22,25,24,23,26,27,29,30,32,33,34,35,2,1,3,3,34,34,1,25,26,27,29,30,31,28,27,27,34,34,35,35,35,35,35,35,35,36,37,38,39,40,41,42,44,44,,1,61,62,61,61,61'</t>
  </si>
  <si>
    <t>'33,34,35,36,37,38,39,40,41,42,43,44,45,46,47,48,49,50,51,52,53,54,55,56,57,58,59,60,,61,62,63,64,65,66,67,68,69,70,71,72,73,74,75,76,77,78,79,80,81,82,83,84,85,86,87,88,89,90,91,92,93,94,95,96,97,98,99,100,101,102,103,104,105,106,107,108,109,110,111,112'</t>
  </si>
  <si>
    <t>'14,14,15,17,1,3,4,7,8'</t>
  </si>
  <si>
    <t>'9,10,11,12,13,14'</t>
  </si>
  <si>
    <t>'1,3,2,4,5,5,7,8,9,10,11,12,14,,14'</t>
  </si>
  <si>
    <t>Islam and Modernity : Key Issues and Debates</t>
  </si>
  <si>
    <t>BP166.14.M63 -- I85 2009eb</t>
  </si>
  <si>
    <t>'1,1,2,3,4,5,6,7,8,9,10,11,12,176,212,213,211,210,209,208,207,206,205,204,203,202,201,200,199,198,197,196,195,194'</t>
  </si>
  <si>
    <t>'8,199,199,200'</t>
  </si>
  <si>
    <t>'1,1,20,19,21,30,29,83,82,85,158,159,160,304,305,428,429,525,526,523,522,517,510,501,498,497,499,500'</t>
  </si>
  <si>
    <t>Strategic Communication for Organizations</t>
  </si>
  <si>
    <t>'1,14,46,47,50,49,48,51,52,53,54,55,56,57,58'</t>
  </si>
  <si>
    <t>Reformist Voices of Islam : Mediating Islam and Modernity</t>
  </si>
  <si>
    <t>297.09/0511</t>
  </si>
  <si>
    <t>BP163 -- .R44 2009eb</t>
  </si>
  <si>
    <t>'1,1,149,150,151,27,148,147,152,153,155,156,157,158,159,160,161,162,163,164,165,166,167,168,169'</t>
  </si>
  <si>
    <t>'1,4,6'</t>
  </si>
  <si>
    <t>'1,1,1,1,,1,1,12,2,3,4,5,6,,1,1'</t>
  </si>
  <si>
    <t>Wahhābī Islam Facing the Challenges of Modernity : Dār Al-Iftā in the Modern Saudi State</t>
  </si>
  <si>
    <t>Law; Religion</t>
  </si>
  <si>
    <t>KBP69.S33 -- A38 2010eb</t>
  </si>
  <si>
    <t>'1,1,39,40,41,42,43,105,106'</t>
  </si>
  <si>
    <t>Environmental Engineering</t>
  </si>
  <si>
    <t>New Age International Ltd</t>
  </si>
  <si>
    <t>TD103.A1 -- D4 2009eb</t>
  </si>
  <si>
    <t>'1,1,79'</t>
  </si>
  <si>
    <t>The West's War Against Islamic State : Operation Inherent Resolve in Syria and Iraq</t>
  </si>
  <si>
    <t>I. B. Tauris &amp; Company, Limited</t>
  </si>
  <si>
    <t>HV6433.I722 .M864 2021</t>
  </si>
  <si>
    <t>'1,2,3,53,54'</t>
  </si>
  <si>
    <t>The Arab Spring : The End of Postcolonialism</t>
  </si>
  <si>
    <t>Zed Books</t>
  </si>
  <si>
    <t>JQ1850.A91.D33 2012</t>
  </si>
  <si>
    <t>Modern Electroplating</t>
  </si>
  <si>
    <t>Engineering: Manufacturing; Engineering</t>
  </si>
  <si>
    <t>671.7/32</t>
  </si>
  <si>
    <t>TS670 -- .M554 2010eb</t>
  </si>
  <si>
    <t>'1,1,38,39,65,225,226,227,228,229,230,231,232'</t>
  </si>
  <si>
    <t>Autism Spectrum Disorder</t>
  </si>
  <si>
    <t>RJ506.A9</t>
  </si>
  <si>
    <t>'4,5,7,9,18,19,20,21,22'</t>
  </si>
  <si>
    <t>'1,1,2,42,44,45,46,47,48,50,51,52,53,54,56,57,232,233'</t>
  </si>
  <si>
    <t>'1,21,22,23'</t>
  </si>
  <si>
    <t>Muslim Youth : Challenges, Opportunities and Expectations</t>
  </si>
  <si>
    <t>Religion; Social Science</t>
  </si>
  <si>
    <t>305.235088/297</t>
  </si>
  <si>
    <t>BP188.18.Y68</t>
  </si>
  <si>
    <t>'1,2,3,4,5,6,7,93,94,95,96,97,98,99,100,101,102,103,104,105'</t>
  </si>
  <si>
    <t>'432,433,434,435,436,437,438,439,440,441,442,443,444,445,446,447,448,449,450,451,452,453,454,455,456,457,458,459,460,461,462,463,464,465,466,467,468'</t>
  </si>
  <si>
    <t>Viscoelastic Modeling for Structural Analysis</t>
  </si>
  <si>
    <t>Engineering; Engineering: Civil</t>
  </si>
  <si>
    <t>TA647 .S254 2019</t>
  </si>
  <si>
    <t>'1,2,67,23,25,26,27,28,29,30,31,32,33,34,35,36,37,38,39,40,41,42,43,44,45,46,47,48,49,50,51,52,53,54,55,56,57,58,59,68,70,71,72,73,85,86,87,122'</t>
  </si>
  <si>
    <t>Isis : Ideology, Symbolics, and Counter Narratives</t>
  </si>
  <si>
    <t>HV6433.I722 .R353 2019</t>
  </si>
  <si>
    <t>The Long Case OSCE : The Ultimate Guide for Medical Students</t>
  </si>
  <si>
    <t>R834.5 .W355 2013</t>
  </si>
  <si>
    <t>The Arab Spring and Arab Thaw : Unfinished Revolutions and the Quest for Democracy</t>
  </si>
  <si>
    <t>JQ1850.A91 .A733 2016</t>
  </si>
  <si>
    <t>'1,2,3,5,6,7,8,11,56,57,24'</t>
  </si>
  <si>
    <t>'1,2,3,4,5,6,7,8,24,23'</t>
  </si>
  <si>
    <t>'5,5'</t>
  </si>
  <si>
    <t>Physics Of Chaos In Hamiltonian Systems, The (2nd Edition)</t>
  </si>
  <si>
    <t>Science: Physics; Mathematics; Science</t>
  </si>
  <si>
    <t>QC20.7.H35Z38 2007</t>
  </si>
  <si>
    <t>'1,2,5,6,7,8,11,13,14,80,81,81,82,3,2,25'</t>
  </si>
  <si>
    <t>'1,2,4,5,6,26,25,27,28,29,30,31,32'</t>
  </si>
  <si>
    <t>'1,41,42,43,11,13,15,16,17,18,19,20,21,22'</t>
  </si>
  <si>
    <t>'22'</t>
  </si>
  <si>
    <t>'1,2,5,6,7,11,12,13,14,15'</t>
  </si>
  <si>
    <t>'13,13'</t>
  </si>
  <si>
    <t>Islamic Cultures, Islamic Contexts : Essays in Honor of Professor Patricia Crone</t>
  </si>
  <si>
    <t>909/.09767</t>
  </si>
  <si>
    <t>Introduction to Python Programming</t>
  </si>
  <si>
    <t>005.13/3</t>
  </si>
  <si>
    <t>'1,22,23,56,57,58,55,59,60'</t>
  </si>
  <si>
    <t>Mozilla/5.0 (Macintosh; Intel Mac OS X 10_14_6) AppleWebKit/605.1.15 (KHTML, like Gecko) Version/13.0.3 Safari/605.1.15</t>
  </si>
  <si>
    <t>CISSP: Certified Information Systems Security Professional Study Guide : Certified Information Systems Security Professional Study Guide</t>
  </si>
  <si>
    <t>QA76.9.A25T58 2005</t>
  </si>
  <si>
    <t>12th International Symposium on Process Systems Engineering and 25th European Symposium on Computer Aided Process Engineering : Parts a, B and C</t>
  </si>
  <si>
    <t>Engineering; Business/Management; Engineering: Chemical</t>
  </si>
  <si>
    <t>TS176 -- .I584 2015eb</t>
  </si>
  <si>
    <t>'1,2,2,2,14,4,5,5,4'</t>
  </si>
  <si>
    <t>'1,4,6,6,6,7,6,6,9,14,1655,1656,,1,,1'</t>
  </si>
  <si>
    <t>'6,7,8,9,10,11,12,13,14,15,16,17,18,19'</t>
  </si>
  <si>
    <t>High Performance Liquid Chromatography : Theory, Instrumentation and Application in Drug Quality Control</t>
  </si>
  <si>
    <t>QD75 .O437 2022</t>
  </si>
  <si>
    <t>'19,,17,18,21,22,23,24,25,26,27,28,29,30,31,33'</t>
  </si>
  <si>
    <t>Greek Thought, Arabic Culture : The Graeco-Arabic Translation Movement in Baghdad and Early 'Abbasaid Society (2nd-4th/5th-10th C. )</t>
  </si>
  <si>
    <t>Geography/Travel; History</t>
  </si>
  <si>
    <t>DS36.82.G7$bG88 1998</t>
  </si>
  <si>
    <t>'1,3,19,20,22'</t>
  </si>
  <si>
    <t>Semiconductor Thermoelectric Generators</t>
  </si>
  <si>
    <t>Practical Handbook of Photovoltaics : Fundamentals and Applications</t>
  </si>
  <si>
    <t>621.3815/42</t>
  </si>
  <si>
    <t>TK8322.P73 2012</t>
  </si>
  <si>
    <t>'1,422,424,425,426,427,428'</t>
  </si>
  <si>
    <t>Finite Element Model Updating in Structural Dynamics</t>
  </si>
  <si>
    <t>624.1/71</t>
  </si>
  <si>
    <t>TA352-356</t>
  </si>
  <si>
    <t>'1,6,5,7,8,93'</t>
  </si>
  <si>
    <t>'1,1,225,226,227,228,229,230,231,527,528,529,530,531,533'</t>
  </si>
  <si>
    <t>Electrodeposition: Properties, Processes and Applications : Properties, Processes and Applications</t>
  </si>
  <si>
    <t>TS693 -- .E44 2012eb</t>
  </si>
  <si>
    <t>'1,2,4,15,16,201,202,203,203,203,204,205,206,207,209,211,212,213,195,184,205,96'</t>
  </si>
  <si>
    <t>'58,59,60,61,62,63,64,65,66,67,68,69,70,,1,2,3,2,3,,3,4,4,1,1'</t>
  </si>
  <si>
    <t>'1,7,8,10,11,12,13,14,15,16,18,17,19,20,21,22'</t>
  </si>
  <si>
    <t>'30,32,31,33,34,35,36,37,38,39,40,41,42,43,44'</t>
  </si>
  <si>
    <t>Concepts in Thermal Physics</t>
  </si>
  <si>
    <t>QC254.2 -- .B58 2006eb</t>
  </si>
  <si>
    <t>'1,3,4,6,12,13,81'</t>
  </si>
  <si>
    <t>'1,3,146,248,248,143,142,141,140,144,189,239'</t>
  </si>
  <si>
    <t>'142'</t>
  </si>
  <si>
    <t>Electronic Structure of Materials : Challenges and Developments</t>
  </si>
  <si>
    <t>TK7816 .E443 2019</t>
  </si>
  <si>
    <t>'12,13,14,15'</t>
  </si>
  <si>
    <t>Electrical Impedance Tomography : Methods, History and Applications</t>
  </si>
  <si>
    <t>RC78.7.E45 E443 2022</t>
  </si>
  <si>
    <t>'1,2,4,20,25,25,25,25,25,25,25,24,23,22,32,33,34'</t>
  </si>
  <si>
    <t>'1,63,3,4,5,6,13,14,15,17,,13,13'</t>
  </si>
  <si>
    <t>The World Community and the Arab Spring</t>
  </si>
  <si>
    <t>'1,1,38,39,40,126,129'</t>
  </si>
  <si>
    <t>The Unfinished Arab Spring : Micro-Dynamics of Revolts Between Change and Continuity</t>
  </si>
  <si>
    <t>Gingko Library</t>
  </si>
  <si>
    <t>JQ1850.A91$b.U545 2020</t>
  </si>
  <si>
    <t>'1,1,241,242,285,286'</t>
  </si>
  <si>
    <t>Islam and Democracy : Perspectives on the Arab Spring</t>
  </si>
  <si>
    <t>Cambridge Scholars Publisher</t>
  </si>
  <si>
    <t>956.05/4</t>
  </si>
  <si>
    <t>JQ1850.A91 -- I845 2013eb</t>
  </si>
  <si>
    <t>'1,2,3,4,5,6,7,7,23,22,27,26'</t>
  </si>
  <si>
    <t>'30,1'</t>
  </si>
  <si>
    <t>'1,2,3,4,5,6,7,8,9,29,30,,19'</t>
  </si>
  <si>
    <t>'19,20,21,22,23,24,25,26,27,28,,29,30,31,32,33,34,35,36,37,38,39,40,41,42,43,44'</t>
  </si>
  <si>
    <t>UFO Secrets Inside Wright-Patterson : Eyewitness Accounts from the Real Area 51</t>
  </si>
  <si>
    <t>Red Wheel/Weiser</t>
  </si>
  <si>
    <t>General Works/Reference; Engineering: Mechanical; Engineering</t>
  </si>
  <si>
    <t>TL789.4 .C374 2019</t>
  </si>
  <si>
    <t>'1,3,4,5'</t>
  </si>
  <si>
    <t>Smart Textiles : Wearable Nanotechnology</t>
  </si>
  <si>
    <t>'1,1,34,33,68,165,166,199,212,211'</t>
  </si>
  <si>
    <t>UFOs, Chemtrails, and Aliens : What Science Says</t>
  </si>
  <si>
    <t>General Works/Reference; Philosophy</t>
  </si>
  <si>
    <t>BF2050.P7682 2017</t>
  </si>
  <si>
    <t>'1,22,21'</t>
  </si>
  <si>
    <t>Shape Memory and Superelastic Alloys : Applications and Technologies</t>
  </si>
  <si>
    <t>TA487 -- .S53 2011eb</t>
  </si>
  <si>
    <t>'1,2,3,4,5,6,8,9,10,11,12,13,14,16,17,18,19,20,21,22,23,24,25,26,27'</t>
  </si>
  <si>
    <t>Intelligence Analysis : Behavioral and Social Scientific Foundations</t>
  </si>
  <si>
    <t>'1,5,9,4,6,7,8,10,11,12,13,14,15,16,17,18,19,20,21,22,23,24,25,26,27,28,29,30,31,32,33,34,35,36,37,38,39,40,41,42,43,44,45,46,47'</t>
  </si>
  <si>
    <t>Theory and Praxis : Reflections on the Colonization of Knowledge</t>
  </si>
  <si>
    <t>Philosophy; General Works/Reference</t>
  </si>
  <si>
    <t>BD161 .T446 2020</t>
  </si>
  <si>
    <t>'1,8,9,10'</t>
  </si>
  <si>
    <t>'1,2,12,11,13,13,18,81,82,83'</t>
  </si>
  <si>
    <t>Handbook of Plastics Joining : A Practical Guide</t>
  </si>
  <si>
    <t>TP1160.H36 2008</t>
  </si>
  <si>
    <t>'1,2,186,122,122'</t>
  </si>
  <si>
    <t>In-Situ Characterization of Heterogeneous Catalysts</t>
  </si>
  <si>
    <t>541/.395</t>
  </si>
  <si>
    <t>QD505 -- .I49 2013eb</t>
  </si>
  <si>
    <t>'381,382,383,387,388,389,390,391,393,394,395,396,397,399'</t>
  </si>
  <si>
    <t>'133,134,135,136,137,138,139,140,141,142,143,144,145,146,147,148,149,150,151,152,153,154,155,156,157,158,,253,254,255,256,257,258,259,260,261,262,263,264,265,266,267,268,269,270,271,272,273,274,275,276,277,278,,279,280,281,282,283,284,285,286,287,288,289,290,291,292,293,294,295,296,297,298,299,300,301,302,303,304'</t>
  </si>
  <si>
    <t>Reaction Engineering, Catalyst Preparation, and Kinetics</t>
  </si>
  <si>
    <t>TP155.7 .M373 2021</t>
  </si>
  <si>
    <t>'18,19,21,22,23,24,27,28,29,30,31,32,33,34,36,38,40,41,40,40,41,42,43'</t>
  </si>
  <si>
    <t>Environmental Microbiology for Engineers</t>
  </si>
  <si>
    <t>Science: Biology/Natural History; Science</t>
  </si>
  <si>
    <t>579/.17</t>
  </si>
  <si>
    <t>QR100 .I936 2020</t>
  </si>
  <si>
    <t>Exploring Degrowth : A Critical Guide</t>
  </si>
  <si>
    <t>Pluto Press</t>
  </si>
  <si>
    <t>Environmental Studies; Science; Science: Physics</t>
  </si>
  <si>
    <t>QC903 .L544 2020</t>
  </si>
  <si>
    <t>'1,1,28,27'</t>
  </si>
  <si>
    <t>'1,2,3,4,5,6,7,8,9,10,11,58,57'</t>
  </si>
  <si>
    <t>'1,77,78,79,80,81,63,64,65,66'</t>
  </si>
  <si>
    <t>'142,,142,143,144,141,145'</t>
  </si>
  <si>
    <t>Parallel Computing: Accelerating Computational Science and Engineering (CSE)</t>
  </si>
  <si>
    <t>'53,153,233,365,54,154,234,235,366,367,238,155'</t>
  </si>
  <si>
    <t>Application Of Neural Networks And Other Learning Technologies In Process Engineering</t>
  </si>
  <si>
    <t>QA76.87.A62 2001</t>
  </si>
  <si>
    <t>'1,138,139,140,141,142,143,144,145,146,286,287,288,289,290,291,292'</t>
  </si>
  <si>
    <t>Hands-On Neuroevolution with Python : Build High-Performing Artificial Neural Network Architectures Using Neuroevolution-based Algorithms</t>
  </si>
  <si>
    <t>QA76.87$b.O445 2019</t>
  </si>
  <si>
    <t>'1,2,4,23,24,24,24,24,,26'</t>
  </si>
  <si>
    <t>'123,122,82,84,85,86,87,88,89,90,87,87'</t>
  </si>
  <si>
    <t>'86,86,87,89'</t>
  </si>
  <si>
    <t>'123,82,83,84,85'</t>
  </si>
  <si>
    <t>'85'</t>
  </si>
  <si>
    <t>X-Ray Absorption and X-Ray Emission Spectroscopy : Theory and Applications</t>
  </si>
  <si>
    <t>Science; Science: Chemistry; Science: Astronomy</t>
  </si>
  <si>
    <t>QD96.X2 -- .X1924 2016eb</t>
  </si>
  <si>
    <t>'9,12,13,14,17,20,25,26,27,28,29,30,31,32,33'</t>
  </si>
  <si>
    <t>British Chess Literature To 1914 : A Handbook for Historians</t>
  </si>
  <si>
    <t>GV1330.G7 .H37 2018</t>
  </si>
  <si>
    <t>'1,3,5,6,7,8,9,11,12,13,14,15,16,17,282,283,284,285,286,288'</t>
  </si>
  <si>
    <t>'1,7,,7'</t>
  </si>
  <si>
    <t>Shape Memory Alloy Engineering : For Aerospace, Structural, and Biomedical Applications</t>
  </si>
  <si>
    <t>TA487 .S537 2021</t>
  </si>
  <si>
    <t>'1,160,161,162,163,164,166,242,243,244,245,246,248,249,250,251,252,253,254,672,671,674,675,676'</t>
  </si>
  <si>
    <t>'1,2,19'</t>
  </si>
  <si>
    <t>Testing and Assessment in Counseling Practice</t>
  </si>
  <si>
    <t>150/.28/7</t>
  </si>
  <si>
    <t>BF176 -- .T423 2000eb</t>
  </si>
  <si>
    <t>'28,29,30'</t>
  </si>
  <si>
    <t>'1,33,34,35,36,37'</t>
  </si>
  <si>
    <t>Fundamentals of Magnesium Alloy Metallurgy</t>
  </si>
  <si>
    <t>Engineering; Engineering: Civil; Engineering: Chemical</t>
  </si>
  <si>
    <t>669/.96723</t>
  </si>
  <si>
    <t>TA480.M3.F86 2013eb</t>
  </si>
  <si>
    <t>'1,1,2,46,165,165'</t>
  </si>
  <si>
    <t>Flight Dynamics Principles : A Linear Systems Approach to Aircraft Stability and Control</t>
  </si>
  <si>
    <t>629.132/3</t>
  </si>
  <si>
    <t>TL570.C66 2007</t>
  </si>
  <si>
    <t>The Warren Buffett Way</t>
  </si>
  <si>
    <t>HG172.B84.H34 2014eb</t>
  </si>
  <si>
    <t>'1,3,9'</t>
  </si>
  <si>
    <t>'1,7,8,8,9,10,11,12,13,10,63,64,76,75,7,8,9,197,198,199,200,201,202,21,20,19,17,16,15,229,230,231,232,233,234,235'</t>
  </si>
  <si>
    <t>'1,6,7,28,29,30'</t>
  </si>
  <si>
    <t>Wastewater Treatment Concepts and Practices</t>
  </si>
  <si>
    <t>Momentum Press</t>
  </si>
  <si>
    <t>TD745</t>
  </si>
  <si>
    <t>'76,77,77,77,78,79,80,82,83,85,86,87,88,89,90,91'</t>
  </si>
  <si>
    <t>'56,57,58,59,60,61,62,63,64,65,66,67,68,69,70,71,72,73,74,75'</t>
  </si>
  <si>
    <t>Revolutionizing Aircraft Materials and Processes</t>
  </si>
  <si>
    <t>TA459-492</t>
  </si>
  <si>
    <t>'1,340,28,29,30,27'</t>
  </si>
  <si>
    <t>'1,2,3,4,5,6,8,9,26,27'</t>
  </si>
  <si>
    <t>Flatlined : Why Lean Transformations Fail and What to Do about It</t>
  </si>
  <si>
    <t>Productivity Press</t>
  </si>
  <si>
    <t>HD58.9$b.D458 2020</t>
  </si>
  <si>
    <t>'1,1,1,8,10,11,12,13,14,24'</t>
  </si>
  <si>
    <t>Mozilla/5.0 (Macintosh; Intel Mac OS X 10_15_7) AppleWebKit/605.1.15 (KHTML, like Gecko) Version/14.1.2 Safari/605.1.15</t>
  </si>
  <si>
    <t>Unconventional Techniques for the Production of Light Alloys and Composites</t>
  </si>
  <si>
    <t>'1,198,199,200,201'</t>
  </si>
  <si>
    <t>'1,11,12,13'</t>
  </si>
  <si>
    <t>'1,186,187,188,189,190,191,192,193,194,195,196,197,198,199,201,203,206,205,207,208,209,210,211,212,213,214,215,216'</t>
  </si>
  <si>
    <t>'1,2,3,9,10,11,12,8,58,58,59,60,61'</t>
  </si>
  <si>
    <t>'134,134,,136,137,140,142,144'</t>
  </si>
  <si>
    <t>Dubai Amplified : The Engineering of a Port Geography</t>
  </si>
  <si>
    <t>HE560.D76 -- R36 2010eb</t>
  </si>
  <si>
    <t>'200,201,202,203,204,205,206,207,208,209,210,211,212,213'</t>
  </si>
  <si>
    <t>'90,91,92,93,94,95,96,97,98,99,100,101,102,103,104,105,106,107,108,109,110,111,112,113,114,115,116,117,118,119,,1,2,3,4,5,,6,7,,8,9,,10,11,,12,13'</t>
  </si>
  <si>
    <t>'120,121,122,123,124,125,126,127,128,129,130,131,132,133,134,135,136,137,138,139,140,141,142,143,144,145,146,147,148,149,150,151,,178,179,180,181,182,183,184,185,,186,187,188,189,190,191,192,193,194,195,196,197,198,199'</t>
  </si>
  <si>
    <t>'64,65,66,67,68,69,70,71,72,73,74,75,76,77,78,79,80,81,82,83,84,85,86,87,88,89,,64,65,66,67,68,69,70,71,72,73,74,75,76,77,78,79,80,81,82,83,84,85,86,87,88,89,,,152,153,154,155,156,157,158,159,160,161,162,163,164,165,166,167,168,169,170,171,172,173,174,175,176,177'</t>
  </si>
  <si>
    <t>Racial Trauma in the School System : Naming the Pain</t>
  </si>
  <si>
    <t>BF175.4.R34 H363 2022</t>
  </si>
  <si>
    <t>'1,2,15,11,10,12,17,19'</t>
  </si>
  <si>
    <t>Mozilla/5.0 (Macintosh; Intel Mac OS X 10_15_6) AppleWebKit/605.1.15 (KHTML, like Gecko) Version/14.0 Safari/605.1.15</t>
  </si>
  <si>
    <t>AI for Cars</t>
  </si>
  <si>
    <t>TL272.5 .A955 2022</t>
  </si>
  <si>
    <t>'1,1,1,2,3'</t>
  </si>
  <si>
    <t>Mozilla/5.0 (X11; Linux x86_64; rv:107.0) Gecko/20100101 Firefox/107.0</t>
  </si>
  <si>
    <t>Prosthetic Restoration and Rehabilitation of the Upper and Lower Extremity</t>
  </si>
  <si>
    <t>Springer Publishing Company, Incorporated</t>
  </si>
  <si>
    <t>RD130.P76 2013eb</t>
  </si>
  <si>
    <t>'1,282,281,110,109,111,112,113,114,115'</t>
  </si>
  <si>
    <t>'141,143,144,145,146,147,148,150,140'</t>
  </si>
  <si>
    <t>Analysis of Pile Foundations Subject to Static and Dynamic Loading</t>
  </si>
  <si>
    <t>TA780 .A535 2021</t>
  </si>
  <si>
    <t>'123,30'</t>
  </si>
  <si>
    <t>'30,30'</t>
  </si>
  <si>
    <t>Waste Management As Economic Industry Towards Circular Economy</t>
  </si>
  <si>
    <t>Engineering; Business/Management; Engineering: Environmental</t>
  </si>
  <si>
    <t>HD9502-9502.5</t>
  </si>
  <si>
    <t>'1,2,4,192,193,194,195,196,197,198,199,200'</t>
  </si>
  <si>
    <t>Mozilla/5.0 (Macintosh; Intel Mac OS X 10_13_6) AppleWebKit/537.36 (KHTML, like Gecko) Chrome/105.0.0.0 Safari/537.36</t>
  </si>
  <si>
    <t>'1,2,3,4,5,6,7,9,10,11,12,13,8,334,335,336,337,338,339,340,341,342,343'</t>
  </si>
  <si>
    <t>'123,30,31'</t>
  </si>
  <si>
    <t>The Cutting Edge : Conserving Wildlife in Logged Tropical Forests</t>
  </si>
  <si>
    <t>Environmental Studies; Economics; Science; Science: Zoology</t>
  </si>
  <si>
    <t>QL109 -- .C66 2001eb</t>
  </si>
  <si>
    <t>'1,2,,1,324,325,325,324,326,327,328,329,330,331,332,333,334,335,336,337,338,339,340,341,342,343,344,345,346,347,348,349,350,351,352,353,354,368,369,370,371,372,373,99,100,101,102,103,104,105,106,107,108,109,110,111,112,113,114,115,117,118,119,121,122,123,124,125,126,127,128,129,130,131,65,66,67,68,69,70,70,70,71,72,87,88,89,90,91,92,99,100,102,103,104,105,106,107,108,109,110,111,341,342,343,344,346,64,65,66,67,68,69,73,74,101,324,325,326,327,328,329,330,520,522,523,524,525,526,527,528,353,354,355,356,357,359,360,363,368,369,370,371,372,373,374,375,376,377,378,379,380,197,135'</t>
  </si>
  <si>
    <t>'1,62,63,65,66,69,70,71,72,73,74,75,76,40,41,42,44,46,47,48,49,50,51,52,53,54,56,57,58,30,31,32,33,34,35,36,37,38,43,45,48,25,49,55,60,61,62,63,64,66,67,69,70,71,72,73,74,75'</t>
  </si>
  <si>
    <t>'74,74,74,75'</t>
  </si>
  <si>
    <t>'1,48,49,50,54,51'</t>
  </si>
  <si>
    <t>'1,44,45,46,47,48,48'</t>
  </si>
  <si>
    <t>'1,44,44,44,45,45,45,45,44,46,43,41,45'</t>
  </si>
  <si>
    <t>'1,3,4,5,6,7,8,9,23,21,20,22,24,14,,1,4,14,15,3,2,5'</t>
  </si>
  <si>
    <t>'1,5,2,3,4,6'</t>
  </si>
  <si>
    <t>Islamic Reform and Arab Nationalism : Expanding the Crescent from the Mediterranean to the Indian Ocean (1880s-1930s)</t>
  </si>
  <si>
    <t>DS63.6 -- .G465 2010eb</t>
  </si>
  <si>
    <t>'1,2,3,2,3,3,3,3,4,5,6,7,8,9,10,11'</t>
  </si>
  <si>
    <t>Postcolonialism and Islam : Theory, Literature, Culture, Society and Film</t>
  </si>
  <si>
    <t>B831.2 .P634 2013</t>
  </si>
  <si>
    <t>'1,2,3,4,5,6,7,8,9,10,11,12,13,14,16,17,18,19,20,80'</t>
  </si>
  <si>
    <t>'1,,1,2'</t>
  </si>
  <si>
    <t>'1,2,3,4,4'</t>
  </si>
  <si>
    <t>'1,1,5,6,7,8,9,10,11,12,13,14,15,15,15,3,1,9,45'</t>
  </si>
  <si>
    <t>'45'</t>
  </si>
  <si>
    <t>'1,167'</t>
  </si>
  <si>
    <t>'167,168,169,170,171,172,173,174,175,176,177,178,179,180,181,182,183,184,185,186,187,188,189,190,191,,246,247,248,249,250,251,252,253,254,255,256,257,258,259,260,261,262,263,264,265,266,267,268,269'</t>
  </si>
  <si>
    <t>'1,2,121,123,122,124,125,126,127,128,312,313,314,315,316,317,318,319,320'</t>
  </si>
  <si>
    <t>Future of Glycerol</t>
  </si>
  <si>
    <t>TP973 -- .P34 2010eb</t>
  </si>
  <si>
    <t>'1,1,13,63,87,87,134,140,141'</t>
  </si>
  <si>
    <t>Starbucks, 2nd Edition</t>
  </si>
  <si>
    <t>ABC-CLIO, LLC</t>
  </si>
  <si>
    <t>HD9199.U54 B877 2022</t>
  </si>
  <si>
    <t>'1,3,5,6,7,8,9,11,12,13,14,10,118,119,120,121,122,122,12,19,36,46,130,131'</t>
  </si>
  <si>
    <t>'123,124,125,126,127,128,130,131,132,133,135,137,138,139,140,141,142,145,144,30'</t>
  </si>
  <si>
    <t>'30'</t>
  </si>
  <si>
    <t>Choices : Inside the Making of India's Foreign Policy</t>
  </si>
  <si>
    <t>DS449.M46 2016</t>
  </si>
  <si>
    <t>'1,74,74,114,75,76,73,77,78,79,80,81'</t>
  </si>
  <si>
    <t>Ageing in the Modern Arabic Novel</t>
  </si>
  <si>
    <t>'1,2,3,4,6,7,11,12'</t>
  </si>
  <si>
    <t>Market Entry Strategies : Internationalization Theories, Concepts and Cases of Asian High-Technology Firms: Haier, Hon Hai Precision, Lenovo, LG Electronics, Panasonic, Samsung, Sharp, Sony, TCL, Xiaomi</t>
  </si>
  <si>
    <t>HF1416</t>
  </si>
  <si>
    <t>'140,141,141,6,9,10,148,155,242,242'</t>
  </si>
  <si>
    <t>Mozilla/5.0 (Macintosh; Intel Mac OS X 10.15; rv:92.0) Gecko/20100101 Firefox/92.0</t>
  </si>
  <si>
    <t>'1,3,6,8,10,11,13,15,17,18,20,21,22,24,26,27,4,5'</t>
  </si>
  <si>
    <t>Islam and Higher Education : Concepts, Challenges and Opportunities</t>
  </si>
  <si>
    <t>LA1498 .M84 2012</t>
  </si>
  <si>
    <t>'18,19,20,21,22,23,24,25,26'</t>
  </si>
  <si>
    <t>'1,45,38,46,47,49,48,50,44,43,18'</t>
  </si>
  <si>
    <t>'22,22,2,3,6,7,8,13,14,17,18,20,54,38,37,36,32,30,28,29,31,33,34,35,39,40,41,42,43,44,45,46,47,48,49,50,51,52,53,56,57,58,59,60,61,62,63,64,66,65,68,70,71,72,73,75,76,77,80,81,82,83,85,86,87,88,89,90,91,92,93,94,95,96,98,99,100,101,102,103,104,105,107,108,109,111,112,113,114,115,116,117,119,121,123,124'</t>
  </si>
  <si>
    <t>'29,30,32,36,51'</t>
  </si>
  <si>
    <t>'1,2,3,4,5,,6,,12,13,14,15,16,17,18,19,20,21,22,23,24,25,26,27,28,29,30,31,32,33'</t>
  </si>
  <si>
    <t>'1,3,3,2,5,6,8,10,11,12,13,14,15,16,17,18,19,21,22,24,26,27,28,30,32,33'</t>
  </si>
  <si>
    <t>Mozilla/5.0 (iPad; CPU OS 15_6 like Mac OS X) AppleWebKit/605.1.15 (KHTML, like Gecko) GSA/236.0.484392333 Mobile/15E148 Safari/604.1</t>
  </si>
  <si>
    <t>Emerging Contaminants in Soil and Groundwater Systems : Occurrence, Impact, Fate and Transport</t>
  </si>
  <si>
    <t>TD878 .E447 2022</t>
  </si>
  <si>
    <t>'266'</t>
  </si>
  <si>
    <t>'1,2,3,5,6,7,8,9,10,11,410,409,411,412,413,414'</t>
  </si>
  <si>
    <t>'413,414,413,414'</t>
  </si>
  <si>
    <t>Sustainable Energy, Second Edition : Choosing among Options</t>
  </si>
  <si>
    <t>Economics; Engineering: Mechanical; Engineering; Environmental Studies</t>
  </si>
  <si>
    <t>333.79/4</t>
  </si>
  <si>
    <t>TJ808 -- .S85 2012eb</t>
  </si>
  <si>
    <t>'534,535,536,537,538,539,540,541,542,543,544,545,546,547,548,549,550,551,552,553,554,555,556,557,558,559,560,561,562,563,564,565,566,567,568,569,570,571,572,573,574,575'</t>
  </si>
  <si>
    <t>Porous Media : Heat and Mass Transfer, Transport and Mechanics</t>
  </si>
  <si>
    <t>620.1/169</t>
  </si>
  <si>
    <t>TA418.9.P6 -- P68 2009eb</t>
  </si>
  <si>
    <t>'3,4,5,,13,14,15,16,17,18,19,20,21,22,23,24,25,26,27,28,29,30,31,32,33,34,35,36,37,38'</t>
  </si>
  <si>
    <t>'30,1106,1108,1109,1110,1111,1034,1033,1035,1036,1037,1038,1039,1040,1041,1043,1045,1046,1047,1048,1049,1050,1051,1052,1053,1054,1055,1056,1057,1058,1059,1060,1061,1062,1063,1064,1065,1066,1068,1070,940,939,941'</t>
  </si>
  <si>
    <t>'30,1106,1107,1108,1034,1033,1035,1036,1037'</t>
  </si>
  <si>
    <t>Growing Up Muslim : Muslim College Students in America Tell Their Life Stories</t>
  </si>
  <si>
    <t>Cornell University Press</t>
  </si>
  <si>
    <t>LD1435</t>
  </si>
  <si>
    <t>'1,3,2,5,7,9,10,11,12,15,17,19,18,20,21,,1,3,4,5,6,7,10,9,13,14,18,20,21'</t>
  </si>
  <si>
    <t>'1,4,8,11,9,10,10'</t>
  </si>
  <si>
    <t>The Modular Housing Handbook</t>
  </si>
  <si>
    <t>NA7328 .B395 2020</t>
  </si>
  <si>
    <t>'156,157,158,159,160,161,162,163,164,165,166,167,168,169,170,171,171,172,173,174,175,176,177,169,168,170'</t>
  </si>
  <si>
    <t>Mozilla/5.0 (Windows NT 10.0; Win64; x64) AppleWebKit/537.36 (KHTML, like Gecko) Chrome/107.0.0.0 Safari/537.36 Edg/107.0.1418.35</t>
  </si>
  <si>
    <t>Modular Systems for Energy Usage Management</t>
  </si>
  <si>
    <t>Engineering: Mechanical; Engineering; Environmental Studies; Economics</t>
  </si>
  <si>
    <t>TJ163.3 .S534 2020</t>
  </si>
  <si>
    <t>'30,31,32,33'</t>
  </si>
  <si>
    <t>'30,422,442,421,432,427,426,428,430,429,425'</t>
  </si>
  <si>
    <t>Strengthening Anti-Racist Educational Leaders : Advocating for Racial Equity in Turbulent Times</t>
  </si>
  <si>
    <t>LC212.2 .S774 2022</t>
  </si>
  <si>
    <t>'1,2,3,4,5,6'</t>
  </si>
  <si>
    <t>Pain Control in Ambulatory Surgery Centers</t>
  </si>
  <si>
    <t>RD78.3-87.3</t>
  </si>
  <si>
    <t>'19,1,20,21,22,23,24,25,26,27,28'</t>
  </si>
  <si>
    <t>'30,31,32,33,34,35,36,37,38,39,40,41,42,43,44,45,46,47,48,49,50,52,51,53,54,55,102,101,103,422,424,425'</t>
  </si>
  <si>
    <t>'1,58,57,59,60,61,62,53'</t>
  </si>
  <si>
    <t>Inhaled Sedation in the Intensive Care Unit : A New Option and Its Technical Prerequisites</t>
  </si>
  <si>
    <t>RC86-88.9</t>
  </si>
  <si>
    <t>'11,12,13,14,15,16,17,18,19,20,21,22,23,24'</t>
  </si>
  <si>
    <t>'1,585,586,587,,1,2,528,527,524'</t>
  </si>
  <si>
    <t>'1,2,1,4,5'</t>
  </si>
  <si>
    <t>Mozilla/5.0 (iPhone; CPU iPhone OS 15_6 like Mac OS X) AppleWebKit/605.1.15 (KHTML, like Gecko) Version/15.6 Mobile/15E148 Safari/604.1</t>
  </si>
  <si>
    <t>Diagnosing the Diagnostic and Statistical Manual of Mental Disorders : Fifth Edition</t>
  </si>
  <si>
    <t>RC455.2.C4 -- .C667 2014eb</t>
  </si>
  <si>
    <t>'1,3,10,11,6,7,18,17,19,20,20,21,23'</t>
  </si>
  <si>
    <t>'1,16,19,18,21,20,22,23,24,25,26,27,28,29,30,31,32,33,96,97,98,99,100,101,102,103,104,105,107,108,109,110,262,263,264,266,269'</t>
  </si>
  <si>
    <t>Physics of Radiology</t>
  </si>
  <si>
    <t>Charles C. Thomas Publisher, Limited</t>
  </si>
  <si>
    <t>616.07/57;616.0757</t>
  </si>
  <si>
    <t>R895 .J6 1987</t>
  </si>
  <si>
    <t>'1,2,3,4,5,5,7,8,11,29,30,58,93,124,154,188,221,220,222,223,224,225,226,227,238,583,668'</t>
  </si>
  <si>
    <t>Origin and Mineralogy of Clays : Clays and the Environment</t>
  </si>
  <si>
    <t>Springer Berlin / Heidelberg</t>
  </si>
  <si>
    <t>552/.5</t>
  </si>
  <si>
    <t>QE514-516.5</t>
  </si>
  <si>
    <t>'176,177,178,179,180,181,182,183,184,185,186,187,188,189,190,191,192,193,194,195,196,197,198,199,200'</t>
  </si>
  <si>
    <t>'1,44,44,44,45,44,44,45,45,45,46,46,46,46,47,47,48,49,50,51,52,53,54,55,57,56,58,59,60,61,54,182,,44,46,48,50,52,47,51,54,56,57,58,59,58,109,59,60,61,62,63,64,65,66,67,68,69,70,71,72,73'</t>
  </si>
  <si>
    <t>'44,54,,62'</t>
  </si>
  <si>
    <t>Gravitational Waves and Cosmology</t>
  </si>
  <si>
    <t>Plug-In Electric Vehicle Grid Integration</t>
  </si>
  <si>
    <t>TL220 .B397 2017</t>
  </si>
  <si>
    <t>'18,19,20,21,22,23,24,25,26,27,28,29,30,31,32,33,34,35,36,37,38,39,,284,285,286,287,288,289,,262,263,264,265,266,267,268,269,270,271,272,273,274,275,276,277,278,279'</t>
  </si>
  <si>
    <t>Medieval Philosophy of Religion : The History of Western Philosophy of Religion, Volume 2</t>
  </si>
  <si>
    <t>BL51 .H572 2014</t>
  </si>
  <si>
    <t>Smart Grid Standards : Specifications, Requirements, and Technologies</t>
  </si>
  <si>
    <t>621.3102/18</t>
  </si>
  <si>
    <t>TK3105 -- .S25 2015eb</t>
  </si>
  <si>
    <t>'1,2,3,4,,55,56,57,58,59,60,61,62,63,64,65,66,67,68,69,70,71,72,73,74,75,76,77,78,79,80,81,82,83,84,85,86,87,88,89,90,91,92,93,94,95,96,97,98,,399,400,401,402,403,404,405,406,407,408,409,410,411,412,413,414,,1,2,3,4,,5'</t>
  </si>
  <si>
    <t>Nuclear Reactor Technology Development and Utilization</t>
  </si>
  <si>
    <t>TK9202$b.N835 2020</t>
  </si>
  <si>
    <t>Mozilla/5.0 (Macintosh; Intel Mac OS X 10_15_6) AppleWebKit/605.1.15 (KHTML, like Gecko) Version/15.5 Safari/605.1.15</t>
  </si>
  <si>
    <t>'1,3,4,6,7,8,9,11,13,14,15,16,18,19,21,22,,22,22,23,22,22,23'</t>
  </si>
  <si>
    <t>Robot Operating System (ROS) : The Complete Reference (Volume 6)</t>
  </si>
  <si>
    <t>Mozilla/5.0 (iPhone; CPU iPhone OS 15_6 like Mac OS X) AppleWebKit/605.1.15 (KHTML, like Gecko) CriOS/107.0.5304.66 Mobile/15E148 Safari/604.1</t>
  </si>
  <si>
    <t>'1,2,7,5,6,8'</t>
  </si>
  <si>
    <t>'1,6,7,42,43,44,45,46,47'</t>
  </si>
  <si>
    <t>Crime and Punishment</t>
  </si>
  <si>
    <t>891.73/3</t>
  </si>
  <si>
    <t>PR6113.C377 .D678 2017</t>
  </si>
  <si>
    <t>'1,14,15,16,17,17,34,35,36,49,50,56,57,58,60,59,61,62,14,16,19,20,21,22,23,24,86,87,88,89,84,17,15,16,18,19,20,21,22,23'</t>
  </si>
  <si>
    <t>'1,1,102,101,100,101,101,101,100,102,103,104,105'</t>
  </si>
  <si>
    <t>'101,101,102,102'</t>
  </si>
  <si>
    <t>'1,1,2,2,3,4,2521,2523,2529,2530,2531,2532,2533,2534,2535,2536'</t>
  </si>
  <si>
    <t>Nonlinear Dynamics of Structures, Systems and Devices : Proceedings of the First International Nonlinear Dynamics Conference (NODYCON 2019), Volume I</t>
  </si>
  <si>
    <t>QC173.45-173.458</t>
  </si>
  <si>
    <t>'1,1,2,3,5,6,4'</t>
  </si>
  <si>
    <t>Anthology of Arabic Discourse on Translation</t>
  </si>
  <si>
    <t>492.7/802</t>
  </si>
  <si>
    <t>PJ6170 .A584 2021</t>
  </si>
  <si>
    <t>'1,1,78,77,101,129,130,147,372,373,374,8,7,100,99,98,102,97,96,101,223,222,222,50,49,413,412'</t>
  </si>
  <si>
    <t>Implementing Lean Six Sigma Throughout the Supply Chain : The Comprehensive and Transparent Case Study</t>
  </si>
  <si>
    <t>HD38.5 -- .C856 2011eb</t>
  </si>
  <si>
    <t>The Quick Fix Guide to Academic Writing : How to Avoid Big Mistakes and Small Errors</t>
  </si>
  <si>
    <t>Literature; Education</t>
  </si>
  <si>
    <t>LB2369$b.S566 2018</t>
  </si>
  <si>
    <t>'1,1,3,5,6,7,8,8,9'</t>
  </si>
  <si>
    <t>Academic Writing</t>
  </si>
  <si>
    <t>Literature; Language/Linguistics</t>
  </si>
  <si>
    <t>P301.5.A27 -- S77 2013eb</t>
  </si>
  <si>
    <t>'1,2,2,4,5,6,7,8,68,67,69,70,72,73,74,75,75,70'</t>
  </si>
  <si>
    <t>Write to the Top! : How to Become a Prolific Academic</t>
  </si>
  <si>
    <t>LB2801-3095</t>
  </si>
  <si>
    <t>'1,3,4,4,6,5,7,8,9,10,11'</t>
  </si>
  <si>
    <t>Language and Discipline Perspectives on Academic Discourse</t>
  </si>
  <si>
    <t>P301.5.A27 -- L35 2007eb</t>
  </si>
  <si>
    <t>'1,1,1,1,3,4,5,5,6,10,135,136,137,59,60'</t>
  </si>
  <si>
    <t>Developing International EFL/ESL Scholarly Writers</t>
  </si>
  <si>
    <t>808/.042</t>
  </si>
  <si>
    <t>P301.5.A27 -- B88 2015eb</t>
  </si>
  <si>
    <t>'1,2,3,4,5,6,7,9,10,9,11,13,14,15'</t>
  </si>
  <si>
    <t>International Student Adaptation to Academic Writing in Higher Education</t>
  </si>
  <si>
    <t>P301.5.A27 -- .T73 2013eb</t>
  </si>
  <si>
    <t>'1,2,3,4,4,4,4,4,5,6,1'</t>
  </si>
  <si>
    <t>'22,21,24,25,26,27'</t>
  </si>
  <si>
    <t>'26'</t>
  </si>
  <si>
    <t>The Dark Side of Knowledge : Histories of Ignorance, 1400 To 1800</t>
  </si>
  <si>
    <t>BD221 -- .D37 2016eb</t>
  </si>
  <si>
    <t>Solid State Ionics: Ionics For Sustainable World - Proceedings Of The 13th Asian Conference</t>
  </si>
  <si>
    <t>TK7871.85 -- .A8 2012eb</t>
  </si>
  <si>
    <t>'1,39,41,42,44,45,46,47,48,49,50,51,52,53,54,55,57,73,74,75,76,77,78,79,81,82,83,84,85,86,87,88,89,90,91,80,92,173,174'</t>
  </si>
  <si>
    <t>Integral and Semi-Integral Bridges</t>
  </si>
  <si>
    <t>TG340.B88 2009</t>
  </si>
  <si>
    <t>'1,2,17,16,18,19,20'</t>
  </si>
  <si>
    <t>'266,314,313,314'</t>
  </si>
  <si>
    <t>'314,315,316,317,318,319,320,321,322,323,324,325,326,327,328,329,330,331,332,333,334,335,336,337,338,339,340,341,342,343'</t>
  </si>
  <si>
    <t>Master the IELTS : A complete guide to prepare yourself for the exam</t>
  </si>
  <si>
    <t>Juliana Galassi</t>
  </si>
  <si>
    <t>PE1114 .G353 2019</t>
  </si>
  <si>
    <t>Water and Wastewater Laboratory Techniques</t>
  </si>
  <si>
    <t>Water Environment Federation</t>
  </si>
  <si>
    <t>TD380$b.S658 2019</t>
  </si>
  <si>
    <t>'1,2,3,4,5,6,7,8,9,146,147,148'</t>
  </si>
  <si>
    <t>Static and Dynamic Analysis of Engineering Structures : Incorporating the Boundary Element Method</t>
  </si>
  <si>
    <t>TA647$b.P487 2020</t>
  </si>
  <si>
    <t>'1,2,4,6,7,7,7,9,10,11,13,14'</t>
  </si>
  <si>
    <t>A Dictionary of Construction, Surveying, and Civil Engineering</t>
  </si>
  <si>
    <t>Engineering: Construction; Engineering</t>
  </si>
  <si>
    <t>TH9$b.G677 2020</t>
  </si>
  <si>
    <t>'912,913,914,915,916,917,919,920,,920,920,1000,999'</t>
  </si>
  <si>
    <t>Engineering Principles for Electrical Technicians : The Commonwealth and International Library: Electrical Engineering Division</t>
  </si>
  <si>
    <t>TK146 -- .S618 1969eb</t>
  </si>
  <si>
    <t>'1,2,5,40,78,81,130,131,131,131,132,133,133,130,138'</t>
  </si>
  <si>
    <t>'130,131,132,133,134,135,136,137,138,139,140,141,142,143,144,145,146,147,148,149,150'</t>
  </si>
  <si>
    <t>'138'</t>
  </si>
  <si>
    <t>ʿAbd Al-Laṭīf Al-Baġdādī's Philosophical Journey : From Aristotle's Metaphysics to the 'Metaphysical Science'</t>
  </si>
  <si>
    <t>B753.I2684.B66 2013</t>
  </si>
  <si>
    <t>Model Predictive Control for Doubly-Fed Induction Generators and Three-Phase Power Converters</t>
  </si>
  <si>
    <t>TK2796 .S483 2022</t>
  </si>
  <si>
    <t>'80'</t>
  </si>
  <si>
    <t>Mozilla/5.0 (Windows NT 10.0; Win64; x64; rv:106.0) Gecko/20100101 Firefox/106.0</t>
  </si>
  <si>
    <t>Machine Learning for Solar Array Monitoring, Optimization, and Control</t>
  </si>
  <si>
    <t>TK1-9971</t>
  </si>
  <si>
    <t>'24,25,26,27,28,29,30,31,32,33,34,35,36,37,38,39,40'</t>
  </si>
  <si>
    <t>High Performance Control of AC Drives with Matlab / Simulink Models</t>
  </si>
  <si>
    <t>Engineering: General; Engineering: Electrical; Engineering</t>
  </si>
  <si>
    <t>TK2781 -- .A28 2012eb</t>
  </si>
  <si>
    <t>'1,2,3,4,6,7,8,9,10,11,12,13,175,176,177,178,179,180,181'</t>
  </si>
  <si>
    <t>Power Electronic Converters for Microgrids</t>
  </si>
  <si>
    <t>621.31;621.31/7;621.317</t>
  </si>
  <si>
    <t>TK7872.C8.P694 2014</t>
  </si>
  <si>
    <t>'69,70,71,,149'</t>
  </si>
  <si>
    <t>'144,146,147'</t>
  </si>
  <si>
    <t>Adaptive Hybrid Active Power Filters</t>
  </si>
  <si>
    <t>'164,165,166,167,168,169,170,171,172,173,174,175,176,177,178,179,180,181,182,183,184,185'</t>
  </si>
  <si>
    <t>Data Analysis Using SQL and Excel</t>
  </si>
  <si>
    <t>QA76.73.S67</t>
  </si>
  <si>
    <t>Mozilla/5.0 (Macintosh; Intel Mac OS X 10.15; rv:106.0) Gecko/20100101 Firefox/106.0</t>
  </si>
  <si>
    <t>Design and Development of Aircraft Systems</t>
  </si>
  <si>
    <t>TL671.2.M65 2013</t>
  </si>
  <si>
    <t>Lean Manufacturing : Business Bottom-Line Based</t>
  </si>
  <si>
    <t>TS155 -- .W3893 2010eb</t>
  </si>
  <si>
    <t>'20'</t>
  </si>
  <si>
    <t>'1,2,3,5,7,8,10,11,1,41,42,40,38,37,36,35,34,33,31'</t>
  </si>
  <si>
    <t>Mozilla/5.0 (iPhone; CPU iPhone OS 15_5 like Mac OS X) AppleWebKit/605.1.15 (KHTML, like Gecko) CriOS/107.0.5304.101 Mobile/15E148 Safari/604.1</t>
  </si>
  <si>
    <t>postcolonial Arabic novel : Debating ambivalence</t>
  </si>
  <si>
    <t>892.7/3609</t>
  </si>
  <si>
    <t>PJ7572.N37 -- M87 2003eb</t>
  </si>
  <si>
    <t>'1,2,3,4,5,6,7,8,9,10,11,14'</t>
  </si>
  <si>
    <t>Knowledge Triumphant : The Concept of Knowledge in Medieval Islam</t>
  </si>
  <si>
    <t>001.0917/67</t>
  </si>
  <si>
    <t>B745.K53R67 2007</t>
  </si>
  <si>
    <t>Space Debris Peril : Pathways to Opportunities</t>
  </si>
  <si>
    <t>Engineering; Engineering: Mechanical; Environmental Studies</t>
  </si>
  <si>
    <t>TL1499$b.M33 2021</t>
  </si>
  <si>
    <t>'1,116,115,117,118,119,120,121,122,123,124,125,126,127,128,130,132,133,134,135,136,137,138,139,140,141,142,148,149,150,151,152,,1,1,1,38,39,252,253,255,256,256,135,136,136,8,7,7,121,122,124,123,125,126'</t>
  </si>
  <si>
    <t>Arabic Literature : An Overview</t>
  </si>
  <si>
    <t>892.7/09</t>
  </si>
  <si>
    <t>'1,2,3,5,16'</t>
  </si>
  <si>
    <t>Deep Reinforcement Learning with Python : Master Classic RL, Deep RL, Distributional RL, Inverse RL, and More with OpenAI Gym and TensorFlow</t>
  </si>
  <si>
    <t>Q325.6 .R385 2020</t>
  </si>
  <si>
    <t>'1,2,4,3,5,6,7,8,9,10,11,12,13,14,15,16,17,18,19,20,712,713,714,,715,716,717'</t>
  </si>
  <si>
    <t>Renewable Energy Conversion Systems</t>
  </si>
  <si>
    <t>TJ808 .K367 2021</t>
  </si>
  <si>
    <t>'1,256,257,258,259,260,261,260'</t>
  </si>
  <si>
    <t>'24,26'</t>
  </si>
  <si>
    <t>'1,22,,22'</t>
  </si>
  <si>
    <t>'1,2,4,3,5,6,7,8,9,10,11,12,23,24,25,26,27,74,75'</t>
  </si>
  <si>
    <t>Business Continuity and Risk Management : Essentials of Organizational Resilience</t>
  </si>
  <si>
    <t>Rothstein Associates, Incorporated</t>
  </si>
  <si>
    <t>'1,7,140,142,143,144,145,146,147,148,150,258,259,260,261,262,263,264,265,266,267,268,178,179,181,14,18,21,20,22,23,24,25,26,27,29,30,31'</t>
  </si>
  <si>
    <t>The the Applied SQL Data Analytics Workshop : Develop Your Practical Skills and Prepare to Become a Professional Data Analyst, 2nd Edition</t>
  </si>
  <si>
    <t>SQL for Data Analytics : Perform Fast and Efficient Data Analysis with the Power of SQL</t>
  </si>
  <si>
    <t>QA76.73.S67 .M355 2019</t>
  </si>
  <si>
    <t>'1,3,4,5,6,8,9,11,12,14,16,17,18,1'</t>
  </si>
  <si>
    <t>Mozilla/5.0 (Macintosh; Intel Mac OS X 10_15_5) AppleWebKit/537.36 (KHTML, like Gecko) Chrome/106.0.0.0 Safari/537.36</t>
  </si>
  <si>
    <t>'1,1,1,1,1'</t>
  </si>
  <si>
    <t>Brain Cancer, Tumor Targeting and Cervical Cancer</t>
  </si>
  <si>
    <t>616.99/481</t>
  </si>
  <si>
    <t>RC280.B7 -- B6837 2011eb</t>
  </si>
  <si>
    <t>'1,,1,3,4,5,6,15,16,17,18,53,54,199'</t>
  </si>
  <si>
    <t>Ibn al-'Arabi and the Sufis</t>
  </si>
  <si>
    <t>Anqa Publishing</t>
  </si>
  <si>
    <t>BP80.I2 -- .A273 2014eb</t>
  </si>
  <si>
    <t>'1,2,3,4,7,6,6,7,20'</t>
  </si>
  <si>
    <t>Mozilla/5.0 (Macintosh; Intel Mac OS X 10_14_5) AppleWebKit/605.1.15 (KHTML, like Gecko) Version/12.1.1 Safari/605.1.15</t>
  </si>
  <si>
    <t>'1,2,2,1,2,2,3,4,4,4,3,4,3,4'</t>
  </si>
  <si>
    <t>Business-Plan-Guide : Grundlagen -- Anschauungsbeispiele -- Vorgehensmodell</t>
  </si>
  <si>
    <t>Logos Verlag Berlin</t>
  </si>
  <si>
    <t>HD30.28 .G64 2010</t>
  </si>
  <si>
    <t>Risk and Security Management : Protecting People and Sites Worldwide</t>
  </si>
  <si>
    <t>658.4/73</t>
  </si>
  <si>
    <t>HD61 -- .B55 2008eb</t>
  </si>
  <si>
    <t>'1,9,13,12,14,15,16,17,18,19,21'</t>
  </si>
  <si>
    <t>'164'</t>
  </si>
  <si>
    <t>'1,2,3,4,5,5,5'</t>
  </si>
  <si>
    <t>Sea-Level Rise for the Coasts of California, Oregon, and Washington : Past, Present, and Future</t>
  </si>
  <si>
    <t>Environmental Studies; Science: Geology</t>
  </si>
  <si>
    <t>Mozilla/5.0 (Macintosh; Intel Mac OS X 10_15_7) AppleWebKit/605.1.15 (KHTML, like Gecko) Version/15.6 Safari/605.1.15</t>
  </si>
  <si>
    <t>The Crisis of Islamic Civilization</t>
  </si>
  <si>
    <t>909/.09767082</t>
  </si>
  <si>
    <t>DS36.85 -- .A423 2009eb</t>
  </si>
  <si>
    <t>'1,1,22,24,40,52,292'</t>
  </si>
  <si>
    <t>'1,1,15,16,,1,1,3,5,6,7,15,16,17,18,17,36,37,62,78,126,144,185,246,246,246'</t>
  </si>
  <si>
    <t>'1,2,3,4,5,6,7,8,9,10,11,12,13,14,15,17,16,18,19,20'</t>
  </si>
  <si>
    <t>Ensemble Methods : Foundations and Algorithms</t>
  </si>
  <si>
    <t>Q325.5</t>
  </si>
  <si>
    <t>'16,17,18,19,20,21,62,63,64'</t>
  </si>
  <si>
    <t>Ensemble Machine Learning Cookbook : Over 35 Practical Recipes to Explore Ensemble Machine Learning Techniques Using Python</t>
  </si>
  <si>
    <t>QA76.73.P98 .S275 2019</t>
  </si>
  <si>
    <t>'21,22,23,24,25,26,27,28,58'</t>
  </si>
  <si>
    <t>Pattern Classification Using Ensemble Methods</t>
  </si>
  <si>
    <t>TK7882.P3 -- R65 2010eb</t>
  </si>
  <si>
    <t>'36,37,38,39,40,82,83,84,85'</t>
  </si>
  <si>
    <t>The One-Hour Business Plan : The Simple and Practical Way to Start Anything New</t>
  </si>
  <si>
    <t>HD62.5.M3863 2013eb</t>
  </si>
  <si>
    <t>'1,79,7,8,9,93,94,95,96,97,99,98,100,101,102,102,103,104,104,107,103,105,106,108,109,110'</t>
  </si>
  <si>
    <t>'1,1,9,27,41,38,37,39,36,41,41,77,41,42,42,42,42,23,41,43,43,43,43,43,43,43,44,42,42,42,42'</t>
  </si>
  <si>
    <t>Spectroscopy for Materials Characterization</t>
  </si>
  <si>
    <t>TA417.2 .S643 2021</t>
  </si>
  <si>
    <t>Comprehensive Guide to Lower Extremity Amputations: Indications, Procedures, Risks and Rehabilitation</t>
  </si>
  <si>
    <t>RD560 .C667 2020</t>
  </si>
  <si>
    <t>'1,11,12,13,,1,11,12,13'</t>
  </si>
  <si>
    <t>'1,3,4,16,17,18,19'</t>
  </si>
  <si>
    <t>'1,16'</t>
  </si>
  <si>
    <t>The Sufi Path of Knowledge : Ibn Al-Arabi's Metaphysics of Imagination</t>
  </si>
  <si>
    <t>297/.4/0924</t>
  </si>
  <si>
    <t>BP80.I2 -- C48 1989eb</t>
  </si>
  <si>
    <t>'1,55,57,59,58,60,61,62'</t>
  </si>
  <si>
    <t>Gruber's Complete ACT Guide 2019-2020 : The Best Strategies for the Best Score</t>
  </si>
  <si>
    <t>Skyhorse Publishing</t>
  </si>
  <si>
    <t>LB2353.48 .G783 2019</t>
  </si>
  <si>
    <t>'42,46,9,12,14,16,15'</t>
  </si>
  <si>
    <t>Desalination : Water from Water</t>
  </si>
  <si>
    <t>TD479 -- .D47 2014eb</t>
  </si>
  <si>
    <t>'1,2,459,460,407,408,409,410,411,412,413,414,415,416,417,418,419,420,421,422,423,424,426,427,429,425,431'</t>
  </si>
  <si>
    <t>'423,424,425,426,427,428,429,430,431,432,409,410,411,412,413'</t>
  </si>
  <si>
    <t>Animal Behavior for Shelter Veterinarians and Staff</t>
  </si>
  <si>
    <t>SF412.5 -- .A55 2015eb</t>
  </si>
  <si>
    <t>'1,2,3,4,6,7,10,11,13,277,278,279'</t>
  </si>
  <si>
    <t>The Dynamics of Deforestation and Economic Growth in the Brazilian Amazon</t>
  </si>
  <si>
    <t>Agriculture; Environmental Studies; Economics</t>
  </si>
  <si>
    <t>333.75/137/0981</t>
  </si>
  <si>
    <t>SD418.3.B6 D96 2002</t>
  </si>
  <si>
    <t>'1,3,4,5,6,7,8,8'</t>
  </si>
  <si>
    <t>Sedentary Behavior: Physiology, Health Risks and Interventions : Physiology, Health Risks and Interventions</t>
  </si>
  <si>
    <t>RA776.9 -- .S43 2011eb</t>
  </si>
  <si>
    <t>'1,1,1,44,44,78,44'</t>
  </si>
  <si>
    <t>Global Warming Gridlock : Creating More Effective Strategies for Protecting the Planet</t>
  </si>
  <si>
    <t>Engineering: Environmental; Engineering; Environmental Studies</t>
  </si>
  <si>
    <t>363.738/74</t>
  </si>
  <si>
    <t>TD885.5.G73 V53 2011</t>
  </si>
  <si>
    <t>Ara'is Al-Majalis Fi Qisas Al-Anbiya' or "Lives of the Prophets" : As Recounted By Abu Ishaq Ahmad Ibn Muhammed Ibn Ibrahim Al-Thalabi</t>
  </si>
  <si>
    <t>297.2/46</t>
  </si>
  <si>
    <t>BP166.4 -- .T5 2002eb</t>
  </si>
  <si>
    <t>'1,3,5,6,7,8,9,396,397,398,398,399,400,401,402,403,404,406,409'</t>
  </si>
  <si>
    <t>'1,2,6,5,7,8,9,10,11,13,14,15'</t>
  </si>
  <si>
    <t>'1,16,17,16,12,15,14,17,18,18,19'</t>
  </si>
  <si>
    <t>Water and Wastewater Treatment : A Guide for the Nonengineering Professional, Second Edition</t>
  </si>
  <si>
    <t>TD430 -- .D764 2013eb</t>
  </si>
  <si>
    <t>Machine Learning for Future Wireless Communications</t>
  </si>
  <si>
    <t>Science; Engineering: Electrical; Engineering</t>
  </si>
  <si>
    <t>Q325.5$b.L86 2020</t>
  </si>
  <si>
    <t>'17,18,19,20,21,22'</t>
  </si>
  <si>
    <t>'1,2,3,5,6,7,8,9,10,11,13,14,16,17,18,19,21,22,23'</t>
  </si>
  <si>
    <t>Fundamentals of Amputation Care and Prosthetics</t>
  </si>
  <si>
    <t>617.5/8059</t>
  </si>
  <si>
    <t>RD553.F85 2013eb</t>
  </si>
  <si>
    <t>'1,16,17,18,19,21,22,30,31,33,34,,1,1,16,24'</t>
  </si>
  <si>
    <t>'24'</t>
  </si>
  <si>
    <t>Biomass, Biofuels, Biochemicals : Green-Economy: Systems Analysis for Sustainability</t>
  </si>
  <si>
    <t>TP339 .M878 2022</t>
  </si>
  <si>
    <t>'1,258'</t>
  </si>
  <si>
    <t>'258,259,260,261,262,263,264,265,266,267,268,269,270,271,272,273'</t>
  </si>
  <si>
    <t>Nanomaterials for the Detection and Removal of Wastewater Pollutants</t>
  </si>
  <si>
    <t>TD745$b.N366 2020</t>
  </si>
  <si>
    <t>'180,181,193,192,191,204,205,200,199'</t>
  </si>
  <si>
    <t>'1,2,3,4,5,6,369,370,371,372,373,373,374,375,376,383,384,385,386,387,388,388,388,387,387,387,387,388,388,388,388,388,388,,1,381,381,388,387,389,388,4,9,,1,1,1,,1,1,4,9,11,13,15,11,11,,1,15,16,16,17,18,19,20,17'</t>
  </si>
  <si>
    <t>'11,12'</t>
  </si>
  <si>
    <t>'1,1,1,1,1,5,356,357,358,359,360,360,360,190,356,357,359,358,361,362,363,364,365,366,367,368,369,360,361,362,361,361,361,190,361,361,361,361,362,363'</t>
  </si>
  <si>
    <t>Ibn Khaldun : Life and Times</t>
  </si>
  <si>
    <t>D116.7.I3 -- F76 2010eb</t>
  </si>
  <si>
    <t>'1,2,3,3,,1,6,7,8,198,199,200,201,202,203,204,205,206,208,208,208'</t>
  </si>
  <si>
    <t>'1,44'</t>
  </si>
  <si>
    <t>'44,44'</t>
  </si>
  <si>
    <t>'111,111,115,116,117,118,119,121,122,123,124,125,126,127,129,130,130,554,555,556,557,558,559,561,563,565,566,568,570,571,560,558,111,113,115,114,561,560,562,564,566,568,570,571,573,574,575,576,565,563,566,566,567,569,570,571,572,573,574,575,576,577,577,578,577,576,575,576,389,388,386,387,111,111,576,577,578,578'</t>
  </si>
  <si>
    <t>Agri-Waste and Microbes for Production of Sustainable Nanomaterials</t>
  </si>
  <si>
    <t>TA418.9.N35 A375 2021</t>
  </si>
  <si>
    <t>'332,,6,540'</t>
  </si>
  <si>
    <t>Trauma in Medieval Society</t>
  </si>
  <si>
    <t>616.85/2100902</t>
  </si>
  <si>
    <t>RC552.P67 .T738 2018</t>
  </si>
  <si>
    <t>'7,8,118,119'</t>
  </si>
  <si>
    <t>Bioinspiration and Biomimicry in Chemistry : Reverse-Engineering Nature</t>
  </si>
  <si>
    <t>Science: Biology/Natural History; Medicine; Science</t>
  </si>
  <si>
    <t>QP517 -- .B56 2012eb</t>
  </si>
  <si>
    <t>'1,3,2,353'</t>
  </si>
  <si>
    <t>'1,,1,1,3,4,5,6,7,9,10,11,12,13,1'</t>
  </si>
  <si>
    <t>'1,3,4,5,6,7'</t>
  </si>
  <si>
    <t>Inorganic Micro- and Nanomaterials : Synthesis and Characterization</t>
  </si>
  <si>
    <t>TA418.9.N35.I5653 2</t>
  </si>
  <si>
    <t>'1,71,72,73,74,75,76,77,78,79,80,81,82,84'</t>
  </si>
  <si>
    <t>'178,179,180,181,182,183,184,185,157,158,159,160,161,162,163,164,165,166,167,168,169,170,171,172,173,174,208,209,210,211,212,213,214,215,216,217,218,219,220,221,222,223,224,225,226,227,228,229'</t>
  </si>
  <si>
    <t>'178,157,208,179,180,181,182,183,184,185'</t>
  </si>
  <si>
    <t>'43,44,45,46,47,48,49,50,51,52,53,54,55,56,57,58,59,60,61,62,63,64,65,66,67,,68,69,70,71,72,73,74,75,76,77,78,79,80,81,,82,83,84,85,86,87,88,89,90,91,92,93,94,95,96,97,98,99,100'</t>
  </si>
  <si>
    <t>'111,112,114,116,117,117,117,117,116,117'</t>
  </si>
  <si>
    <t>'71,72,73,74,75,76,77,78,79,80,81,82,83,84,85,86,87,88,89,90,91,92,93,94,95,96,97,98,99,100,101,102,103,104,105,106'</t>
  </si>
  <si>
    <t>'2,3,5,1,4,6,,,,,208,209,210,211,203,198,,43,44,45,46,47,48,49'</t>
  </si>
  <si>
    <t>'82,83,84,85,86,87,88,89,90,91,92,93,94,95,96,97,98,99,100,,157,158,159,160,161,162,163,164,165,166,167,168,169,170,171,172,173,174,175,176,177,,178,179,180,181,182,183,184,185,186,187,188,189,190,191,192,193,194,195,196,197,198,199,200,201,202,203,204,205,206,207'</t>
  </si>
  <si>
    <t>'34,438,439,440,441,442,443,444,445,446,447,448,450,452,454,455,456,458,460,462,464,465,467,469,471,472,473,474,476,478,479,480,481,482,483,485,487,488,489,491,493,494,496,497,498,499,501,503,504,505,506,507,508,509,510,511,512,514,515,516,517,519,520,522,523,524,525,526,527,528,530,540,542,541,543,544,545,547,548,549,551,552,553,555,557,6,7'</t>
  </si>
  <si>
    <t>Life Cycle Assessment Student Handbook</t>
  </si>
  <si>
    <t>HF5415.155 .L544 2015</t>
  </si>
  <si>
    <t>'25,26,27,28,29,30,22,18,16'</t>
  </si>
  <si>
    <t>'16,17,18,19,20,21,22,23,,23'</t>
  </si>
  <si>
    <t>Functional Properties of Shape Memory Materials and Their Applications</t>
  </si>
  <si>
    <t>TA487 .T638 2021</t>
  </si>
  <si>
    <t>'1,3,11,10,12,13,14,15,16,17,18,19,20,21,22,4,5,6,7,8,9'</t>
  </si>
  <si>
    <t>'111,112,115,116,117,118,119,119,120,120,113,119,118,119,120,121,122,123,124,122,120,118,117,115,113,111,245,554,555,556,557,559,560,561,562,563,564,566,568,569,570,571,572,573,574,575,576,577,578,565,558,552,127,126,124,125,119,121,123,127'</t>
  </si>
  <si>
    <t>Mozilla/5.0 (iPhone; CPU iPhone OS 16_1 like Mac OS X) AppleWebKit/605.1.15 (KHTML, like Gecko) Version/16.1 Mobile/15E148 Safari/604.1</t>
  </si>
  <si>
    <t>Designing Rainwater Harvesting Systems : Integrating Rainwater into Building Systems</t>
  </si>
  <si>
    <t>TD418 -- .N68 2014eb</t>
  </si>
  <si>
    <t>'1,2,3,5,6,7,8,9,10,11,12,13,14'</t>
  </si>
  <si>
    <t>Principles of Leadership and Management in Law Enforcement</t>
  </si>
  <si>
    <t>HV7935</t>
  </si>
  <si>
    <t>'1,107,117,112,106,109,108,110,116,118,114,113,111'</t>
  </si>
  <si>
    <t>Green Chemistry and Engineering</t>
  </si>
  <si>
    <t>TP155.2.E58D63 2007</t>
  </si>
  <si>
    <t>'1,1,2,3,4,5,6,7,8,9,10,11,13'</t>
  </si>
  <si>
    <t>'111,112,113,112,111,112,111,113,114,111,112,112,111,113,112,113,111,111,112,113,113,111,113,115,116,117,118,120,122,123,124,125,126,128,130,110,109,108,114,114,115,115,114,116,116,111,113,112,114,115,116,117,118,117,117,116,115,114,118,120,121,122,123,117,118,119,121,122,123,120,119,118,119,119'</t>
  </si>
  <si>
    <t>'1,3,45,46,47,48,49,50,51,137,138,139,140,141,142,143,144,145,146,147,149,183,184,185,186,187,188,189,191,190,194,195,196,197,199,202,203,210,219,217,215,214,5,6,7,8,9,10,52,54,55,56,57'</t>
  </si>
  <si>
    <t>'48'</t>
  </si>
  <si>
    <t>'1,1,36'</t>
  </si>
  <si>
    <t>'1,1,111,113,112,114,115,116,117,118,119,120,121,122,123,124,125,126,127,111,111,112,110,106,106,106,107,105,105,106,98,1,1,1'</t>
  </si>
  <si>
    <t>Optimal Design of Experiments : A Case Study Approach</t>
  </si>
  <si>
    <t>Engineering: General; Mathematics; Engineering; Engineering: Manufacturing</t>
  </si>
  <si>
    <t>T57.5 -- .G66 2011eb</t>
  </si>
  <si>
    <t>'1,52,53,51'</t>
  </si>
  <si>
    <t>Knowledge Economies in the Middle East and North Africa : Toward New Development Strategies</t>
  </si>
  <si>
    <t>303.48/33/0956</t>
  </si>
  <si>
    <t>HD30.2 -- .W67 2003eb</t>
  </si>
  <si>
    <t>Research Ethics : A Philosophical Guide to the Responsible Conduct of Research</t>
  </si>
  <si>
    <t>Science; Philosophy</t>
  </si>
  <si>
    <t>Q180.55.M67 R465 2012</t>
  </si>
  <si>
    <t>'1,19,20,21,22,23,24'</t>
  </si>
  <si>
    <t>'1,91,92,93,94,95,96,97,98,100,102,104,105'</t>
  </si>
  <si>
    <t>The Routledge Handbook on the Middle East Economy</t>
  </si>
  <si>
    <t>HC415.15 .R68 2021</t>
  </si>
  <si>
    <t>'1,2,3,,,4,7,25,24,26,22,19,17,8,9,6,10,12,15,21,23,16,18,27,28'</t>
  </si>
  <si>
    <t>'1,3,5,5,6,163,161,154,152,151'</t>
  </si>
  <si>
    <t>Situating Qualitative Methods in Psychological Science</t>
  </si>
  <si>
    <t>BF76.5 .S588 2019</t>
  </si>
  <si>
    <t>Qualitative Research in the Study of Leadership : Second Edition</t>
  </si>
  <si>
    <t>HD4801-8943</t>
  </si>
  <si>
    <t>'1,6,12,13,14,20,21,22,23,24,25,26,27,28,29,76,77,78,79'</t>
  </si>
  <si>
    <t>'1,8,10,160,162,182,185,187,188,189,172'</t>
  </si>
  <si>
    <t>'1,1,147,148,149,150,151,152,153,154,155,156,157,158,159,160,161,162,163,164,165,166,167,168,169,170,171,172,173,174,175,176,177'</t>
  </si>
  <si>
    <t>'158'</t>
  </si>
  <si>
    <t>'1,15'</t>
  </si>
  <si>
    <t>Mastering System Identification in 100 Exercises</t>
  </si>
  <si>
    <t>QA402 -- .S3556 2012eb</t>
  </si>
  <si>
    <t>'5,6,7,9,49,48,50,51,52,53,54,55,56,57,58,59,60,61,62,63,64,65,66,67'</t>
  </si>
  <si>
    <t>The Waltham Book of Human-Animal Interaction : Benefits and Responsibilities of Pet Ownership</t>
  </si>
  <si>
    <t>SF411.47 .W34 1995</t>
  </si>
  <si>
    <t>'224,225,226,,164,165,166'</t>
  </si>
  <si>
    <t>Mozilla/5.0 (Macintosh; Intel Mac OS X 10_15_6) AppleWebKit/537.36 (KHTML, like Gecko) Chrome/106.0.0.0 Safari/537.36</t>
  </si>
  <si>
    <t>'73,73,73,73,73,73,73,73'</t>
  </si>
  <si>
    <t>'266,314,313,,266,314,313,266,,,265,267,,266,314,313,315,316,317,318,319,320,321,322,320,320,322,330,334,329,333,335,336,337,334,334'</t>
  </si>
  <si>
    <t>'320,321,322,323,324,325,326,327,328,329,330,331,332,333,334,335'</t>
  </si>
  <si>
    <t>'314'</t>
  </si>
  <si>
    <t>A Guide to Research Methodology : An Overview of Research Problems, Tasks and Methods</t>
  </si>
  <si>
    <t>General Works/Reference; Science</t>
  </si>
  <si>
    <t>Q180.55.M4 .M854 2020</t>
  </si>
  <si>
    <t>Business Information Systems Workshops : BIS 2018 International Workshops, Berlin, Germany, July 18-20, 2018, Revised Papers</t>
  </si>
  <si>
    <t>HF54.5-.56</t>
  </si>
  <si>
    <t>'192,218,193,194,195,196,197,198,199,200,220,221,222,223,224,225,226,227,228,229,217'</t>
  </si>
  <si>
    <t>'142,143,144,145,146,147,148,149,150,151,152,153,154,155,156,157,158,159'</t>
  </si>
  <si>
    <t>'1,12,11,10'</t>
  </si>
  <si>
    <t>'73'</t>
  </si>
  <si>
    <t>'126,127,128,130,132,142,143,144,145,146,131,147,148,149,,,151,153,154,150,149,98,150,151,152'</t>
  </si>
  <si>
    <t>'126,127,128,129,130,131,132,133,134,135,136,137,138,139,140,141,,142,143,144,145,146,147,148,149,150,151,152,153,154,155,156,157,158,159'</t>
  </si>
  <si>
    <t>'105,106,107,108,109,110,111,112,113,114,115,116,117,118,119,120,121,122,123,124,125,,160,161,162,163,164,165,166,167,168,169'</t>
  </si>
  <si>
    <t>'91'</t>
  </si>
  <si>
    <t>'91,92,93,94,95,96,97,98,99,100,101,102,103,104'</t>
  </si>
  <si>
    <t>Continuously relevant and responsible organizations via creativity, innovation and sustainability</t>
  </si>
  <si>
    <t>HD56 -- .I584 2015eb</t>
  </si>
  <si>
    <t>'266,267,267,267,314,313,313,313,314,316,316,316,317,,266,314,313,344,343,342,341,340,339,338,337,336,335,334,333,332,331,330,329,328,327,326,325,324,323,322,321,320,319,318,317,316,315,314'</t>
  </si>
  <si>
    <t>'266,267,268,269,270,271,272,273,274,275,276,277,278,279,280,281,282,283,284,285,286,287,288,289,290,291,292,293,294,295,296,297,298,299,300,301,302,303,304,305,306,307,308,309,310,311,312,313,302,303,304,305,306,307,308,309,310,311,312,313,316'</t>
  </si>
  <si>
    <t>'1,1,221,220,213,178,177,222,254,253,251,249,223,224,225,226,228,227'</t>
  </si>
  <si>
    <t>'1,1,1,1,1,1,37,38,43,44,48,221,221,19,22,34,34,22,22,19,25,20,34,42,43,48,49,50,71,135,145,146,174,173,178,181,197,234,255,268,276,348,287,367,368,369,389,437,438,475,477,9,10,11,12,353,485,486,487,488,489,490,491,498,499,500,1,1'</t>
  </si>
  <si>
    <t>Smart Systems and IoT: Innovations in Computing : Proceeding of SSIC 2019</t>
  </si>
  <si>
    <t>The Future of the Academic Journal</t>
  </si>
  <si>
    <t>Journalism; General Works/Reference</t>
  </si>
  <si>
    <t>PN4836.F888 2014eb</t>
  </si>
  <si>
    <t>'1,2,3,6,10,11,12,14,18,19'</t>
  </si>
  <si>
    <t>Mozilla/5.0 (Macintosh; Intel Mac OS X 10_13_6) AppleWebKit/605.1.15 (KHTML, like Gecko) Version/13.1.2 Safari/605.1.15</t>
  </si>
  <si>
    <t>GRE 1,001 Practice Questions for Dummies : 1,001 Practice Questions for Dummies</t>
  </si>
  <si>
    <t>LB2367.4.O548 2015</t>
  </si>
  <si>
    <t>'1,151,157,164,166,167,165,161,159,156,155,154,153,158,160,152'</t>
  </si>
  <si>
    <t>'166,166,166,166,167,167,165,165,165,165,165'</t>
  </si>
  <si>
    <t>The Future of Lean Sigma Thinking in a Changing Business Environment</t>
  </si>
  <si>
    <t>HD62.15 .R638 2015</t>
  </si>
  <si>
    <t>'1,3,2'</t>
  </si>
  <si>
    <t>'1,1,3,6,7'</t>
  </si>
  <si>
    <t>Islam and Democracy</t>
  </si>
  <si>
    <t>JC49.E76 1996</t>
  </si>
  <si>
    <t>'1,3,4,7,20,19,21,22,23,24,25'</t>
  </si>
  <si>
    <t>'1,44,45,45,45,44'</t>
  </si>
  <si>
    <t>'1,151,155,156,158,159,160,164,165,166,167,,1'</t>
  </si>
  <si>
    <t>'166,166'</t>
  </si>
  <si>
    <t>'1,2,31,28,33,32'</t>
  </si>
  <si>
    <t>'1,1,52'</t>
  </si>
  <si>
    <t>Creating a Lean Culture : Tools to Sustain Lean Conversions, Third Edition</t>
  </si>
  <si>
    <t>658.4/01</t>
  </si>
  <si>
    <t>HD58.9.M365 2015</t>
  </si>
  <si>
    <t>'1,3,4,6,168,167,169,170,171,173,194,193,195,196,,,205'</t>
  </si>
  <si>
    <t>'1,2,3,4,,,6,7,27,28,29,30,32,34,36,37,38,40,41,42,43,45,46,47,48,49,51,52,53,54,55,57,58'</t>
  </si>
  <si>
    <t>'52,52,52,53'</t>
  </si>
  <si>
    <t>Lean Misconceptions : Why Many Lean Initiatives Fail and How You Can Avoid the Mistakes</t>
  </si>
  <si>
    <t>TS155.H467 2018</t>
  </si>
  <si>
    <t>'1,2,3,4,6,7,8,9,10,11,12,14,15,16,17,18,21,22,23,24,98,99,100,101,102,103,105'</t>
  </si>
  <si>
    <t>Lean Six Sigma in Higher Education : A Practical Guide for Continuous Improvement Professionals in Higher Education</t>
  </si>
  <si>
    <t>378.1/07</t>
  </si>
  <si>
    <t>LA173-186</t>
  </si>
  <si>
    <t>'1,1,4,8,5,6,20,16,28,29,31,32,33,34'</t>
  </si>
  <si>
    <t>Handbook of Lean Manufacturing in the Food Industry</t>
  </si>
  <si>
    <t>TP373 -- .D83 2011eb</t>
  </si>
  <si>
    <t>'1,3,6,7,11,12'</t>
  </si>
  <si>
    <t>'1,3,5,7,8,9,11,12,14,16,18,20,21'</t>
  </si>
  <si>
    <t>We Sell Our Time No More : Workers' Struggles Against Lean Production in the British Car Industry</t>
  </si>
  <si>
    <t>HD5365.A6 -- W4 2009eb</t>
  </si>
  <si>
    <t>'1,37,35,61'</t>
  </si>
  <si>
    <t>'1,6,44,73,75,76,77,78,79,80,81,82,83,84,86,85,87,89,91,88,90,92,105'</t>
  </si>
  <si>
    <t>Science and Engineering of Hydrogen-Based Energy Technologies : Hydrogen Production and Practical Applications in Energy Generation</t>
  </si>
  <si>
    <t>TP359.H8 S35 2019</t>
  </si>
  <si>
    <t>'1,3,4,9,6,7,8'</t>
  </si>
  <si>
    <t>'1,8,9,10,7,1,2,3,4,5,6,14,15,16,18,17,21,1,,1,1,1,6,7,6,7,20,20,21,7'</t>
  </si>
  <si>
    <t>'1,11,8,9'</t>
  </si>
  <si>
    <t>'1,2,3,35,4,5'</t>
  </si>
  <si>
    <t>Solid Propellant Rocket Research</t>
  </si>
  <si>
    <t>TL783.3 -- .A77 1960eb</t>
  </si>
  <si>
    <t>'18,,1,23,24,25,26,28,53'</t>
  </si>
  <si>
    <t>'1,2,2,2,1,4,5,6,7,8,9,10,11,13,17,32,31,31,28,28,28,28,25,24,16,,1,151,150,,1,353'</t>
  </si>
  <si>
    <t>'31,32,33,34,35,36,37,38,39,40,41,42,43,44,45,46,,151,152,153,154,155,156,157,158,159,160,161,162,163,164,165,166,167,168,,353,354,355,356,357,358,359,360,361,362,363,364,365,366,367,368,369,370,371,372,373,374,375,376,377,378,379,380,381,382,383,384,385,386,387,388,389,390,391,392,393,394,395,396'</t>
  </si>
  <si>
    <t>Lean in a High-Variability Business : A Graphic Novel about Lean and People at Zingerman's Mail Order</t>
  </si>
  <si>
    <t>HD58.9 .L363 2022</t>
  </si>
  <si>
    <t>'1,1,223,224,225,226'</t>
  </si>
  <si>
    <t>Wastewater Treatment Technologies : Design Considerations</t>
  </si>
  <si>
    <t>TD745 .C438 2021</t>
  </si>
  <si>
    <t>'83,84,85,86,87,88,89,90,91,92,93,94,95,96,97,98,99,100,101,102,103,104,105,106,107,108,109,110,111,112,113,114,115,116,117,118'</t>
  </si>
  <si>
    <t>Biomedical Engineering</t>
  </si>
  <si>
    <t>R856 .B566 2022</t>
  </si>
  <si>
    <t>'1,134,136'</t>
  </si>
  <si>
    <t>'1,292,293,294,295,297,635,694,695,695'</t>
  </si>
  <si>
    <t>Calculus: The Logical Extension of Arithmetic</t>
  </si>
  <si>
    <t>QA303.3.E45 2016</t>
  </si>
  <si>
    <t>'1,130'</t>
  </si>
  <si>
    <t>Calculus 2</t>
  </si>
  <si>
    <t>QA303 .C353 2016</t>
  </si>
  <si>
    <t>'1,2,3,4,5,5,6'</t>
  </si>
  <si>
    <t>'1,1,1,1,1,3,4,6,7,7,8,8,23,107,118,396,394'</t>
  </si>
  <si>
    <t>Baal, St. George, and Khidr : A Study of the Historical Geography of the Levant</t>
  </si>
  <si>
    <t>Pennsylvania State University Press</t>
  </si>
  <si>
    <t>Religion; History</t>
  </si>
  <si>
    <t>'1,,,1'</t>
  </si>
  <si>
    <t>Advanced Intelligent Systems for Sustainable Development (AI2SD'2018) : Vol 3: Advanced Intelligent Systems Applied to Environment</t>
  </si>
  <si>
    <t>Science; Economics; Business/Management</t>
  </si>
  <si>
    <t>'56,57,58,59,60,61,62,63,64,65,66,67,69,70'</t>
  </si>
  <si>
    <t>Toward a Spiritual Research Paradigm : Exploring New Ways of Knowing, Researching and Being</t>
  </si>
  <si>
    <t>Information Age Publishing, Incorporated</t>
  </si>
  <si>
    <t>General Works/Reference</t>
  </si>
  <si>
    <t>'1,2,3,4,5,6,19,20,21,254,255,256,257,258,259,260,261,262,263'</t>
  </si>
  <si>
    <t>Between Harmony and Discrimination: Negotiating Religious Identities Within Majority-Minority Relationships in Bali and Lombok</t>
  </si>
  <si>
    <t>Hindus : Their Religious Beliefs and Practices</t>
  </si>
  <si>
    <t>BL1202 .L56 2010</t>
  </si>
  <si>
    <t>'4,6,7,8,9,10,12,13'</t>
  </si>
  <si>
    <t>'12,13,14,15,16,17,18,19,20,21,22,23,24,25,26,,27,28,29,30,31,32,33,34,35,36,37,38,39,40,41,42,43'</t>
  </si>
  <si>
    <t>Attar and the Persian Sufi Tradition : The Art of Spiritual Flight</t>
  </si>
  <si>
    <t>PK6451.F4 .A883 2006</t>
  </si>
  <si>
    <t>'31,32,33,34,35,36,37,38,39,123,124,125,126,127'</t>
  </si>
  <si>
    <t>The Sufi Orders in Islam</t>
  </si>
  <si>
    <t>Oxford University Press USA - OSO</t>
  </si>
  <si>
    <t>BP189.68 -- .T75 1998eb</t>
  </si>
  <si>
    <t>'1,225,227,228'</t>
  </si>
  <si>
    <t>Spiritual Purification in Islam : The Life and Works of Al-Muhasibi</t>
  </si>
  <si>
    <t>BP80.M83 -- P53 2011eb</t>
  </si>
  <si>
    <t>'1,136,137'</t>
  </si>
  <si>
    <t>'1,6,225,229,228'</t>
  </si>
  <si>
    <t>Bioinspired Sensing, Actuation, and Control in Underwater Soft Robotic Systems</t>
  </si>
  <si>
    <t>'1,3,5,16,17,18,19,20,21,22,23,24,25,26,27,28,29,2,4,6,7,8,9,,1'</t>
  </si>
  <si>
    <t>Divine Love in Islamic Mysticism : The Teachings of Al-Ghazali and Al-Dabbagh</t>
  </si>
  <si>
    <t>297.4/1112</t>
  </si>
  <si>
    <t>BP189.65.L68 A26</t>
  </si>
  <si>
    <t>'1,3,4,5,7,8,9,11'</t>
  </si>
  <si>
    <t>'8,9'</t>
  </si>
  <si>
    <t>'1,1,2,266,265,296,295,319,318,318,277,317,323,322,321,320,547,548,563,566,569,571,573,574,575,266,267,268,301,295,294,292,293,1,1,1,1,547,554,266,290,291,292,293,567,568,569,570,294,571,572,296,295,320,334,333,356,400,416,415,594,1,1,384,396,395,397,398,399,400,401,402,403,404,405,408,409,410,411,412,413,414,416,595,593,588,583,582,584,585,141,164,1,1,141,263,581,589,586,573,566,565,262,265,264,260,259,258,257,564,562,561,563,261'</t>
  </si>
  <si>
    <t>Basic Electronics for Scientists and Engineers</t>
  </si>
  <si>
    <t>TK7816.E35 2011</t>
  </si>
  <si>
    <t>'1,120,121,,1'</t>
  </si>
  <si>
    <t>How Transistor Area Shrank by 1 Million Fold</t>
  </si>
  <si>
    <t>Science; Engineering: Electrical; Engineering; Science: Physics</t>
  </si>
  <si>
    <t>QC1-999</t>
  </si>
  <si>
    <t>'1,22,23,24,25,26,27,28,29,,1,1'</t>
  </si>
  <si>
    <t>The Chemical History of a Candle : With an Introduction by Frank A. J. L. James</t>
  </si>
  <si>
    <t>QD39.F2 2011</t>
  </si>
  <si>
    <t>'1,11,28,29,35,36,37,38,39,40,41,42,43,44,45,48,49,50,51,52,53,54,55,56,57,58,3,5,6,7,8,9,10,12,13,14,15,16,17,18,19,21,22,23,24,25,26,32,34'</t>
  </si>
  <si>
    <t>Making Easy Listening : Material Culture and Postwar American Recording</t>
  </si>
  <si>
    <t>University of Minnesota Press</t>
  </si>
  <si>
    <t>ML3790 -- .A63 2006eb</t>
  </si>
  <si>
    <t>'1,3,8,9,10,15,16,17,18,19,20,21,22,23,24,25,26,27'</t>
  </si>
  <si>
    <t>'1,2,3,4,5,6,7,8,10,12,13,15,16,18,14,1,4,5,7,8,10,11,12,13,14,1,7,30,31,33,34,35,36,37,39,40,41,29,28'</t>
  </si>
  <si>
    <t>'14,29,29'</t>
  </si>
  <si>
    <t>'20,21,22,22,23,24,25,26,27,,20,21,23,22,24,25,26,26,26,25,27,28,29'</t>
  </si>
  <si>
    <t>'10,11,12,13,14,15,,10'</t>
  </si>
  <si>
    <t>'256,257,257,258,258,259,260'</t>
  </si>
  <si>
    <t>Renewable Resources and Biotechnology for Material Applications</t>
  </si>
  <si>
    <t>Engineering; Engineering: Chemical; Agriculture</t>
  </si>
  <si>
    <t>TP248.27.P55 -- R458 2011eb</t>
  </si>
  <si>
    <t>'1,39,67,68,69,70,71'</t>
  </si>
  <si>
    <t>'1,225,226,227,228'</t>
  </si>
  <si>
    <t>Divine Love : Islamic Literature and the Path to God</t>
  </si>
  <si>
    <t>BP189 $b.C458 2013</t>
  </si>
  <si>
    <t>'1,3,178,179,180,181,182,183,184,185,186,187,188,189,190,191,192,197,196,198,199,200'</t>
  </si>
  <si>
    <t>The Wiley Blackwell Concise Companion to the Hadith</t>
  </si>
  <si>
    <t>BP135.66 .W554 2020</t>
  </si>
  <si>
    <t>'1,2,15,7,8,9,11,13'</t>
  </si>
  <si>
    <t>Sufism and Theology</t>
  </si>
  <si>
    <t>BP189.2 -- .S854 2007eb</t>
  </si>
  <si>
    <t>'1,44,45,46,46,46,46'</t>
  </si>
  <si>
    <t>'1,263,264,261,260,259,258,352,260,260,260,261,262,263,264,265,266,267,268,269'</t>
  </si>
  <si>
    <t>'1,1,2,3,4,5,6,7,8,9,14,15,16,17,18,19,20,21,23,24,25,26,27,29,30,31,33,34,35,36,37,38,39,41,42,43,44,45,46,47,48,49,50,52,53,54,55,56,57,58,59,61,62,63,64,65,66,67,68,69,70,71,72,73,74,77,78,79,80,81,82,83,85,86,87,88,89,90,91,93,94,95,96,97,98,99,100,101,102,103,104,105,106,107,109,111'</t>
  </si>
  <si>
    <t>'1,43,42,41,44,151,152,154,156,153,159,158,157,160,161,162,163,164,31,32,33'</t>
  </si>
  <si>
    <t>'152,152,153,153,153'</t>
  </si>
  <si>
    <t>Mozilla/5.0 (Macintosh; Intel Mac OS X 10_15_7) AppleWebKit/537.36 (KHTML, like Gecko) Chrome/103.0.5060.114 Safari/537.36</t>
  </si>
  <si>
    <t>'258,1,259,261,260,262,263,264,263,,263,264'</t>
  </si>
  <si>
    <t>Mozilla/5.0 (Macintosh; Intel Mac OS X 10_15_6) AppleWebKit/605.1.15 (KHTML, like Gecko) Version/15.3 Safari/605.1.15</t>
  </si>
  <si>
    <t>'1,2,3,5,6,7,306,305,307,308,309,310,311,28,27,8,249,250,251,252,253,256'</t>
  </si>
  <si>
    <t>Chemical Reactor Design, Optimization, and Scaleup</t>
  </si>
  <si>
    <t>TP157 -- .N393 2008eb</t>
  </si>
  <si>
    <t>Mozilla/5.0 (iPad; CPU OS 15_4 like Mac OS X) AppleWebKit/605.1.15 (KHTML, like Gecko) CriOS/107.0.5304.66 Mobile/15E148 Safari/604.1</t>
  </si>
  <si>
    <t>'1,2,14,15,17,18,19,20,21,22,16'</t>
  </si>
  <si>
    <t>'1,2,3,4,5,6,7,8,12,13,14,15,16'</t>
  </si>
  <si>
    <t>Living Knowledge in West African Islam : The Sufi Community of Ibrāhīm Niasse</t>
  </si>
  <si>
    <t>297.4/8</t>
  </si>
  <si>
    <t>BP188.8.A358W75 2015</t>
  </si>
  <si>
    <t>'1,2,2'</t>
  </si>
  <si>
    <t>Tolerance, Democracy, and Sufis in Senegal</t>
  </si>
  <si>
    <t>BP64.S4 -- T65 2013eb</t>
  </si>
  <si>
    <t>'1,3,3,8,10,129,130,131,136,137,142,143,148,149,149,8,128,130,132,131,133,134,134,134,128,129,130,130,22,160,192,203,206,293'</t>
  </si>
  <si>
    <t>'131,131,132,129'</t>
  </si>
  <si>
    <t>'322,322,36,35,51,50,51,547,546,548,549,551,553,554,556,558,561,560,562,563,564,565,566,567,568,569,570,572,571,573,574,575,576,577'</t>
  </si>
  <si>
    <t>Encyclopedia of the History of Arabic Science</t>
  </si>
  <si>
    <t>Science; Science: General</t>
  </si>
  <si>
    <t>509/.17/4927</t>
  </si>
  <si>
    <t>Q127.A5 .E539 2006</t>
  </si>
  <si>
    <t>'1,2,14,13,15,16,17'</t>
  </si>
  <si>
    <t>Setting the Watch : Privacy and the Ethics of CCTV Surveillance</t>
  </si>
  <si>
    <t>Law; Political Science</t>
  </si>
  <si>
    <t>KD1956 -- .V66 2011eb</t>
  </si>
  <si>
    <t>'1,19,59,60,62,56,54,53,50,55,48,47,46,45,42,52,44,18,10,,1'</t>
  </si>
  <si>
    <t>Cctv : Networking and Digital Technology</t>
  </si>
  <si>
    <t>TK6680.D36 2005</t>
  </si>
  <si>
    <t>'1,2,3,138,190,189,195,196,197,208,202,199,177'</t>
  </si>
  <si>
    <t>Between Social Services and Tolerance : Explaining Religious Dynamics in Muhammadiyah</t>
  </si>
  <si>
    <t>BP63.I5 B874 2019</t>
  </si>
  <si>
    <t>'1,2,3,4,5,6,7,7,13,14'</t>
  </si>
  <si>
    <t>The Most Learned of the Shi`a : The Institution of the Marja` Taqlid</t>
  </si>
  <si>
    <t>297.6/1</t>
  </si>
  <si>
    <t>BP195.M7M67 2001</t>
  </si>
  <si>
    <t>The Perils of Joy : Contesting Mulid Festivals in Contemporary Egypt</t>
  </si>
  <si>
    <t>Syracuse University Press</t>
  </si>
  <si>
    <t>297.3/6</t>
  </si>
  <si>
    <t>BP186.34 -- .S35 2012eb</t>
  </si>
  <si>
    <t>'1,2,3,3,3,3,3,3,3,4,5,6,7,8,9,10,12,11,13,14,14,15,15,18,18,,1,2,3,4,11,12,13,14,15,17,19,20,21,22,23'</t>
  </si>
  <si>
    <t>Understanding the Qurʾanic Miracle Stories in the Modern Age</t>
  </si>
  <si>
    <t>BP166.65.Y39 2013eb</t>
  </si>
  <si>
    <t>'1,3,14,15,,1,12,13,14'</t>
  </si>
  <si>
    <t>Encyclopedia of World Religions</t>
  </si>
  <si>
    <t>Encyclopaedia Britannica, Incorporated</t>
  </si>
  <si>
    <t>BL31 -- .B75 2006eb</t>
  </si>
  <si>
    <t>'1,3,4,4,5,8,9,8,7,6,504,503,500,1,1,1,1,1,3,4,5,6,7,8,514,515,516,517,518'</t>
  </si>
  <si>
    <t>'1,8,4,3,40'</t>
  </si>
  <si>
    <t>'1,1,79,78,80,82,82,8,78,101,102'</t>
  </si>
  <si>
    <t>A Concise Dictionary of Novel Medical and General Hebrew Terminology from the Middle Ages</t>
  </si>
  <si>
    <t>'1,1,2,16,17,23,22,7,5'</t>
  </si>
  <si>
    <t>'1,141,142,143,263'</t>
  </si>
  <si>
    <t>'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'</t>
  </si>
  <si>
    <t>An Introduction to Islam in the 21st Century</t>
  </si>
  <si>
    <t>'1,15,16,16,227,228,12,13,35,36,37,38,230'</t>
  </si>
  <si>
    <t>The Historical Formation of the Arab Nation (RLE: the Arab Nation)</t>
  </si>
  <si>
    <t>DS36.86 .D87</t>
  </si>
  <si>
    <t>'1,3,3,196,197,198,199,201,202,204,205,206,207,208,209'</t>
  </si>
  <si>
    <t>'1,1,73,74,,1,1,1,1,1,73,74,73,73,,73,74'</t>
  </si>
  <si>
    <t>'1,3,4,12,12,34,55,56,64,100,143,144,145,167,168,282,282,197,172,172,12,12,87,100,144,184,224,246,246,246'</t>
  </si>
  <si>
    <t>Biomass As Raw Material for the Production of Biofuels and Chemicals</t>
  </si>
  <si>
    <t>TP339 .B566 2022</t>
  </si>
  <si>
    <t>Selected Proceedings of the Eighth International Conference on Waste Management and Technology</t>
  </si>
  <si>
    <t>'1,3,13,14,15,18,19'</t>
  </si>
  <si>
    <t>Biomass and Biowaste : New Chemical Products from Old</t>
  </si>
  <si>
    <t>662/.88</t>
  </si>
  <si>
    <t>TP339$b.B56 2020</t>
  </si>
  <si>
    <t>'1,181,182,183,184,185,71,72,73'</t>
  </si>
  <si>
    <t>The Vegetation of Antarctica Through Geological Time</t>
  </si>
  <si>
    <t>Science; Science: Botany; Science: Geology</t>
  </si>
  <si>
    <t>QK980 .C35 2012</t>
  </si>
  <si>
    <t>'171,314,490,171,314,310,307,171,172,173,174,175,176,177,178,179,179,179,180,181,181'</t>
  </si>
  <si>
    <t>'1,2,3,4,5,6,7,8,9,12,15,20,24,25,28,31,31,31,32,33,34,35,36,41,151,152'</t>
  </si>
  <si>
    <t>Mozilla/5.0 (Macintosh; Intel Mac OS X 10_15_6) AppleWebKit/605.1.15 (KHTML, like Gecko) Version/15.6,2 Safari/605.1.15</t>
  </si>
  <si>
    <t>'186,186,187,188,189,190,190,1,2,2,186,196,200,201'</t>
  </si>
  <si>
    <t>'1,136,137,138,139,140,141,142,143,144,145,144,144,181,182,183,184,185,186,,186'</t>
  </si>
  <si>
    <t>'136,137,138,139,140,141,142,143,144,145,146,147,148,149,150,151,152,153,154,155,156,157,158,159,160,161,162,163,164,165,166,167,168,169,170,171,172,173,174,175,176,177,178,179,180'</t>
  </si>
  <si>
    <t>'1,3,4,5,6,7,9,10,12,13,15,16,17,18,19,20,22,24,25,26,27,29,30,32,33,35,34,36,43,46,44,69'</t>
  </si>
  <si>
    <t>A Modern Course in Aeroelasticity</t>
  </si>
  <si>
    <t>Coherent Raman Scattering Microscopy</t>
  </si>
  <si>
    <t>Medicine; Science: Chemistry; Science</t>
  </si>
  <si>
    <t>RB43</t>
  </si>
  <si>
    <t>'1,30'</t>
  </si>
  <si>
    <t>'1,1,2,3,4,5,7,8,9,10,11,12,13,14,15,16,17,18,19,,1,1,1,4'</t>
  </si>
  <si>
    <t>Fourier Transform Infrared Spectroscopy : Developments, Techniques and Applications</t>
  </si>
  <si>
    <t>Science; Science: Chemistry; Science: Physics</t>
  </si>
  <si>
    <t>535.8/42</t>
  </si>
  <si>
    <t>QD96.I5 -- F685 2010eb</t>
  </si>
  <si>
    <t>'1,2,7,8,15,15,15,16,17,18,19,20,21,22,23,24,25,26,153,154,155,156,157,158,159,160'</t>
  </si>
  <si>
    <t>Saddam's War of Words : Politics, Religion, and the Iraqi Invasion of Kuwait</t>
  </si>
  <si>
    <t>University of Texas Press</t>
  </si>
  <si>
    <t>956.7044/21</t>
  </si>
  <si>
    <t>DS79</t>
  </si>
  <si>
    <t>'1,1,27,28,29,36,37,38,39,102,102,27,27,28,34,35,44,45,54,179,180,180,37,38,45,47,48,89,98,161,167,167,37,38,39,39,12,27,28,28,25,28,28,28,28,42,42'</t>
  </si>
  <si>
    <t>War in the Gulf, 1990-91 : The Iraq-Kuwait Conflict and Its Implications</t>
  </si>
  <si>
    <t>DS79.72.K397 2001</t>
  </si>
  <si>
    <t>'1,2,1,41,42,44,80,98,97,98,94,95,99,100,100,100,84,85,86,101,102,103,,1,1,18,18,25,94,95,95,96,97,102,110,111,122,123,195,195,195,132,133,95,131,132'</t>
  </si>
  <si>
    <t>'41'</t>
  </si>
  <si>
    <t>Teaching, Learning, and Visual Literacy : The Dual Role of Visual Representation</t>
  </si>
  <si>
    <t>370.15/5</t>
  </si>
  <si>
    <t>LB1068 .E45 2012</t>
  </si>
  <si>
    <t>'1,9,3,7,8,21,23,32,30,31'</t>
  </si>
  <si>
    <t>'1,44,45,46'</t>
  </si>
  <si>
    <t>Handbook of Water and Wastewater Treatment Technologies</t>
  </si>
  <si>
    <t>628.1/6</t>
  </si>
  <si>
    <t>TD430.C4584 2002</t>
  </si>
  <si>
    <t>'1,281,283,284,285,286,287,288,289,290,291,292,293'</t>
  </si>
  <si>
    <t>'83,84,85,86,,87,86,88,89,90,91,92,93,94,95,96,97,98,99'</t>
  </si>
  <si>
    <t>Water and Wastewater Treatment Technologies</t>
  </si>
  <si>
    <t>TD172-193.5</t>
  </si>
  <si>
    <t>'1,2,3,4,5,6,7,10,13,34,69,70,71,72,73,74,75,76'</t>
  </si>
  <si>
    <t>Electrochemistry</t>
  </si>
  <si>
    <t>QD450-882</t>
  </si>
  <si>
    <t>Heat Transfer Engineering : Fundamentals and Techniques</t>
  </si>
  <si>
    <t>TJ260 .B353 2021</t>
  </si>
  <si>
    <t>'18,,18'</t>
  </si>
  <si>
    <t>'1,2,2,2,21,22,23,24,25,26,27,189,190,191,192'</t>
  </si>
  <si>
    <t>'1,6,5,117,118,30,29,32,33,45,46,47,48,49,50,51,52,53,54,55,56,57,58,119,120,121'</t>
  </si>
  <si>
    <t>'18,20,19,21,22,23,,18'</t>
  </si>
  <si>
    <t>'1,2,27,73,105,160'</t>
  </si>
  <si>
    <t>'73,74,75,76,77,78,79,80,81,82,83,84,85,86,87,88,89,90,105,106,107,108,109,110,111,112,113,114,115,116,117,118,119,120,121,122,123,124,125,160,161,162,163,164,165,166,167,168,169'</t>
  </si>
  <si>
    <t>'1,2,6,117,118,119,120,121,122,124,266,265'</t>
  </si>
  <si>
    <t>'1,1,191,1000,1001,1024,190,187,187,2,4,1014,1017,1016,1015,1007,258,259,249,249,24,38,38,806'</t>
  </si>
  <si>
    <t>'1,5,6'</t>
  </si>
  <si>
    <t>'1,1,1,21,48,137,162'</t>
  </si>
  <si>
    <t>Islam in the World Today : A Handbook of Politics, Religion, Culture, and Society</t>
  </si>
  <si>
    <t>BP161</t>
  </si>
  <si>
    <t>'1,2,3,4,6'</t>
  </si>
  <si>
    <t>Islam, Secularism, and Liberal Democracy : Toward a Democratic Theory for Muslim Societies</t>
  </si>
  <si>
    <t>297.2/72</t>
  </si>
  <si>
    <t>BP190.5.S35H38 2009</t>
  </si>
  <si>
    <t>'1,22,21,48,47,49,50'</t>
  </si>
  <si>
    <t>'1,2,3,5,6,7'</t>
  </si>
  <si>
    <t>The Challenge of Pluralism : Paradigms from Muslim Contexts</t>
  </si>
  <si>
    <t>Social Science; History</t>
  </si>
  <si>
    <t>DS36.8 -- .C43 2009eb</t>
  </si>
  <si>
    <t>'1,6,5,14,13,16,15,17,18,19'</t>
  </si>
  <si>
    <t>The Muslim 100 : The Lives, Thoughts and Achievements of the Most Influential Muslims in History</t>
  </si>
  <si>
    <t>Kube Publishing Ltd</t>
  </si>
  <si>
    <t>DS36.85 .K436 2021</t>
  </si>
  <si>
    <t>'309,310,312,311,313'</t>
  </si>
  <si>
    <t>'1,2,4,6,11,73,72,74,75,76,77,78,79,81,7'</t>
  </si>
  <si>
    <t>Balfour and Weizmann : The Zionist, the Zealot and the Emergence of Israel</t>
  </si>
  <si>
    <t>DS125.5.L47 2009</t>
  </si>
  <si>
    <t>'1,28'</t>
  </si>
  <si>
    <t>'20,21,19'</t>
  </si>
  <si>
    <t>Hijacking America's Mind on 9/11 : Counterfeiting Evidence</t>
  </si>
  <si>
    <t>Algora Publishing</t>
  </si>
  <si>
    <t>HV6432.7 -- .D3836 2013eb</t>
  </si>
  <si>
    <t>'33,49,53'</t>
  </si>
  <si>
    <t>Vibration Control for Building Structures : Theory and Applications</t>
  </si>
  <si>
    <t>Engineering: Construction; Engineering: Civil; Engineering</t>
  </si>
  <si>
    <t>TH1-9745</t>
  </si>
  <si>
    <t>'1,1,2,3,89,90,91,92,93,94,95,96,75,76,,1'</t>
  </si>
  <si>
    <t>Fundamental Bioengineering</t>
  </si>
  <si>
    <t>Engineering: Chemical; Engineering; Engineering: Civil</t>
  </si>
  <si>
    <t>TA164.F863 2016</t>
  </si>
  <si>
    <t>'28,31,30'</t>
  </si>
  <si>
    <t>'399,53'</t>
  </si>
  <si>
    <t>Fundamental of Biomedical Engineering</t>
  </si>
  <si>
    <t>R856 -- .S29 2007eb</t>
  </si>
  <si>
    <t>'1,42,43,42,43,44'</t>
  </si>
  <si>
    <t>Welding Simulations Using ABAQUS : A Practical Guide for Engineers</t>
  </si>
  <si>
    <t>TS227 .M494 2022</t>
  </si>
  <si>
    <t>The Arab Spring : New Patterns for Democracy and International Law</t>
  </si>
  <si>
    <t>Geography/Travel; Law</t>
  </si>
  <si>
    <t>KMC128.5.A73 2013</t>
  </si>
  <si>
    <t>'15,16,17,,,15,16,13'</t>
  </si>
  <si>
    <t>'15,16,17,18,19,20,21,22,23,24,25,26,27,28,29,30,31,32,33,34,35,36,37,38,39,40,41,42,,43,44,45,46,47,48,49,50,51,52,53,54,55,56,57,58,59,60,61,62,63,64,65,66'</t>
  </si>
  <si>
    <t>Splashed by the Saint : Ritual Reading and Islamic Sanctity in West Java</t>
  </si>
  <si>
    <t>BP188.8.I52 -- J285 2009eb</t>
  </si>
  <si>
    <t>'1,3,4,5,6,7,9,10,84,85,185,185'</t>
  </si>
  <si>
    <t>'322,322,122,121,133,134,138,86,88,87,92,91,95,94,104,114,113,119,110,105,98,100,99,54,53,36,39,41,43,42,36,36'</t>
  </si>
  <si>
    <t>'36,37,38,39,40,41,42,43,44,45,46,47,48,49,50,51,52,53'</t>
  </si>
  <si>
    <t>Technological Addictions</t>
  </si>
  <si>
    <t>American Psychiatric Association Publishing</t>
  </si>
  <si>
    <t>RC569.5.I54</t>
  </si>
  <si>
    <t>Basic Korean : Learn to Speak Korean in 19 Easy Lessons (Companion Online Audio and Dictionary)</t>
  </si>
  <si>
    <t>PL913 .K567 2019</t>
  </si>
  <si>
    <t>'1,3,4,5,6,8,26,27,28'</t>
  </si>
  <si>
    <t>'1,2,4,6,7,8,9,10,11'</t>
  </si>
  <si>
    <t>'26,27,28,29,30,31,32,33,34,35,36,37,38,39,40,41,42,43,44,45,46,47,48,49,50,,51,52,53,54,55,56,57,58,59,60,61,62,63,64,65,66,67,68,69,70,71,72,73,74,75'</t>
  </si>
  <si>
    <t>Aircraft Systems : Mechanical, Electrical, and Avionics Subsystems Integration</t>
  </si>
  <si>
    <t>TL671.M59 2008</t>
  </si>
  <si>
    <t>The Soft Power of the Korean Wave : Parasite, BTS and Drama</t>
  </si>
  <si>
    <t>P92.K6 S648 2022</t>
  </si>
  <si>
    <t>'1,2,3,4,5,7'</t>
  </si>
  <si>
    <t>'266,,266,266'</t>
  </si>
  <si>
    <t>Groundwater Arsenic Remediation : Treatment Technology and Scale Up</t>
  </si>
  <si>
    <t>TD427.A77</t>
  </si>
  <si>
    <t>'1,3,42,43,44,45,46,47,48,49,50,52,51,51,52,44,48,50,53,54,56,57,58,59,60,47,42'</t>
  </si>
  <si>
    <t>Mozilla/5.0 (Macintosh; Intel Mac OS X 10_15_7) AppleWebKit/537.36 (KHTML, like Gecko) Chrome/104.0.0.0 Safari/537.36</t>
  </si>
  <si>
    <t>'266,266'</t>
  </si>
  <si>
    <t>'266,,266'</t>
  </si>
  <si>
    <t>'20,21,,3,4,5,6,7,8,9,50,59,54,53,51,49,48,47,44,43,42,40,38,37,36,35,34,33,32,31,55,60,77,87,146,147,148,149,150,151,271,347,354,353'</t>
  </si>
  <si>
    <t>'9,10,11,12,13,14,15,16,17,18,43,31,32,33,34,35,36,37,38,39,40,41,42,43,44,45,46,151,152,153,154,155,156,157,158,159,160,161,162,163,164,165,166,167,168,353,354,355,356,357,358,359,360,361,362,363,364,365,366,367,368,369,370,371,372,373,374,375,376,377,378,379,380,381,382,383,384,385,386,387,388,389,390,391,392,393,394,395,396'</t>
  </si>
  <si>
    <t>Roman Woodworking</t>
  </si>
  <si>
    <t>Engineering: Construction; Engineering; Engineering: Manufacturing</t>
  </si>
  <si>
    <t>TH1111.U47 2007</t>
  </si>
  <si>
    <t>'1,4,7,8'</t>
  </si>
  <si>
    <t>Mozilla/5.0 (iPad; CPU OS 15_6 like Mac OS X) AppleWebKit/605.1.15 (KHTML, like Gecko) CriOS/91.0.4472.80 Mobile/15E148 Safari/604.1</t>
  </si>
  <si>
    <t>The Origins and Use of the Potter's Wheel in Ancient Egypt</t>
  </si>
  <si>
    <t>Archaeopress</t>
  </si>
  <si>
    <t>History; Fine Arts</t>
  </si>
  <si>
    <t>DT62.P72 .D644 2015</t>
  </si>
  <si>
    <t>'1,2,9,7,8,10,23,20,19'</t>
  </si>
  <si>
    <t>'1,2,3,4,7,9,8,10,11'</t>
  </si>
  <si>
    <t>Humanity's End : Why We Should Reject Radical Enhancement</t>
  </si>
  <si>
    <t>Social Science; Science; Science: Biology/Natural History</t>
  </si>
  <si>
    <t>303.48/3</t>
  </si>
  <si>
    <t>GN281 -- .A33 2010eb</t>
  </si>
  <si>
    <t>'1,7,10,15,16,18,188,189,190,191,192,193,194,195,196,197,198,199,200,201,202,203,204,205,206,207,208'</t>
  </si>
  <si>
    <t>'188,189,189'</t>
  </si>
  <si>
    <t>'1,23,22,33,34,35,36,37,38,39,40,41,42,43,151,152,154,155,155,155,156,152,151,153,154,157,159,160,161,163,158,156,156,156,156,353'</t>
  </si>
  <si>
    <t>'156,157,158'</t>
  </si>
  <si>
    <t>'151,152,156,156,157,157'</t>
  </si>
  <si>
    <t>'1,2,3,4,5,6,7,8,9,10,11,12,13,14,15,16,17'</t>
  </si>
  <si>
    <t>'1,1,145,146,145,33'</t>
  </si>
  <si>
    <t>'1,1,1,24,1082,1083,1084,209,1,1,1,,1'</t>
  </si>
  <si>
    <t>Menelaus' Spherics : Early Translation and Al-Māhānī / Al-Harawī's Version</t>
  </si>
  <si>
    <t>516.3/62</t>
  </si>
  <si>
    <t>QA643 .R374 2017</t>
  </si>
  <si>
    <t>'1,1,17,18,18,5,7,11,17,38,87,105,140,413,154,499,795,841,853,879,,1'</t>
  </si>
  <si>
    <t>Angles et Grandeur : D'Euclide à Kamal Al-Din Al-Farisi</t>
  </si>
  <si>
    <t>Mathematics; Philosophy</t>
  </si>
  <si>
    <t>180;512.12;513</t>
  </si>
  <si>
    <t>QA141.15</t>
  </si>
  <si>
    <t>'1,1,5,7,9,16,43,44,40,117,189,353,354,352,,1,1,5,6,7,6'</t>
  </si>
  <si>
    <t>'1,2,3,2,20,25,24,26,,1,1,50,217,372,413,413'</t>
  </si>
  <si>
    <t>'152,152,152,152,152,152,152,152,152'</t>
  </si>
  <si>
    <t>'152,152,151,43,43'</t>
  </si>
  <si>
    <t>'1,1,349'</t>
  </si>
  <si>
    <t>'189,190,191,192,193,194,195,196,197,198,199,200,201,202,203,204,205,206,207,208,209,210,211,212,213,214,215,216,217,218,219,220,221,222,223,224,225,226,227,228,229,230,231,232,,325,326,327,328,329,330,331,332,333,334,335,336,337,338,339,340,341,342,343,344,345,346,347,348,349,350,351,352,353,354,355,356,357,358,359,360,361,362,363,364'</t>
  </si>
  <si>
    <t>'309,311,310,309'</t>
  </si>
  <si>
    <t>'309,310,,311,309,312,310,313,314,5,6,571,572,605,606,607,594'</t>
  </si>
  <si>
    <t>'1,2,10,10,11,12,13,14,15,16,17,18,19,20,188,208,209'</t>
  </si>
  <si>
    <t>'209'</t>
  </si>
  <si>
    <t>Plant Factory : An Indoor Vertical Farming System for Efficient Quality Food Production</t>
  </si>
  <si>
    <t>SB126 .P536 2016</t>
  </si>
  <si>
    <t>'3'</t>
  </si>
  <si>
    <t>'1,1,1,3,,,3'</t>
  </si>
  <si>
    <t>'322,322,320,319,,362,363,364,366,368,369,371,374,384,547,546,549,548,595,594,577,575,572,567'</t>
  </si>
  <si>
    <t>'320,321,322,323,324,325,326,327,328,329,330,331,332,333,334,335,336,337,338,339,340,341,342,343,344,345,346,347,348,349,350,351,352,353,354,355,356,357,358,359,360,361,374,375,547,548'</t>
  </si>
  <si>
    <t>'1,1,141,147,146,148,149,150,145,144,143,157,161,158,160,163,165,167,169,171,208,207,209,210,211,212,213,214,215,216,217,219,220,221,222,223,224,225,226,227,228,229,230,231,232,233,296,320,322'</t>
  </si>
  <si>
    <t>Chromatography : Principles and Instrumentation</t>
  </si>
  <si>
    <t>'1,1,157,158,159,160,161,162,158,158,,1,1'</t>
  </si>
  <si>
    <t>Psychology of Space Exploration: Contemporary Research in Historical Perspective</t>
  </si>
  <si>
    <t>United States Government Printing Office</t>
  </si>
  <si>
    <t>RC1080$b.P793 2011</t>
  </si>
  <si>
    <t>'1,,1,2,3,4,5,6,7,7,44,45,46,47,48,49,49,49'</t>
  </si>
  <si>
    <t>'44,45,46,47,48,49,50,51,52,53,54,55,56,57,58,59,60,61,62,63,64,65,66,67,68,69'</t>
  </si>
  <si>
    <t>'49'</t>
  </si>
  <si>
    <t>U. S. -European Collaboration in Space Science</t>
  </si>
  <si>
    <t>Science: Astronomy</t>
  </si>
  <si>
    <t>Medieval Islamic Political Thought</t>
  </si>
  <si>
    <t>BP173.7</t>
  </si>
  <si>
    <t>Mozilla/5.0 (Windows NT 10.0; Win64; x64) AppleWebKit/537.36 (KHTML, like Gecko) Chrome/104.0.0.0 Safari/537.36</t>
  </si>
  <si>
    <t>The Iran-Iraq War : New International Perspectives</t>
  </si>
  <si>
    <t>DS318.85 .I74 2012</t>
  </si>
  <si>
    <t>'1,2,6,7,8,28,29,30,31,9,119,120,120,11,28,30,32,33,34,35,36,63,68,80,83,83,7,17,17,34,34,34,,34'</t>
  </si>
  <si>
    <t>Conversational AI</t>
  </si>
  <si>
    <t>Manning Publications Co. LLC</t>
  </si>
  <si>
    <t>QA76.76.E95 F744 2021</t>
  </si>
  <si>
    <t>'2,3,4,5,6,7,20,21,22,23'</t>
  </si>
  <si>
    <t>Sustainable Carbon Capture : Technologies and Applications</t>
  </si>
  <si>
    <t>Engineering; Engineering: Civil; Engineering: Environmental</t>
  </si>
  <si>
    <t>628.5/32</t>
  </si>
  <si>
    <t>TA170 .S878 2022</t>
  </si>
  <si>
    <t>'94,95,97,98,100,101,102,103,104,1,2,4,5,7,8,12,14,16,19,22,23,24'</t>
  </si>
  <si>
    <t>Professional Learning in the Knowledge Society</t>
  </si>
  <si>
    <t>L1-991</t>
  </si>
  <si>
    <t>'1,77,78,79,80,81,82'</t>
  </si>
  <si>
    <t>'1,30,31,32,33,34,21,17,,1,90,91,93,94,95,96,92,98,99,100,101,102,103,104,106,108,166'</t>
  </si>
  <si>
    <t>'152,152,43,44,42'</t>
  </si>
  <si>
    <t>Meeting Global Challenges : German-U. S. Innovation Policy: Summary of a Symposium</t>
  </si>
  <si>
    <t>HD3498.M44 2012eb</t>
  </si>
  <si>
    <t>Mass and Energy Balancing : Calculations for Plant Design</t>
  </si>
  <si>
    <t>TP155.75 .P758 2021</t>
  </si>
  <si>
    <t>'22,25,28,29,35,41,40,39,34,37,36,38,41,40,39,39,39,40,38,37,39'</t>
  </si>
  <si>
    <t>Carbon Nanotubes and Carbon Nanofibers in Concrete--Advantages and Potential Risks</t>
  </si>
  <si>
    <t>TA418.9.N35 C857 2021</t>
  </si>
  <si>
    <t>'1,2,190,166'</t>
  </si>
  <si>
    <t>'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'</t>
  </si>
  <si>
    <t>27th European Symposium on Computer Aided Process Engineering</t>
  </si>
  <si>
    <t>TP155.75.E878 2017</t>
  </si>
  <si>
    <t>'1176,1177,1175'</t>
  </si>
  <si>
    <t>'1176,1177,1178,1179,1180,1181,,,,,,,,,1176,1177,1178,1179,1180,1181'</t>
  </si>
  <si>
    <t>The Iraqi Invasion of Kuwait : Religion, Identity and Otherness in the Analysis of War and Conflict</t>
  </si>
  <si>
    <t>956.7044/2</t>
  </si>
  <si>
    <t>DS79.72 -- .H425 1999eb</t>
  </si>
  <si>
    <t>'1,1,,1,83,84,135,174,85,83,8,9,31,133,135,167,168,,169,,169,169,169,77,77,8,91,92,108,,1,1,1,8,31,32,65,126,156,156,8,9,10,11,20'</t>
  </si>
  <si>
    <t>'1,,1,31,48,38,38,39,38,38,,40,41,41,41,40,39,39,105,105,64,65,,1,1,1,18,19,25,26,26,33,27,40,46,51,52,53'</t>
  </si>
  <si>
    <t>'38,38'</t>
  </si>
  <si>
    <t>'1,134,134,98,99,125,126,127,128,129,130,131,130,131,131,131,132,133,134,130,131,132,133,134,71,132,71,133,72,74,75,76,78,80,134,134,134,134,135,136,137,136,136,137,138,134,139,140,,1,1,127,128,129,136,137,138,137,1,1,,,137,137,18'</t>
  </si>
  <si>
    <t>'130,131,131,131,131,132,137,137,137,136,136,,136,136'</t>
  </si>
  <si>
    <t>'152,151,145,143,43,42,44,43,43,43,43,43'</t>
  </si>
  <si>
    <t>'43'</t>
  </si>
  <si>
    <t>'1,2,3,5'</t>
  </si>
  <si>
    <t>'1,2,,9,10,11,12,13,14,15,16,17,18'</t>
  </si>
  <si>
    <t>Information Literacy in the Digital Age : An Evidence-Based Approach</t>
  </si>
  <si>
    <t>General Works/Reference; Library Science</t>
  </si>
  <si>
    <t>ZA3075.W457 2010eb</t>
  </si>
  <si>
    <t>'1,122,120,121,101,102'</t>
  </si>
  <si>
    <t>'122'</t>
  </si>
  <si>
    <t>Studies in Modern Religions, Religious Movements and the Bābī-Bahā'ī Faiths</t>
  </si>
  <si>
    <t>BP603 -- .S78 2004eb</t>
  </si>
  <si>
    <t>'1,11,12,13,14,15,16,17,18,19'</t>
  </si>
  <si>
    <t>Islam : Between Message and History</t>
  </si>
  <si>
    <t>BP60 -- .C43 2009eb</t>
  </si>
  <si>
    <t>'1,37,34,35,36,44,56,66,84,96,108,118'</t>
  </si>
  <si>
    <t>Guardians of Faith in Modern Times: ʿUlamaʾ in the Middle East : Ulama' in the Middle East</t>
  </si>
  <si>
    <t>BP185.G83 2009</t>
  </si>
  <si>
    <t>'1,2,3,4,5,6,7,8,42,77,78,79,80,81,82'</t>
  </si>
  <si>
    <t>'1,6'</t>
  </si>
  <si>
    <t>Mozilla/5.0 (iPhone; CPU iPhone OS 14_7_1 like Mac OS X) AppleWebKit/605.1.15 (KHTML, like Gecko) Version/14.1.2 Mobile/15E148 Safari/604.1</t>
  </si>
  <si>
    <t>'1,27,27,27,27,28,28'</t>
  </si>
  <si>
    <t>'27,28,29,30,31,32,33,34,35,36,37,38,39,40,41,42,43'</t>
  </si>
  <si>
    <t>Mozilla/5.0 (Macintosh; Intel Mac OS X 10_15_4) AppleWebKit/537.36 (KHTML, like Gecko) Chrome/104.0.0.0 Safari/537.36</t>
  </si>
  <si>
    <t>'152,152,153,154,154,27,41,42,87,40,40,40,40,40,41,41,41,42,41,41,42,42,42,42,42,42,9,27,41,87,145,192,206,248,271,302,43,44,45,46,47,42,42'</t>
  </si>
  <si>
    <t>'42'</t>
  </si>
  <si>
    <t>'1,2,3,4,1,2,3,,1'</t>
  </si>
  <si>
    <t>'1,3,4,5,6,7,9,10,11,12,18,19,20,21,22,23,24,25,26,26,144,145,146,147,148,149,150,151,152,,152'</t>
  </si>
  <si>
    <t>'1,190'</t>
  </si>
  <si>
    <t>'1,100,101,92,93,95,96,97,99,240,134,135,136,137,137,122'</t>
  </si>
  <si>
    <t>'1,3,4'</t>
  </si>
  <si>
    <t>Living Gut</t>
  </si>
  <si>
    <t>Nottingham University Press</t>
  </si>
  <si>
    <t>Science; Science: Biology/Natural History; Agriculture</t>
  </si>
  <si>
    <t>QR171.G29 -- E95 2008eb</t>
  </si>
  <si>
    <t>'1,1,84,85,86,87,88,89,90,91'</t>
  </si>
  <si>
    <t>'1,1,110,110,12'</t>
  </si>
  <si>
    <t>Between Levinas and Heidegger</t>
  </si>
  <si>
    <t>'1,1,22,21,23,24,25,26,27,22,26,27,24,25,28,23,29,30,38,37'</t>
  </si>
  <si>
    <t>'27,27,27,28'</t>
  </si>
  <si>
    <t>'1,2,5,6,8,12,11,13,14,15,17,27,28,44,43,73,74,72,45,91,92,105,106,126,125,127,142,143,160,158,157,161,170,169'</t>
  </si>
  <si>
    <t>'1,27,27,34,24,27,24,23,22,25,26,27,28,,28,28,,29,39,40,38,41,107,108,144,159,159'</t>
  </si>
  <si>
    <t>'27,27,27,27'</t>
  </si>
  <si>
    <t>'1,1,97,98,97,97,98,99,99,98,125,126,129,130,131,132,136,97,100,99,99,100,101,100,100,100,100,100,101,102,103,,101,,103,104,105,106,107,108,109,110,111,113,136,136,137,138,136,137,98,125,126,127,129,130,130,122,123,124,122,130'</t>
  </si>
  <si>
    <t>'97,97,97,98,99,98,99,99,99,100,100,100,100,100,101,,101,,98,98,122,122'</t>
  </si>
  <si>
    <t>'1,1,95,95,95,95,96,97,98,99,100,101,102,101,101,101,102,102,102,102,101,101,101,101,101,100,99,99,98,97,97,55,97,97,97,98,99,96,310,311,312,314,288,284,285,285,285,97'</t>
  </si>
  <si>
    <t>'102,101,102,101,102,99,97,97,97,285,285,97'</t>
  </si>
  <si>
    <t>'1,1,1,8,9,10,11,11,11,11,23,24,25,25,25,23,24,26,27,107,111,114,160,200,201,201,201,201,11,11,43,61,64,68,,68,67,79,80,81,198,125,126,127,3,8,9'</t>
  </si>
  <si>
    <t>'1,25,25,32,26,27,28,28,28,25,26,26,26,27,27,27,27,5,26,,26,26,29,34,40,62,63,73,173,8,25,30,31,32'</t>
  </si>
  <si>
    <t>'26,27,26'</t>
  </si>
  <si>
    <t>'1,27,44,73,91,75,12,8,6,,,,73,1,3,4,5,7,8,9,11,12,12,12,13,12,12,12,12'</t>
  </si>
  <si>
    <t>'73,74,75,76,77,78,79,80,81,82,83,84,85,86,87,88,89,90,,44,45,46,47,48,49,50,51,52,53,54,55,56,57,58,59,60,61,62,63,64,65,66,67,68,69,70,71,72'</t>
  </si>
  <si>
    <t>'12,12'</t>
  </si>
  <si>
    <t>Chemical Thermodynamics for Industry</t>
  </si>
  <si>
    <t>Conflict and Peacemaking in Israel-Palestine : Theory and Application</t>
  </si>
  <si>
    <t>DS119.76 -- .H3557 2011eb</t>
  </si>
  <si>
    <t>'1,35,40,41'</t>
  </si>
  <si>
    <t>'1,28,126,127'</t>
  </si>
  <si>
    <t>Political Transformation of Gulf Tribal States : Elitism and the Social Contract in Kuwait, Bahrain and Dubai, 1918-1970s</t>
  </si>
  <si>
    <t>Liverpool University Press</t>
  </si>
  <si>
    <t>History; Political Science; Social Science</t>
  </si>
  <si>
    <t>A Sufi-Jewish Dialogue : Philosophy and Mysticism in Bahya Ibn Paquda's Duties of the Heart</t>
  </si>
  <si>
    <t>296.3/6</t>
  </si>
  <si>
    <t>'1,161,162,163'</t>
  </si>
  <si>
    <t>'1,1,13,13,14,15'</t>
  </si>
  <si>
    <t>Liquid Chromatography : Fundamentals and Instrumentation</t>
  </si>
  <si>
    <t>Science: Chemistry; Science; Science: Biology/Natural History</t>
  </si>
  <si>
    <t>543/.84</t>
  </si>
  <si>
    <t>QP519.9.L55 -- L563 2013eb</t>
  </si>
  <si>
    <t>'1,1,4,3,54,55,55,56,57,,4,5,32,30,29,14,13,16,15,17'</t>
  </si>
  <si>
    <t>'1,2,3,136,137,138,139,140,141,142,143,144,145,146,147,148,149,148,148,147,146,146,146'</t>
  </si>
  <si>
    <t>'1,2,3,4,5,6,7,8,137,140,139,141,142,143,144,145,146,138'</t>
  </si>
  <si>
    <t>'1,,1,2,3,4,5,6,7,8'</t>
  </si>
  <si>
    <t>The British Left and Zionism : History of a Divorce</t>
  </si>
  <si>
    <t>DS150.L4 .K454 2012</t>
  </si>
  <si>
    <t>Iraq, Democracy and the Future of the Muslim World</t>
  </si>
  <si>
    <t>JQ1849.A1 -- P39 2010eb</t>
  </si>
  <si>
    <t>'1,160,161,162,199'</t>
  </si>
  <si>
    <t>Risk Governance of Offshore Oil and Gas Operations</t>
  </si>
  <si>
    <t>Law; Business/Management</t>
  </si>
  <si>
    <t>HD9560.5.R48 2014eb</t>
  </si>
  <si>
    <t>'1,7,8,9,10,11,12,11,11,11,6,11,11,12,13,263,264'</t>
  </si>
  <si>
    <t>Fiber-Optic Sensors for Biomedical Applications</t>
  </si>
  <si>
    <t>R857.B54 .T675 2018</t>
  </si>
  <si>
    <t>Partitioning Palestine : Legal Fundamentalism in the Palestinian-Israeli Conflict</t>
  </si>
  <si>
    <t>KZ4282 -- .S77 2010eb</t>
  </si>
  <si>
    <t>Urban Theory Beyond the West : A World of Cities</t>
  </si>
  <si>
    <t>HT113 -- .E44 2012eb</t>
  </si>
  <si>
    <t>'19,20,21,22,23,24,25,26,27,28,29,30,31,32,33,34,35,36,37,38,39,40,41,42,43,44,45'</t>
  </si>
  <si>
    <t>Cities of Tomorrow : An Intellectual History of Urban Planning and Design Since 1880</t>
  </si>
  <si>
    <t>'199,200,201,202,203,204,205,206,207,208,209,210,211,212,213,214,215,216,217,218,219,220,221,222,223,224,225,226,227,228,229,230,231,232,233,234,235,236,237,238,239,240,241,242,243,244,245,246,247,248,249,250,251,252,253,254,255,256,257,258,259,260,,27,28,29,30,31,32,33,34,35,36'</t>
  </si>
  <si>
    <t>Chemical Process Design and Simulation: Aspen Plus and Aspen Hysys Applications</t>
  </si>
  <si>
    <t>TP155.7 .H393 2019</t>
  </si>
  <si>
    <t>'1,573,574,575,574,574,573'</t>
  </si>
  <si>
    <t>'573,574'</t>
  </si>
  <si>
    <t>Site Matters : Strategies for Uncertainty Through Planning and Design</t>
  </si>
  <si>
    <t>NA2540.5 .B876 2021</t>
  </si>
  <si>
    <t>'80,81,82,83,84,85,86,87,88,89,90,,146,147,148,149,150,151,152,153,154,155,156,157,158,159,160,161,162,163,164,165,166,,204,205,206,207,208,209,210,211,212,213,214,215,216,217,218,,219,220,221,222,223,224,225,226,227,228,229,,230,231,232,233,234,235,236,237,238,239,240,,241,242,243,244,245,246,247,248,249,250,251,252,253,,254,255,256,257,258,259,260,261,262,263,264,265,266'</t>
  </si>
  <si>
    <t>'1,1,1,12,26,13,14,15,16,18,23,27,31,49,428,428,12,13,18,,18'</t>
  </si>
  <si>
    <t>'1,1,30,43,44,44,44,3,4,7,8,9,1,2,1,1,2,3,3,5,8,9,20,4,4,,,,4,8,9,13,14,15,20,43,44,3,3,11,12,12,11,13,3,11,8,9,12,20,46,46,46,,46,46,46,16,37,3,3,3,3,12,12,12,12,,12'</t>
  </si>
  <si>
    <t>Writing the History of Israel</t>
  </si>
  <si>
    <t>221.9/50072022</t>
  </si>
  <si>
    <t>DS115.5.B33 2006</t>
  </si>
  <si>
    <t>Mozilla/5.0 (iPad; CPU OS 14_8 like Mac OS X) AppleWebKit/605.1.15 (KHTML, like Gecko) CriOS/105.0.5195.129 Mobile/15E148 Safari/604.1</t>
  </si>
  <si>
    <t>The Modern Middle East, Third Edition : A Political History since the First World War</t>
  </si>
  <si>
    <t>DS62.8.K366 2013eb</t>
  </si>
  <si>
    <t>'1,,,3,10,11,11,11,11,10,18,19,195,23,22,16,136,136,136,137,18,18,18,19,20,21,21,18,19,22,22,21,23,24,35,36,37,38,39,35,35,36,37,38,39,40,41,49,50,51,94,92,68,70,71,72,73,74,75,79,93,10,136,,21,21,10,11,110,111,110,110,110,110,49,52,56,62,63,72,73,74,240,136,137,138,111,111,95,96,195,97,98,98,99,99,25,80,81,94,95,94,95,95,102,103,110,97,98,102,102,102,103,104,105,106,110,111,112,113,114,115,116,116,116,35,35,36,102,101,100,100,99,98,99,99,99,98,97,99,99,30,41,43,44,46,67,68,90,91,92,93,94,95,240,99,99,100,101,108,120,122,123,124,129,131,132,132,122,123,92,93,94,95,95,96,97,98,99,100,100,90,193,249,249,249,250,90,90,89,89,49,88'</t>
  </si>
  <si>
    <t>'136,18,18,35,35,35,,10,110,94,94,102,102,102,131,90'</t>
  </si>
  <si>
    <t>'1,3,8,9,8,10,8,14,9,10,12,13,15,16,17,19,18,18,19,20,21,8,9,18,16,8,13,40,41,40,40,8,41,42,43,44,45,272,1,2,2,2,1,8,,25,25,32,26,27,28,29,30,31,33,36,37,40,39,38,36,39,36,25,26,28,29,27,26,26,25,27,28,29,30,31,32,32,32,32,33,33,33,34,35,36,37,37,30,79,80,92,1,8,8,26,27,28,29,26,27,1,8,67,68,69,,69,69,8,25,26,27,28,29,29,26,26,26,26,19,25,50,80,152,153,175,176,40,41,42,42,42'</t>
  </si>
  <si>
    <t>'18,8,8'</t>
  </si>
  <si>
    <t>Routledge Handbook on the Israeli-Palestinian Conflict</t>
  </si>
  <si>
    <t>DS119.7 -- .R679 2013eb</t>
  </si>
  <si>
    <t>'1,20,1,21,3'</t>
  </si>
  <si>
    <t>Demystifying Doha : On Architecture and Urbanism in an Emerging City</t>
  </si>
  <si>
    <t>NA1473.6.D39 -- S25 2013eb</t>
  </si>
  <si>
    <t>'86,,86'</t>
  </si>
  <si>
    <t>'1,2,,1,20,21,22,23'</t>
  </si>
  <si>
    <t>Radioactivity: Introduction and History</t>
  </si>
  <si>
    <t>QC795.L36 2007</t>
  </si>
  <si>
    <t>'1,2,4,6,7,9,8,70,71,72,73,74,75,76,77,94,94,94,91,94,95,96,97,98,99,100,101,102,103,104,105,106,107,108,111,112'</t>
  </si>
  <si>
    <t>'1,1,38,37,39,40,41,42,43,44,45,46,47,48,49,50,51,52,53,8,7,20,19,9,10,11,12,13,14,15'</t>
  </si>
  <si>
    <t>'45,45,53'</t>
  </si>
  <si>
    <t>'1,2,3,4,6,7,10,15,17,19,18,20,21,22,23,24,25,26,28,29,30,31,32,33,34,35,37,37,37,38,39,40,41,211,212,213,214,214,146,147'</t>
  </si>
  <si>
    <t>Rumi and the Whirling Dervishes</t>
  </si>
  <si>
    <t>ATF Press</t>
  </si>
  <si>
    <t>PK6482$b.A437 2019</t>
  </si>
  <si>
    <t>'1,3,5,6,7,8,9,11,,11,13,14,26,27,24,22,21,20,19,18,17,16,29,40,41,42,38,37,36,35,34'</t>
  </si>
  <si>
    <t>'1,126'</t>
  </si>
  <si>
    <t>'1,,1,,1,214,236,235,233,231,229,228,227,225,224,223,222,221,220,219,218,217,97,98'</t>
  </si>
  <si>
    <t>'1,1,1,1,16,10,10,11,270,271,13,12,14,15,16,10,11,10,11,11,,1,2,2,3,4,1,1,3,10,10,11,1,2,3,10,4,5,5,10,,10,,,1,1,10'</t>
  </si>
  <si>
    <t>'10,11,12,13,14,15'</t>
  </si>
  <si>
    <t>Israel : A History</t>
  </si>
  <si>
    <t>Brandeis University Press</t>
  </si>
  <si>
    <t>DS149</t>
  </si>
  <si>
    <t>'1,3,4,5,6,7,23,22,9,11,12,13,14,15,16,17,18,19,20,21,21,21'</t>
  </si>
  <si>
    <t>Kuwait Transformed : A History of Oil and Urban Life</t>
  </si>
  <si>
    <t>HT147</t>
  </si>
  <si>
    <t>'1,1,,1,1,125,137,162,189,226,275,289'</t>
  </si>
  <si>
    <t>'296,296,295,294,297,301,320,319,318,318,318,266,296,294,266,266,267'</t>
  </si>
  <si>
    <t>'296,297,298,299,300,301,302,303,304,305,306,307,308,309,310,311,312,313,314,315,316,317,318,266,267,268,269,270,271,272,273,274,275,276,277,278,279,280,281,282,283,284,285,286,287,288,289,290,291,292,293,294'</t>
  </si>
  <si>
    <t>Urban Mobility Design</t>
  </si>
  <si>
    <t>HE305 .C696 2019</t>
  </si>
  <si>
    <t>'1,296,297,298,299,300,301,302,303,304,305,306,307,308,309,310,311,312,313,314,315,316,317,318,318,266,265,267,268,269,270,272,273,274,275,274,296'</t>
  </si>
  <si>
    <t>'318,319'</t>
  </si>
  <si>
    <t>'1,1,3,4,5,6,7,8,9,10,20,17,11,279,280,281,277,,2,4,4,8,9,12,12,12,29,30,30,92,178,179,,1,2,3,8,4,5,,,,14,1,2,3,3'</t>
  </si>
  <si>
    <t>'279,279'</t>
  </si>
  <si>
    <t>'1,1,8,9,2,18,19,20,20,18,20,8,,1,2,8,8,9,25,,1,25,25,26,27,28,29,30,40,41,42,43,8,8'</t>
  </si>
  <si>
    <t>'18,19,20,21,22,23,24'</t>
  </si>
  <si>
    <t>Chances for Peace : Missed Opportunities in the Arab-Israeli Conflict</t>
  </si>
  <si>
    <t>DS119</t>
  </si>
  <si>
    <t>'1,28,29,30,84,126'</t>
  </si>
  <si>
    <t>Handbook of Pharmacology and Physiology in Anesthetic Practice</t>
  </si>
  <si>
    <t>615/.781</t>
  </si>
  <si>
    <t>RD82.2 -- .S686 2006eb</t>
  </si>
  <si>
    <t>'1,2,57,56,54,58,59,60,61,62,63,64,65,66,67,68,69,70,71,72,73,74,75,76,77,78,79,80,81,82,83,84,85,86,87,88,89,90,91,92,93,191,192,193,194,195,196,197,198,199,279,280,281,282,283,284,285,286,287,288,289,,1,93,94,95,96,57,58,279,280,281,282,283,284,285,286,287,288'</t>
  </si>
  <si>
    <t>'1,22,23,214,215,216,217,218,97,12,13,14,15,16,17,18'</t>
  </si>
  <si>
    <t>'12,13,14'</t>
  </si>
  <si>
    <t>'12,13,14,15,16,17,18'</t>
  </si>
  <si>
    <t>Modernity, Islam, and Secularism in Turkey : Bodies, Places, and Time</t>
  </si>
  <si>
    <t>Religion; Political Science</t>
  </si>
  <si>
    <t>BP190.5.S35 -- C56 2005eb</t>
  </si>
  <si>
    <t>Magnetic Resonance Imaging : Physical Principles and Sequence Design</t>
  </si>
  <si>
    <t>616.07/548</t>
  </si>
  <si>
    <t>RC78.7.N83.M346 201</t>
  </si>
  <si>
    <t>'101,138,102,103,104,105,106,107,108,109,110,111,112,113,114,115,116,117,118,119,120,121,139,140,141,142,143,144,145,146,147,148,149,150,151,152,153,154'</t>
  </si>
  <si>
    <t>'1,2,3,4,5,6,7,8,10,9'</t>
  </si>
  <si>
    <t>The Pedagogy of the Open Society : Knowledge and the Governance of Higher Education</t>
  </si>
  <si>
    <t>About Star Architecture : Reflecting on Cities in Europe</t>
  </si>
  <si>
    <t>D1-2027</t>
  </si>
  <si>
    <t>'1,2,3,4,4,4,4,3,3,5,7,8,9,272,269'</t>
  </si>
  <si>
    <t>Knowledge Socialism : The Rise of Peer Production: Collegiality, Collaboration, and Collective Intelligence</t>
  </si>
  <si>
    <t>LB1-3640</t>
  </si>
  <si>
    <t>The Politics of Knowledge in Education</t>
  </si>
  <si>
    <t>370.11/5</t>
  </si>
  <si>
    <t>LC196 .R38 2012</t>
  </si>
  <si>
    <t>'1,1,20,19,21'</t>
  </si>
  <si>
    <t>Research in Urban Sociology</t>
  </si>
  <si>
    <t>HT351</t>
  </si>
  <si>
    <t>'24,25,26,27,28,29,30,31,32,33,34,35,36,37,38,39,40,41,42,43,44,45,46,47,48,49,50,51,52,53,54,55,56,57'</t>
  </si>
  <si>
    <t>'49,50,51,52,53,54,55,56,57,58,59,60,61,62,63,64,65,66,67,68,69,70,71,72,73,74,75,76,77,78,79,80,81'</t>
  </si>
  <si>
    <t>Temptations of Power : Islamists and Illiberal Democracy in a New Middle East</t>
  </si>
  <si>
    <t>BP173.7 -- .H3555 2014eb</t>
  </si>
  <si>
    <t>'72,73,74,75,76,77,78,79,80,81,82,83,84,85,86,87,88,89,90,91,92,93,94,95,96'</t>
  </si>
  <si>
    <t>The Struggle over Democracy in the Middle East : Regional Politics and External Policies</t>
  </si>
  <si>
    <t>JQ1850.A91 -- S77 2010eb</t>
  </si>
  <si>
    <t>'96,98,99,113,114,,96'</t>
  </si>
  <si>
    <t>'98,99,100,101,102,103,104,105,106,107,108,109,110,111,112,113,114,115,116,117,118,119,120,121,122,123,124,125,126,127,128,129,130,131,132,133,134,135,136,137,138,139,140,141,142,143,144,145,146,147,148,149,150,151'</t>
  </si>
  <si>
    <t>'1,2,4,27,27,28,28,29,30,31,32,33,36,38,39,40,41,42,44,43,37,35,34,30,30'</t>
  </si>
  <si>
    <t>'1,12,13,14,10,11,2,4,6,22,214,215,217,218'</t>
  </si>
  <si>
    <t>Asian Alleyways : An Urban Vernacular in Times of Globalization</t>
  </si>
  <si>
    <t>Amsterdam University Press</t>
  </si>
  <si>
    <t>'1,80,84'</t>
  </si>
  <si>
    <t>'1,3,31,32,33,34,36,37,39,39,65,199,205,212,216'</t>
  </si>
  <si>
    <t>Urban Design</t>
  </si>
  <si>
    <t>Social Science; Architecture; Fine Arts</t>
  </si>
  <si>
    <t>307.76;711.4</t>
  </si>
  <si>
    <t>NA9040 -- .U677 2009eb</t>
  </si>
  <si>
    <t>'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'</t>
  </si>
  <si>
    <t>'22,23,24,25,26,27,28,29,30,31,32,33,34,35,36,37,38,39,40,41,42,43,44,45,46,47,48,49,50,51,52,53,54,55,56,57,58,59,60,61,62,63,64,65,66,67,68,69,70,71,72,73,74,75,76,77,78,79,,22,23,24,25,26,27,28,29,30,31,32,33,34,35,36,37,38,39,40,41,42,43,44,45,46,47,48,49,50,51,52,53,54,55,56,57,58,59,60,61,62,63,64,65,66,67,68,69,70,71,72,73,74,75,76,77,78,79,,174,175,176,177,178,179,180,181,182,183,184,185,186,187,188,189,190,191,192,193,194,195,196,197,198,199,200,201,202,203,204,205,206,207,208,209,210,211,212,213,214,215,216,217,218,219,,174,175,176,177,178,179,180,181,182,183,184,185,186,187,188,189,190,191,192,193,194,195,196,197,198,199,200,201,202,203,204,205,206,207,208,209,210,211,212,213,214,215,216,217,218,219,,,80,81,82,83,84,85,86,87,88,89,90,91,92,93,94,95,96,97,98,99,100,101,102,103,104,105,106,107,108,109,110,111,112,113,114,115,116,117,118,119,120,121,122,123,124,125,126,127,128,129,130,131,,220,221,222,223,224,225,226,227,228,229,230,231,232,233,234,235,236,237,238,239,240,241,242,243,244,245,246,247,248,249,250,251,252,253,254,255,256,257,258,259,260,261,262,263,264,265,266,267,268,269,270,271,272,273,,132,133,134,135,136,137,138,139,140,141,142,143,144,145,146,147,148,149,150,151,152,153,154,155,156,157,158,159,160,161,162,163,164,165,166,167,168,169,170,171,172,173'</t>
  </si>
  <si>
    <t>Bioaccessibility and Digestibility of Lipids from Food</t>
  </si>
  <si>
    <t>Science: Biology/Natural History; Science; Science: Anatomy/Physiology</t>
  </si>
  <si>
    <t>QR115-129</t>
  </si>
  <si>
    <t>'9,1,2,3,4,5,6,7,8,11,10'</t>
  </si>
  <si>
    <t>'1,161'</t>
  </si>
  <si>
    <t>'1,28,29,30,31,32,33,34,35,36,37,38,39,40,41,42,43,44,45,46,47,48,49,50,51,52'</t>
  </si>
  <si>
    <t>Naguib Mahfouz : The Pursuit of Meaning</t>
  </si>
  <si>
    <t>'1,2,3,4,7,8,10,9,12,18,18,19,20,22,21,23,24,26,28,28,22,18,20,21,24,25,26,27,29,30,31,32,33,34,35,36,37,38,39,40,42,43,44,45,46,47,48,49,45,28,45,,1,2,4,3,5,5,5'</t>
  </si>
  <si>
    <t>'18,18,29,30,31,35,35,36,48,48'</t>
  </si>
  <si>
    <t>Gender, Nation, and the Arabic Novel : Egypt, 1892-2008</t>
  </si>
  <si>
    <t>PJ8212 -- .E53 2012eb</t>
  </si>
  <si>
    <t>'1,2,102,103,,1,3,4,5,102,103,105,118,116,115,117,,102'</t>
  </si>
  <si>
    <t>'5'</t>
  </si>
  <si>
    <t>'1,22,23,24,97'</t>
  </si>
  <si>
    <t>Forging the Future of Space Science : The Next 50 Years : An International Public Seminar Series Organized by the Space Studies Board—Selected Lectures</t>
  </si>
  <si>
    <t>Science; Science: Astronomy; Science: General</t>
  </si>
  <si>
    <t>QB500 -- .F67 2010eb</t>
  </si>
  <si>
    <t>'90,90'</t>
  </si>
  <si>
    <t>'1,,1,126,,1,126,127,128,129,130,131,132,133,134,136,137,138,139,140'</t>
  </si>
  <si>
    <t>'1,3,5,7,8,16,17,18,20,21,22,18,19,19'</t>
  </si>
  <si>
    <t>'90,91'</t>
  </si>
  <si>
    <t>'1,2,2,3,4,5,7,18,19,20,21,22,23,24,25,25,26,28,29,30,31,32,33,34,36,37,28,31,32,33,34,35,36,37,38,39,40,41,42,43,44,46,47,19,13,22,20,23,24,25,26,27,29'</t>
  </si>
  <si>
    <t>'18,18,28'</t>
  </si>
  <si>
    <t>Last Station : Naguib Mahfouz Looking Back</t>
  </si>
  <si>
    <t>PJ7846.A46.Z77735613 2007</t>
  </si>
  <si>
    <t>'1,7,8,9'</t>
  </si>
  <si>
    <t>'1,2,3,4,6,6,39,58,57,56,8,10,12,13,14,15,16,17,11,9,7,89,96,97,104,107,106,106,106,107'</t>
  </si>
  <si>
    <t>House of the Wolf : An Egyptian Novel</t>
  </si>
  <si>
    <t>Fiction; Literature</t>
  </si>
  <si>
    <t>PJ7858.A46.Q364 2013</t>
  </si>
  <si>
    <t>Oil and the Political Economy in the Middle East : Post-2014 Adjustment Policies of the Arab Gulf and Beyond</t>
  </si>
  <si>
    <t>Economics</t>
  </si>
  <si>
    <t>'1,2,3,4,5,6,7,8,9,10,12,13,14,15,16,18,19'</t>
  </si>
  <si>
    <t>Specters of World Literature : Orientalism, Modernity, and the Novel in the Middle East</t>
  </si>
  <si>
    <t>'1,4,6,196,197,198,199,200,202,,1,2,196,329'</t>
  </si>
  <si>
    <t>On Literature and Philosophy : The Non-Fiction Writing of Naguib Mahfouz: Volume 1</t>
  </si>
  <si>
    <t>892.7/46</t>
  </si>
  <si>
    <t>PJ7846</t>
  </si>
  <si>
    <t>'1,2,8,9,11,16,17,18,19,20,21,22,23,25,26,27,,1,6,17,8,9,10,13,20,21,22,16,18,26,28,36'</t>
  </si>
  <si>
    <t>A History of Intoxication : Opium in Assam, 1800-1959</t>
  </si>
  <si>
    <t>HV5816 .K687 2020</t>
  </si>
  <si>
    <t>'45,46,47,48,49,50,51'</t>
  </si>
  <si>
    <t>Israel and Palestine : Competing Histories</t>
  </si>
  <si>
    <t>DS119.7 -- .B425 2006eb</t>
  </si>
  <si>
    <t>'1,2,3,4,5,7,9,11,13,14,15'</t>
  </si>
  <si>
    <t>Israel's Years of Bogus Grandeur : From the Six-Day War to the First Intifada</t>
  </si>
  <si>
    <t>956.9405/4092 B</t>
  </si>
  <si>
    <t>DS113.8.I72R44 2006</t>
  </si>
  <si>
    <t>'8,9,10'</t>
  </si>
  <si>
    <t>Failing Peace : Gaza and the Palestinian-Israeli Conflict</t>
  </si>
  <si>
    <t>DS119.7 .R695 2007</t>
  </si>
  <si>
    <t>'1,3,4,5,7'</t>
  </si>
  <si>
    <t>A Guide to Documents on the Arab-Palestinian/Israeli Conflict: 1897-2008</t>
  </si>
  <si>
    <t>History; Law</t>
  </si>
  <si>
    <t>KZ6795.A72D63 2009</t>
  </si>
  <si>
    <t>'1,139,140,141,142,143,144'</t>
  </si>
  <si>
    <t>'142,142'</t>
  </si>
  <si>
    <t>'102,101,100'</t>
  </si>
  <si>
    <t>'1,2,3,90,89,48,47,49,50,51,52,124,123,125,126,127,128'</t>
  </si>
  <si>
    <t>'1,3,4,6,8,9,11,12,31,31,151,1,8,10,12,14,15,353,353'</t>
  </si>
  <si>
    <t>'31,32,33,34,35,36,37,38,39,40,41,42,43,44,45,46,151,152,153,154,155,156,157,158,159,160,161,162,163,164,165,166,167,168,353,354,355,356,357,358,359,360,361,362,363,364,365,366,367,368,369,370,371,372,373,374,375,376,377,378,379,380,381,382,383,384,385,386,387,388,389,390,391,392,393,394,395,396'</t>
  </si>
  <si>
    <t>'1,2,3,3,,102,102,95'</t>
  </si>
  <si>
    <t>Risk Assessment and Decision Analysis with Bayesian Networks</t>
  </si>
  <si>
    <t>519.5/42</t>
  </si>
  <si>
    <t>QA279.5 .F468 2019</t>
  </si>
  <si>
    <t>Self-Regulation and Mindfulness : Over 82 Exercises and Worksheets for Sensory Processing Disorder, ADHA, and Autism Spectrum Disorder</t>
  </si>
  <si>
    <t>BF637.M56 .G533 2017</t>
  </si>
  <si>
    <t>'1,2,3,12,13,14,15,16,18'</t>
  </si>
  <si>
    <t>Mozilla/5.0 (iPad; CPU OS 15_7 like Mac OS X) AppleWebKit/605.1.15 (KHTML, like Gecko) CriOS/107.0.5304.66 Mobile/15E148 Safari/604.1</t>
  </si>
  <si>
    <t>'1,2,27,44,,27,28,28,28,27,28,29,29,30,30,30,31,31,31,32,32,32,32,32,33,34,35,35,35,36,36,36,37,37,37,38,38,38,39,40,40,40,39,38,41,42,43,44,44,41,24,26,27,25,28,29,30,31,32,33,34,35,36,37,38,39,40,42,43'</t>
  </si>
  <si>
    <t>Mozilla/5.0 (Windows NT 10.0; Win64; x64) AppleWebKit/537.36 (KHTML, like Gecko) Chrome/105.0.0.0 Safari/537.36 OPR/91.0.4516.106</t>
  </si>
  <si>
    <t>'1,3,102,103,102,103,98,97,96'</t>
  </si>
  <si>
    <t>'102,102,103,103,103'</t>
  </si>
  <si>
    <t>Essential Tawfiq Al-Hakim</t>
  </si>
  <si>
    <t>PJ7828.K52 -- A2 2008eb</t>
  </si>
  <si>
    <t>'1,2,12,3,14,6,8,9,8,9,10'</t>
  </si>
  <si>
    <t>Science: Geology; Engineering; Science; Engineering: General</t>
  </si>
  <si>
    <t>GB1199.5.D57 2008</t>
  </si>
  <si>
    <t>'1,2,,1,436,435,437,438,439,440,26,25,28'</t>
  </si>
  <si>
    <t>'1,2,3,6,5,7,12,,1,8,9,10,11,12,8'</t>
  </si>
  <si>
    <t>'8,8'</t>
  </si>
  <si>
    <t>'134,136,134,133,,306,307,309,310,312,313,314'</t>
  </si>
  <si>
    <t>'1,1,,1,2,44,45,46,47,81,82,83,102,102,103,102,104,103,102,103'</t>
  </si>
  <si>
    <t>'102,102,102'</t>
  </si>
  <si>
    <t>The Role of Women in Work and Society in the Ancient near East</t>
  </si>
  <si>
    <t>HQ1726.5.R654 2016</t>
  </si>
  <si>
    <t>'1,2,4,5'</t>
  </si>
  <si>
    <t>'1,2,3,5,6,7,8,9,10,11,12,13,15,16,17,18,19,20,22,24,25,26,27,28,29,31,33,34,35,36,37,38,39,40,41,42,123,103,164,163,162,81,57,76,75,43,47,44,45,46,48,49,50,51,52,53,54,55,56,58,59,60,61,62,63,102,104,105,102,103'</t>
  </si>
  <si>
    <t>'15,16,16'</t>
  </si>
  <si>
    <t>'1,28,98,99,100,101,103,104,105,106,109,111,110,112,113,114'</t>
  </si>
  <si>
    <t>'111,112,113,114,115,116,117,118,119,120,121,122,123,124,125'</t>
  </si>
  <si>
    <t>Palestinian Politics and the Middle East Peace Process : Consensus and Competition in the Palestinian Negotiating Team</t>
  </si>
  <si>
    <t>956.9405/4</t>
  </si>
  <si>
    <t>DS119.7 -- .K4414 2010eb</t>
  </si>
  <si>
    <t>'1,96,97,98,99,100,101,102,103,104'</t>
  </si>
  <si>
    <t>The Palestinian People : Seeking Sovereignty and State</t>
  </si>
  <si>
    <t>DS113.6 .K333 2014</t>
  </si>
  <si>
    <t>'1,337,338'</t>
  </si>
  <si>
    <t>Palestinian Politics after the Oslo Accords : Resuming Arab Palestine</t>
  </si>
  <si>
    <t>956.9/53044</t>
  </si>
  <si>
    <t>JC311 -- .B766 2003eb</t>
  </si>
  <si>
    <t>Making Peace : A First-hand Account of the Arab-Israeli Peace Process</t>
  </si>
  <si>
    <t>Greenwood Publishing Group</t>
  </si>
  <si>
    <t>956.05/3</t>
  </si>
  <si>
    <t>DS119.76 -- .B49 2000eb</t>
  </si>
  <si>
    <t>'1,3,177,178,179'</t>
  </si>
  <si>
    <t>'1,176,177,178,179,180,182,184'</t>
  </si>
  <si>
    <t>The Discourse of Palestinian-Israeli Relations : Persistent Analytics and Practices</t>
  </si>
  <si>
    <t>DS119.76 -- .M388 2009eb</t>
  </si>
  <si>
    <t>'1,20,21,22,23'</t>
  </si>
  <si>
    <t>'1,250,251,252,253,114,167,168,169,113,115,,1,113,114,115,139,140,141,142,143,218,219,220,221,250,251,252,253,254,255,257,258,261'</t>
  </si>
  <si>
    <t>'1,194,194,194'</t>
  </si>
  <si>
    <t>'73,,44,45,37,42,46,49,43,41'</t>
  </si>
  <si>
    <t>Society, Law, and Culture in the Middle East : Modernities in the Making</t>
  </si>
  <si>
    <t>DR486 .S635 2015</t>
  </si>
  <si>
    <t>Virtual Reality Therapy for Anxiety : A Guide for Therapists</t>
  </si>
  <si>
    <t>RC531 .M363 2022</t>
  </si>
  <si>
    <t>'20,21,22'</t>
  </si>
  <si>
    <t>'10,11,12'</t>
  </si>
  <si>
    <t>'1,42,28,29,30,31,32,33,34,35,54,64,84,85,86,87,88,126'</t>
  </si>
  <si>
    <t>Prophetic Translation : The Making of Modern Egyptian Literature</t>
  </si>
  <si>
    <t>History; Literature</t>
  </si>
  <si>
    <t>'1,2,3,4,5,6,7,8,10,11,13,14,15,16,17'</t>
  </si>
  <si>
    <t>'1,42,43,47,46,45,28'</t>
  </si>
  <si>
    <t>'1,2,3,4,5,6,7,14,44,15,16,46,47,48,49'</t>
  </si>
  <si>
    <t>'46'</t>
  </si>
  <si>
    <t>The Ancient Novel and Beyond</t>
  </si>
  <si>
    <t>PA3040 .A46 2003eb</t>
  </si>
  <si>
    <t>'1,23,24,25,26'</t>
  </si>
  <si>
    <t>The Palestinian Novel : A Communication Study</t>
  </si>
  <si>
    <t>892.7/36/09/89274</t>
  </si>
  <si>
    <t>PJ8190.4 -- .T34 2002eb</t>
  </si>
  <si>
    <t>Edinburgh Companion to the Arab Novel in English : The Politics of Anglo Arab and Arab American Literature and Culture</t>
  </si>
  <si>
    <t>PR129.A65 -- E35 2013eb</t>
  </si>
  <si>
    <t>Religion in the Egyptian Novel</t>
  </si>
  <si>
    <t>PJ8208$b.P455 2019</t>
  </si>
  <si>
    <t>Arabs in the Mirror : Images and Self-Images from Pre-Islamic to Modern Times</t>
  </si>
  <si>
    <t>305.892/7</t>
  </si>
  <si>
    <t>DS36</t>
  </si>
  <si>
    <t>'20,21,22,23'</t>
  </si>
  <si>
    <t>Wearable Physical, Chemical and Biological Sensors : Fundamentals, Materials and Applications</t>
  </si>
  <si>
    <t>Engineering; Engineering: Electrical; Engineering: Manufacturing</t>
  </si>
  <si>
    <t>TK7872.D48 D563 2022</t>
  </si>
  <si>
    <t>'20,21,22,23,24,26,25,27,29,30,31,32,56,,56,57,58,59,60,61,62,63,65,66'</t>
  </si>
  <si>
    <t>'62,63,64,65,66,67,68,69,70,71,72,73,74,75,76,77,78,79,80,81,82,83,84,85,86,87,88,89,90,91,92,93,,40,41,42,43,44,45,46,47,48,49,50,51,52,53,54,55,56,57,58,59,60,61'</t>
  </si>
  <si>
    <t>Mozilla/5.0 (Windows NT 10.0; Win64; x64) AppleWebKit/537.36 (KHTML, like Gecko) Chrome/106.0.0.0 Safari/537.36 Edg/106.0.1370.42</t>
  </si>
  <si>
    <t>10th International Conference on Robotics, Vision, Signal Processing and Power Applications : Enabling Research and Innovation Towards Sustainability</t>
  </si>
  <si>
    <t>'77,1,511,512,513,514,515,516,517,518,519,520,521,522,523,524,525'</t>
  </si>
  <si>
    <t>'12'</t>
  </si>
  <si>
    <t>Urban Design : Three Types of Continuity, Case Studies</t>
  </si>
  <si>
    <t>HT165.5 -- .Y37 2013eb</t>
  </si>
  <si>
    <t>'19,39'</t>
  </si>
  <si>
    <t>Understanding Cities : Method in Urban Design</t>
  </si>
  <si>
    <t>307.1/216</t>
  </si>
  <si>
    <t>HT166 -- .C886 2011eb</t>
  </si>
  <si>
    <t>'1,28,52,77'</t>
  </si>
  <si>
    <t>'28,29,30,31,32,33,34,35,36,37,38,39,40,41,42,43,44,45,46,47,48,49,50,51,52,53,54,55,56,57,58,59,60,61,62,63,64,65,66,67,68,69,70,71,72,73,74,75,76,77,78,79,80,81,82,83,84,85,86,87,88,89,90,91,92,93,94,95,96,97,98,99,100,101,102,103,104'</t>
  </si>
  <si>
    <t>Urban Design: Street and Square : Street and Square</t>
  </si>
  <si>
    <t>Social Science; Fine Arts</t>
  </si>
  <si>
    <t>HT165.5 -- .M68 2003eb</t>
  </si>
  <si>
    <t>'1,26,40,78'</t>
  </si>
  <si>
    <t>'26,27,28,29,30,31,32,33,34,35,36,37,38,39,26,27,28,29,30,31,32,33,34,35,36,37,38,39,40,41,42,43,44,45,46,47,48,49,50,51,52,53,54,55,56,57,58,59,60,61,62,63,64,65,66,67,68,69,70,71,72,73,74,75,76,77,78,79,80,81,82,83,84,85,86,87,88,89,90,91,92,93,94,95,96,97,98,99,100,101'</t>
  </si>
  <si>
    <t>'1,3,6,5,7'</t>
  </si>
  <si>
    <t>'19,1,20,19,19'</t>
  </si>
  <si>
    <t>The Israel-Palestine Conflict : Parallel Discourses</t>
  </si>
  <si>
    <t>DS119.76 -- .I8197 2011eb</t>
  </si>
  <si>
    <t>'1,2,3,4,5,6,7,8,9,217,218'</t>
  </si>
  <si>
    <t>The Physics of Superconductors : Introduction to Fundamentals and Applications</t>
  </si>
  <si>
    <t>Science: Physics; Science; Engineering: Electrical; Engineering</t>
  </si>
  <si>
    <t>537.6/23</t>
  </si>
  <si>
    <t>TK7872.S8</t>
  </si>
  <si>
    <t>'1,2,3,4,5,7,9,10,11,12,13'</t>
  </si>
  <si>
    <t>Twenty Years of Development in Egypt : I</t>
  </si>
  <si>
    <t>H62.5.E3.T84 1999</t>
  </si>
  <si>
    <t>'1,2,3,4,5,47,48,49,50,51'</t>
  </si>
  <si>
    <t>The Personal Librarian : Enhancing the Student Experience</t>
  </si>
  <si>
    <t>American Library Association</t>
  </si>
  <si>
    <t>025.5/677</t>
  </si>
  <si>
    <t>Z</t>
  </si>
  <si>
    <t>'30,31'</t>
  </si>
  <si>
    <t>'1,1,44,43,45,46,47,48,49,50,51'</t>
  </si>
  <si>
    <t>'1,1,44,43,45,46,47,48,49,50,142,143,144'</t>
  </si>
  <si>
    <t>'1,2,3,3,3,4,2,2,2,2,3,4,5,5,5,7,8,9,10,11,13,14,17,18,20,22,24,26,1,31,32,33'</t>
  </si>
  <si>
    <t>'32,32'</t>
  </si>
  <si>
    <t>The Lived Nile : Environment, Disease, and Material Colonial Economy in Egypt</t>
  </si>
  <si>
    <t>Agriculture; Business/Management; Economics</t>
  </si>
  <si>
    <t>HD2123$b.D477 2019</t>
  </si>
  <si>
    <t>'1,2,3,4,5,6,7,8,11,13,14,17,18,19,,18,19,20,21,,1,2,5,6,7,8,9,10,11,13,14,16,17,18,19,20,,,32'</t>
  </si>
  <si>
    <t>'1,3,2,149,150,151,152,152,153,154,155,156,157,158'</t>
  </si>
  <si>
    <t>'1,2,110,109,111,112,113,114,115'</t>
  </si>
  <si>
    <t>Multilevel Inverters : Introduction and Emergent Topologies</t>
  </si>
  <si>
    <t>TK2796 .M858 2021</t>
  </si>
  <si>
    <t>'1,2,42,43,44,45,46,47,48,49,50,51,52,53,54,55'</t>
  </si>
  <si>
    <t>Pulse Width Modulation : Analysis and Performance in Multilevel Inverters</t>
  </si>
  <si>
    <t>Engineering: Electrical; Engineering: General; Engineering</t>
  </si>
  <si>
    <t>TK2785.P37 2017</t>
  </si>
  <si>
    <t>'1,51,52,53,53,38,54,55,56,57,58,59,60,61,62,61,61,61,61,62,63,64,65,66,67,68,68'</t>
  </si>
  <si>
    <t>Design, Control, and Application of Modular Multilevel Converters for HVDC Transmission Systems : A Guide to Employability and Professional Development</t>
  </si>
  <si>
    <t>TK2796</t>
  </si>
  <si>
    <t>'1,2,3,6,7,8,9,10,11,12,13,14,15,16,17,18'</t>
  </si>
  <si>
    <t>Orhan Pamuk : Critical Essays on a Novelist Between Worlds</t>
  </si>
  <si>
    <t>Ibidem Press</t>
  </si>
  <si>
    <t>Language/Linguistics; Literature</t>
  </si>
  <si>
    <t>PL248.P34 .O743 2017</t>
  </si>
  <si>
    <t>'1,2,3,5,6,8,9,10,11'</t>
  </si>
  <si>
    <t>Arab Women Writers : An Anthology of Short Stories</t>
  </si>
  <si>
    <t>892.7/301089287</t>
  </si>
  <si>
    <t>PJ7694.E8 -- A719 2005eb</t>
  </si>
  <si>
    <t>'1,3,4,6,7,8,9,11,13,16,45,46,47'</t>
  </si>
  <si>
    <t>'1,3,4,5,6,7,8,9,10'</t>
  </si>
  <si>
    <t>'1,2,4,5,6,196,197,198,199,200,201,202'</t>
  </si>
  <si>
    <t>'1,2,3,4,6,7,8,9,11,12,13,14,15,16,17,18,19,20,21,23,24,25,26,27,28,29,30,31,32,33,34,35,36,37,38,39'</t>
  </si>
  <si>
    <t>'1,2,3,6,6,9,10,11,149,150,151,152,153,154,155,156,157,158,159,160,161,162,163,164,165,166,167,168,169'</t>
  </si>
  <si>
    <t>The Wiley Blackwell Handbook of Social Anxiety Disorder</t>
  </si>
  <si>
    <t>RC552.S62.W554 2014</t>
  </si>
  <si>
    <t>'23'</t>
  </si>
  <si>
    <t>The (Studies in Philosophy and the History of Philosophy, Volume 52) Nature of Natural Philosophy in the Late Middle Ages</t>
  </si>
  <si>
    <t>Catholic University of America Press</t>
  </si>
  <si>
    <t>509.4/0902</t>
  </si>
  <si>
    <t>Q174</t>
  </si>
  <si>
    <t>'1,110,111,112,272,273'</t>
  </si>
  <si>
    <t>'1,111,110,109,108,107,114,113,115,116,118,119,120,121,122,123,127,126'</t>
  </si>
  <si>
    <t>'126'</t>
  </si>
  <si>
    <t>'20,21,22,23,24,25,26,27,28,29,30,31,32,33'</t>
  </si>
  <si>
    <t>Physics of Condensed Matter : New Research</t>
  </si>
  <si>
    <t>Arcler Education Inc</t>
  </si>
  <si>
    <t>QC173.454 .F555 2019</t>
  </si>
  <si>
    <t>'27,29,30,31,32,33,34,1,1,,,1'</t>
  </si>
  <si>
    <t>Medical Errors and Patient Safety : Strategies to Reduce and Disclose Medical Errors and Improve Patient Safety</t>
  </si>
  <si>
    <t>R729.8 -- .K35 2011eb</t>
  </si>
  <si>
    <t>'38,,,37'</t>
  </si>
  <si>
    <t>'37,38,39,40,41,42,43,44'</t>
  </si>
  <si>
    <t>'1,3,25,38,38'</t>
  </si>
  <si>
    <t>Mozilla/5.0 (Windows NT 10.0; Win64; x64) AppleWebKit/537.36 (KHTML, like Gecko) Chrome/107.0.0.0 Safari/537.36 Edg/107.0.1418.24</t>
  </si>
  <si>
    <t>'1,12,13,9,13,14,15,16,17,18,19,20,21,22,23,24,171,169,166,165,155,154,135,134,132,113,114,115,116,117,118,119,120,121,122,123,124,125,126,127'</t>
  </si>
  <si>
    <t>Antiquarianism and Intellectual Life in Europe and China, 1500-1800</t>
  </si>
  <si>
    <t>University of Michigan Press</t>
  </si>
  <si>
    <t>907.2/04</t>
  </si>
  <si>
    <t>D210</t>
  </si>
  <si>
    <t>'1,40,41,42,45'</t>
  </si>
  <si>
    <t>Mozilla/5.0 (Macintosh; Intel Mac OS X 10_15_7) AppleWebKit/537.36 (KHTML, like Gecko) Chrome/101.0.4951.64 Safari/537.36</t>
  </si>
  <si>
    <t>'1,3,4,5,6,7,8,78,77,80,82,84,85,87,89,91,92,93,94,96,98,99,100,101,102,103'</t>
  </si>
  <si>
    <t>Basic Equations of Mass Transport Through a Membrane Layer</t>
  </si>
  <si>
    <t>Engineering; Science: Biology/Natural History; Science; Engineering: Chemical</t>
  </si>
  <si>
    <t>QH509 .N349 2019</t>
  </si>
  <si>
    <t>'18,500'</t>
  </si>
  <si>
    <t>'20,22,21'</t>
  </si>
  <si>
    <t>'1,2,3,4,18,19,20,21,22,23,24,500,501,502,503,504,505,506,507,508,509,510,511,512,513,,501,501,564,501,500,,501,500'</t>
  </si>
  <si>
    <t>Membrane-Distillation in Desalination</t>
  </si>
  <si>
    <t>628.1/674</t>
  </si>
  <si>
    <t>TD480.4 .B469 2019</t>
  </si>
  <si>
    <t>'1,34,36,37,38,39,40,41,42,43,45,48,49,50,51,52,53,55,56,57'</t>
  </si>
  <si>
    <t>'54,266,141,269,294,293,295,320,322,328,327,331,334,361,358,357,362,375,374,382,381,501,502,530,531,535,538,537,543,268,321,323,325,326,335,337,336,339,340,341,333,345,347,353,360,384,400,401,402,403,404,428,431,427,430,432,433,446,513,348,356,354,355,296,300,299,305,312,315,314,122,121,123,86,85,89,98,97,105,106,107,104,103,88,90,91,92,93,95,96,99,66,67,68,69,73,74,75,76,77,78,79,36,37,43,42,48,547,546,595,594'</t>
  </si>
  <si>
    <t>'296,297,298,299,300,301,302,303,304,305,306,307,308,309,310,311,312,313,314,315,316,317,318,319,266,267,268,269,270,271,272,273,274,275,276,277,278,279,280,281,282,283,284,285,286,287,288,289,290,291,292,293,294,295,89,90,91,92,93,94,95,96,97,98,99,100,101,102,103,73,74,75,76,77,78,79,80,48,49,50,547,548'</t>
  </si>
  <si>
    <t>Mozilla/5.0 (Windows NT 10.0; WOW64) AppleWebKit/537.36 (KHTML, like Gecko) Chrome/106.0.0.0 Safari/537.36</t>
  </si>
  <si>
    <t>'1,1,1,501,502,503,506,459,458,547,548,535,545,595,624,623,,623,623'</t>
  </si>
  <si>
    <t>'266,,266,267,294,293,295,295,296,297,298,299,300,301,301'</t>
  </si>
  <si>
    <t>Armour : Materials, Theory, and Design</t>
  </si>
  <si>
    <t>Engineering: General; Military Science; Engineering</t>
  </si>
  <si>
    <t>U800 .H394 2023</t>
  </si>
  <si>
    <t>'440,441,442,443,444,445,446,447,448,449,450,451,452,453,454,455,456,457,458,459,460,461,462,463,,464,465,466,467,468,469,470,471,472,473,474,475,476,477,478,479,,480,481,482,483,484,485,486,487,488,489,,490,491,492,493,494,495,496,497,498,499,,16,17,,18,19,,20,21'</t>
  </si>
  <si>
    <t>'300,301,302,303,304,305,306,307,308,309,310,311,312,313,314,315,316,317,318,319,320,321,322,323,324,325,326,327,328,329,330,331,332,333,334,335,336,337,338,339,,340,341,342,343,344,345,346,347,348,349,350,351,352,353,354,355,356,357,358,359,360,361,362,363,364,365,366,367,368,369,370,371,372,373,374,375,376,377,378,379,380,381,,412,413,414,415,416,417,418,419,420,421,422,423,424,425,426,427,428,429,430,431,432,433,434,435,436,437,438,439'</t>
  </si>
  <si>
    <t>'212,213,214,215,216,217,218,219,220,221,222,223,224,225,226,227,228,229,230,231,232,233,234,235,236,237,238,239,240,241,242,243,244,245,246,247,248,249,250,251,252,253,254,255,256,257,,258,259,260,261,262,263,264,265,266,267,268,269,270,271,272,273,274,275,276,277,278,279,280,281,282,283,284,285,286,287,288,289,290,291,292,293,294,295,296,297,298,299,,382,383,384,385,386,387,388,389,390,391,392,393,394,395,396,397,398,399,400,401,402,403,404,405,406,407,408,409,410,411'</t>
  </si>
  <si>
    <t>'1,,2,3,,4,,5,,6,7,,8,9,10,11,12,13,14,15,,22,23,24,25,26,27,28,29,30,31,32,33,34,35,36,37,,38,39,40,41,42,43,44,45,46,47,48,49,50,51,52,53,54,55,56,57,58,59,60,61,62,63,64,65,66,67,68,69,70,71,,72,73,74,75,76,77,78,79,80,81,82,83,84,85,86,87,88,89,90,91,92,93,94,95,96,97,98,99,100,101,102,103,104,105,106,107,108,109,110,111,112,113,114,115,116,117,118,119,120,121,122,123,124,125,126,127,128,129'</t>
  </si>
  <si>
    <t>'266,267,269,270,271,272,273,274,275,276,277,278,279,280,281,282,283,265,267,267'</t>
  </si>
  <si>
    <t>Advanced Optical Wireless Communication Systems</t>
  </si>
  <si>
    <t>621.382/7</t>
  </si>
  <si>
    <t>TK5103.592.F73 A38 2012</t>
  </si>
  <si>
    <t>'266,267,,267,266,268,269'</t>
  </si>
  <si>
    <t>Mozilla/5.0 (iPhone; CPU iPhone OS 15_5 like Mac OS X) AppleWebKit/605.1.15 (KHTML, like Gecko) Version/15.5 Mobile/15E148 Safari/604.1</t>
  </si>
  <si>
    <t>Transformations Selected Works of G. B. Olson on Materials, Microstrucutre, and Design</t>
  </si>
  <si>
    <t>TA403 .O476 2017</t>
  </si>
  <si>
    <t>'309'</t>
  </si>
  <si>
    <t>'309,310,311,312,313,314,315,316,317,318,319,320,321,322,323,324,325,326,327,328,329,330,331,332,333,334,335,336,,337,338,339,340,341,342,343,344,345,346,347,348,349,350,351,352,353,354,355,356,357,358,359,360,361,362,363,364,,365,366,367,368,369,370,371,372,373,374,375,376,377,378,379,380,381,382,383,384,385,386,387,388,389,390,391,392'</t>
  </si>
  <si>
    <t>'533,534,535,536,537,538,539,540,541,542,543,544,545,546,547,548,549,550,551,552,553,554,555,556,557,558,559,560,,505,506,507,508,509,510,511,512,513,514,515,516,517,518,519,520,521,522,523,524,525,526,527,528,529,530,531,532,,477,478,479,480,481,482,483,484,485,486,487,488,489,490,491,492,493,494,495,496,497,498,499,500,501,502,503,504,,449,450,451,452,453,454,455,456,457,458,459,460,461,462,463,464,465,466,467,468,469,470,471,472,473,474,475,476,,421,422,423,424,425,426,427,428,429,430,431,432,433,434,435,436,437,438,439,440,441,442,443,444,445,446,447,448,,393,394,395,396,397,398,399,400,401,402,403,404,405,406,407,408,409,410,411,412,413,414,415,416,417,418,419,420'</t>
  </si>
  <si>
    <t>'169,170,171,172,173,174,175,176,177,178,179,180,181,182,183,184,185,186,187,188,189,190,191,192,193,194,195,196,,197,198,199,200,201,202,203,204,205,206,207,208,209,210,211,212,213,214,215,216,217,218,219,220,221,222,223,224,,225,226,227,228,229,230,231,232,233,234,235,236,237,238,239,240,241,242,243,244,245,246,247,248,249,250,251,252,,253,254,255,256,257,258,259,260,261,262,263,264,265,266,267,268,269,270,271,272,273,274,275,276,277,278,279,280,,281,282,283,284,285,286,287,288,289,290,291,292,293,294,295,296,297,298,299,300,301,302,303,304,305,306,307,308,,561,562,563,564,565,566,567,568'</t>
  </si>
  <si>
    <t>'1,2,3,4,5,6,7,8,9,10,11,12,13,14,15,16,17,18,19,20,21,22,23,24,25,26,27,28,,29,30,31,32,33,34,35,36,37,38,39,40,41,42,43,44,45,46,47,48,49,50,51,52,53,54,55,56,,57,58,59,60,61,62,63,64,65,66,67,68,69,70,71,72,73,74,75,76,77,78,79,80,81,82,83,84,,85,86,87,88,89,90,91,92,93,94,95,96,97,98,99,100,101,102,103,104,105,106,107,108,109,110,111,112,,57,58,59,60,61,62,63,64,65,66,67,68,69,70,71,72,73,74,75,76,77,78,79,80,81,82,83,84,,113,114,115,116,117,118,119,120,121,122,123,124,125,126,127,128,129,130,131,132,133,134,135,136,137,138,139,140,,141,142,143,144,145,146,147,148,149,150,151,152,153,154,155,156,157,158,159,160,161,162,163,164,165,166,167,168'</t>
  </si>
  <si>
    <t>'30,31,32'</t>
  </si>
  <si>
    <t>'1,15,2,16,17,18,19'</t>
  </si>
  <si>
    <t>Sufism : The Formative Period</t>
  </si>
  <si>
    <t>BP188.5 -- .K37 2007eb</t>
  </si>
  <si>
    <t>'1,16,15,17,53,54,55,56,57,58,59,60,61,62,63,64,65,66,67,68,69,70,71'</t>
  </si>
  <si>
    <t>Historical Dictionary of Sufism</t>
  </si>
  <si>
    <t>BP188.48.R46 2015</t>
  </si>
  <si>
    <t>'1,53,54,67,66,103,104,245,246,247,248,249,250,251,252,253,254,255,256,257,258,259'</t>
  </si>
  <si>
    <t>Handbook of Supercapacitor Materials : Synthesis, Characterization, and Applications</t>
  </si>
  <si>
    <t>TK7872.C65 H363 2021</t>
  </si>
  <si>
    <t>UAE and the Gulf : Architecture and Urbanism Now</t>
  </si>
  <si>
    <t>NA1 .A665</t>
  </si>
  <si>
    <t>'1,6,4,5,7,10,26,30,31,32,34,35'</t>
  </si>
  <si>
    <t>Structural Failure Analysis and Prediction Methods for Aerospace Vehicles and Structures</t>
  </si>
  <si>
    <t>TL910 -- .S77 2010eb</t>
  </si>
  <si>
    <t>'1,2,4,5,6,7,8,9,10,11,12,13,14,15,18,19,20,21,22,23,24,25,26,27,28,29,30,31,32,33,34,35,36,37,38,39,40,41,42,43'</t>
  </si>
  <si>
    <t>Nuclear Energy : What Everyone Needs to Know®</t>
  </si>
  <si>
    <t>Engineering; Engineering: Electrical; Environmental Studies; Economics</t>
  </si>
  <si>
    <t>333.792/4</t>
  </si>
  <si>
    <t>TK9145 -- .F47 2011eb</t>
  </si>
  <si>
    <t>'1,2,3,4,5,6,8,9,10,105,106,107,108,110,112,113,113,112'</t>
  </si>
  <si>
    <t>Metal Foams: a Design Guide</t>
  </si>
  <si>
    <t>Engineering: Civil; Engineering; Engineering: Manufacturing</t>
  </si>
  <si>
    <t>TA418.9.F6 -- M48 2000eb</t>
  </si>
  <si>
    <t>Sustainability in the Gulf : Challenges and Opportunities</t>
  </si>
  <si>
    <t>HC415.3.Z9.S878 2018</t>
  </si>
  <si>
    <t>'1,1,2,6,7,9,115,112,108,82,83,84,85,86,87,88,89,90,91,92,93,95,96,82,9,22,,1,1'</t>
  </si>
  <si>
    <t>Isotopic Constraints on Earth System Processes</t>
  </si>
  <si>
    <t>American Geophysical Union</t>
  </si>
  <si>
    <t>QE501.4.N9 I868 2022</t>
  </si>
  <si>
    <t>'219,345,346,348,350,351,352,349,347,223,224,225,226'</t>
  </si>
  <si>
    <t>Environmental and Low Temperature Geochemistry</t>
  </si>
  <si>
    <t>Science: Geology</t>
  </si>
  <si>
    <t>'193,194,195,196,197,198,199,200,201,202,203,204,205,206,207,208,209,210,211,212,213,214,215,216,217,218,219,220,221,,315,316,317,318,319,320,321,322,323,324,325,326,327,328,329,330,331,332,333,334,335,336,337,338,339,340,341,342,343,344,345,346,347,348,349,350'</t>
  </si>
  <si>
    <t>'1,2,3,5,6,7,142,125,119,106,105'</t>
  </si>
  <si>
    <t>Biomedical Visualisation : Volume 5</t>
  </si>
  <si>
    <t>'103,104,105,106,107,108,109,110,111,112,113'</t>
  </si>
  <si>
    <t>Mozilla/5.0 (Windows NT 10.0; Win64; x64) AppleWebKit/537.36 (KHTML, like Gecko) Chrome/106.0.0.0 Safari/537.36 Edg/106.0.1370.52</t>
  </si>
  <si>
    <t>'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'</t>
  </si>
  <si>
    <t>Play, Dreams and Imitation in Childhood</t>
  </si>
  <si>
    <t>BF721 .P452</t>
  </si>
  <si>
    <t>'1,2,2,100,101,109,108,107,105,8,7,9,10,285,287,288,289,,1,,1'</t>
  </si>
  <si>
    <t>Mozilla/5.0 (Windows NT 10.0; Win64; x64) AppleWebKit/537.36 (KHTML, like Gecko) Chrome/105.0.0.0 Safari/537.36 OPR/91.0.4516.95</t>
  </si>
  <si>
    <t>Optical Wireless Communications : System and Channel Modelling with MATLAB®, Second Edition</t>
  </si>
  <si>
    <t>TK5103.592.F73 .G437 2018</t>
  </si>
  <si>
    <t>'1,9,17,2,4,5,7'</t>
  </si>
  <si>
    <t>'1,112,113,114,115,118,119,120,121,122,123,124,125,117,186,310,311,312'</t>
  </si>
  <si>
    <t>Delay-Adaptive Linear Control</t>
  </si>
  <si>
    <t>TJ217$b.Z48 2020</t>
  </si>
  <si>
    <t>'6,1,7,8,9,10,2,3,4'</t>
  </si>
  <si>
    <t>'1,2,1,2,,1,1,1'</t>
  </si>
  <si>
    <t>'1,12,13,13,13,13,14,15,16,17'</t>
  </si>
  <si>
    <t>Electroactive Polymers: Advances in Materials and Devices</t>
  </si>
  <si>
    <t>TA418.9.S62.I68 201</t>
  </si>
  <si>
    <t>'1,1,1,4,2,21,22,27,61,62'</t>
  </si>
  <si>
    <t>Nachdenken über &amp;rsaquo;Game of Thrones&amp;lsaquo; : George R. R. Martins &amp;rsaquo;a Song of Ice and Fire&amp;lsaquo;</t>
  </si>
  <si>
    <t>'1,2,3,6,9,10,11,13,14,16'</t>
  </si>
  <si>
    <t>Mozilla/5.0 (Linux; Android 10; YAL-L21) AppleWebKit/537.36 (KHTML, like Gecko) Chrome/104.0.0.0 Mobile Safari/537.36</t>
  </si>
  <si>
    <t>'34,35,36'</t>
  </si>
  <si>
    <t>'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'</t>
  </si>
  <si>
    <t>'32,110,111,112,113,114,116'</t>
  </si>
  <si>
    <t>'1,2,3,4,5,6,7,8,9,10,11,12,13,14,15,16,17,18,19,20,21,22,23,24,25,26,27,28'</t>
  </si>
  <si>
    <t>'353,354'</t>
  </si>
  <si>
    <t>'31,32,33,34,35,36,37,38,39,40,41,42,43,44,45,46,,,353,354,355,356,357,358,359,360,361,362,363,364,365,366,367,368,369,370,371,372,373,374,375,376,377,378,379,380,381,382,383,384,385,386,387,388,389,390,391,392,393,394,395,396,,31,32,33,34,35,36,37,38,39,40,41,42,43,44,45,46,,151,152,153,154,155,156,157,158,159,160,161,162,163,164,165,166,167,168'</t>
  </si>
  <si>
    <t>'151,152,153,154,155,156,157,158,159,160,161,162,163,164,165,166,167,168,,353,354,355,356,357,358,359,360,361,362,363,364,365,366,367,368,369,370,371,372,373,374,375,376,377,378,379,380,381,382,383,384,385,386,387,388,389,390,391,392,393,394,395,396'</t>
  </si>
  <si>
    <t>'3,4,,4,4,31,32,151,152,153,154,230,229,353'</t>
  </si>
  <si>
    <t>'31,32,33,34,35,36,37,38,39,40,41,42,43,44,45,46,47,48,49,50,151,152,153,154,155,156,157,158,159,160,161,162,163,353,354,355,356,357,358,359,360,361,362,363,364,365,366,367,368,369,370,371,372,373,374,375,376,377,378,379,380,381,382,383,384,385,386,387,388,389,390,391,392,393,394,395,396,397,398,399,400,401,402'</t>
  </si>
  <si>
    <t>Python Workout : 50 Ten-Minute Exercises</t>
  </si>
  <si>
    <t>QA76.73.P98 .L476 2020</t>
  </si>
  <si>
    <t>Mozilla/5.0 (Windows NT 6.1) AppleWebKit/537.36 (KHTML, like Gecko) Chrome/107.0.0.0 Safari/537.36</t>
  </si>
  <si>
    <t>Python: La Guía Definitiva para Principiantes para Dominar Python</t>
  </si>
  <si>
    <t>Jonathan Wee</t>
  </si>
  <si>
    <t>QA76.73.P98 W355 2018</t>
  </si>
  <si>
    <t>'1,26,55,526,18'</t>
  </si>
  <si>
    <t>Islam, Modernity, and the Liminal Space Between</t>
  </si>
  <si>
    <t>BP166.14.M63 -- M44 2013eb</t>
  </si>
  <si>
    <t>True Leadership : Leadership Styles and the Kenotic Relationship</t>
  </si>
  <si>
    <t>HM1261 .P458 2020</t>
  </si>
  <si>
    <t>'1,16,17,25,26,26,27,28,29,31,32,35'</t>
  </si>
  <si>
    <t>'1,2,3,5,148'</t>
  </si>
  <si>
    <t>Mozilla/5.0 (Linux; Android 12; GM1913) AppleWebKit/537.36 (KHTML, like Gecko) Chrome/106.0.0.0 Mobile Safari/537.36</t>
  </si>
  <si>
    <t>The Innovator's DNA, Updated, with a New Preface : Mastering the Five Skills of Disruptive Innovators</t>
  </si>
  <si>
    <t>Harvard Business Review Press</t>
  </si>
  <si>
    <t>658.4/063</t>
  </si>
  <si>
    <t>HD53 .D947 2019</t>
  </si>
  <si>
    <t>'172,173,174,175,176,177'</t>
  </si>
  <si>
    <t>'1,2,18,19,20,21'</t>
  </si>
  <si>
    <t>'18,19'</t>
  </si>
  <si>
    <t>Crisis Management : Resilience and Change</t>
  </si>
  <si>
    <t>HD42 .K686 2020</t>
  </si>
  <si>
    <t>'13'</t>
  </si>
  <si>
    <t>'1,17,19,20,21,22,23,24,25,18,113,114,115,116,117,118,119,120,122,123,124,125,126,127,128,129,130,131,132,133,134,135,136,137,16,15,14,121'</t>
  </si>
  <si>
    <t>'19,19,25,17,17,14'</t>
  </si>
  <si>
    <t>'1,131,113,114,115,116,117,118,119,120,121,123,139,140,141,142'</t>
  </si>
  <si>
    <t>'1,3,4,76,77,78,79,80,81,82,83,84,86,87,89,91,94,95,96,98,99,100,101,102,103,104,105,106,107,108,109,110'</t>
  </si>
  <si>
    <t>'1,135,136,137'</t>
  </si>
  <si>
    <t>Beyond the Handshake : Multilateral Cooperation in the Arab-Israeli Peace Process, 1991-1996</t>
  </si>
  <si>
    <t>DS119.76 -- .K354 2001eb</t>
  </si>
  <si>
    <t>'1,,1,2,3,4,8'</t>
  </si>
  <si>
    <t>'1,3,2,4,6,7,9,8,69,70,96,97,98,99,101,103,106,109,110,107,102,100,104,105'</t>
  </si>
  <si>
    <t>Envy and Gratitude Revisited</t>
  </si>
  <si>
    <t>BF575.E65 -- E58 2008eb</t>
  </si>
  <si>
    <t>The Routledge Handbook of Post-Reform Indian Economy</t>
  </si>
  <si>
    <t>HC435.3 .R688 2022</t>
  </si>
  <si>
    <t>Hegel's History of Philosophy : New Interpretations</t>
  </si>
  <si>
    <t>B2936.Z7 -- H44 2003eb</t>
  </si>
  <si>
    <t>'1,150,150,31,95,213,166,167,168,169,151,152,153,160,171,172,173,174,175,17,16,18,19,20,21,22,23,24,25,26,14,15,8'</t>
  </si>
  <si>
    <t>'171,171'</t>
  </si>
  <si>
    <t>From Civil Rights to Human Rights : Martin Luther King, Jr. , and the Struggle for Economic Justice</t>
  </si>
  <si>
    <t>Martin Luther King Jr</t>
  </si>
  <si>
    <t>323.1/196/073/092</t>
  </si>
  <si>
    <t>E185.97.K5 -- .K575 2013eb</t>
  </si>
  <si>
    <t>Value-Addition in Food Products and Processing Through Enzyme Technology</t>
  </si>
  <si>
    <t>TP248.E5 V358 2022</t>
  </si>
  <si>
    <t>'4,5,6,7,8,3,2,1'</t>
  </si>
  <si>
    <t>Mozilla/5.0 (Windows NT 6.1; Win64; x64) AppleWebKit/537.36 (KHTML, like Gecko) Chrome/106.0.0.0 Safari/537.36</t>
  </si>
  <si>
    <t>The Paradoxes of Posterity</t>
  </si>
  <si>
    <t>'1,3,2,3,10,11,13,14,16,17,19,20,21,22,23,25,27,28,15,12'</t>
  </si>
  <si>
    <t>'1,1,89,97,98,2,,1,1,1,34,33,35,46,45,47,110,109,179,179,80,79,79,32,31,33'</t>
  </si>
  <si>
    <t>'1,1,112,111,111,55,56,55,57,58,333,334,334,12,11,36,64,63,84,83,109,133,133,258,259,271,270,285,309,310,308,307,306,305,304,305,28,27,43,42,271,286,285'</t>
  </si>
  <si>
    <t>'91,92,93,94,95,96,97,98,99,100,101,102,103,104,,105,106,107,108,109,110,111,112,113,114,115,116,117,118,119,120,121,122,123,124,125,,12,13,14,15,16,17,18,19,20,21,22,23,24,25,26'</t>
  </si>
  <si>
    <t>Physiology</t>
  </si>
  <si>
    <t>Science: Biology/Natural History; Science: Zoology; Science</t>
  </si>
  <si>
    <t>QL435 -- .P497 2015eb</t>
  </si>
  <si>
    <t>'1,3,15,14,10'</t>
  </si>
  <si>
    <t>Biochemistry</t>
  </si>
  <si>
    <t>Global Media</t>
  </si>
  <si>
    <t>QD415.P69 2008</t>
  </si>
  <si>
    <t>'1,3,16,17,18,19,20,22,23,6,24,25,26,27,41,42,43,44,45,46,47,48,49,50,51,52,53,54,55,56,57,58'</t>
  </si>
  <si>
    <t>BIOS Instant Notes in Genetics</t>
  </si>
  <si>
    <t>QH440.2 .W55</t>
  </si>
  <si>
    <t>'1,4,5,9,8,10,11,12,13,14,15,16,17,18,19,20'</t>
  </si>
  <si>
    <t>Regional Geology and Tectonics: Principles of Geologic Analysis : Volume 1: Principles of Geologic Analysis</t>
  </si>
  <si>
    <t>QE511.4 .R445 2020</t>
  </si>
  <si>
    <t>'252,253,254,255,257,256'</t>
  </si>
  <si>
    <t>'1,2,3,7,6,8,9,10,11,5,4'</t>
  </si>
  <si>
    <t>'1,2,2,1,3,4,5,6,7,8,8,9,,9,10,11,12,13,14,15,16,17,18,19,20,21,480,479,481,385,1,2,3,4,5,6,7,8'</t>
  </si>
  <si>
    <t>Principles of Robot Motion : Theory, Algorithms, and Implementations</t>
  </si>
  <si>
    <t>TJ211.4 -- .P75 2005eb</t>
  </si>
  <si>
    <t>'24,,24'</t>
  </si>
  <si>
    <t>Handbook of Water and Wastewater Treatment Plant Operations</t>
  </si>
  <si>
    <t>TD434$b.S645 2020</t>
  </si>
  <si>
    <t>'40,42,43,44,45,46,47,48'</t>
  </si>
  <si>
    <t>'1,169,173,185,186,187,188,190,191,197,215,193,194'</t>
  </si>
  <si>
    <t>'1,2,3,4,5,6,7,,18,19,20,21,,24,25,26,27,28,29,30,31,32,33,34,35,36,37,38,39'</t>
  </si>
  <si>
    <t>'1,,1,200,199'</t>
  </si>
  <si>
    <t>'1,1,1,126,125,126,54,53,55,94,93,95,276,277,286,285'</t>
  </si>
  <si>
    <t>'285,286'</t>
  </si>
  <si>
    <t>Flow-Induced Vibration Handbook for Nuclear and Process Equipment</t>
  </si>
  <si>
    <t>Engineering; Engineering: Chemical; Engineering: General</t>
  </si>
  <si>
    <t>TP156.F6 F569 2022</t>
  </si>
  <si>
    <t>'1,2,3,7,8,9,10,11,12,13,14,15,17,16,5,6'</t>
  </si>
  <si>
    <t>'1,256,257,260,261,262,263,264,239,238,258,259,266,267'</t>
  </si>
  <si>
    <t>Hydrogen, Biomass and Bioenergy : Integration Pathways for Renewable Energy Applications</t>
  </si>
  <si>
    <t>TP359.H8 .H937 2020</t>
  </si>
  <si>
    <t>'88,89,90,91,92,93,94'</t>
  </si>
  <si>
    <t>'1,1,31,18,19,20,150,151,152,153,155,157,159,160,161,162,163,164,165,166,167,168,169,170,171,172,173,174,175,176,177,178,178,9,7,29'</t>
  </si>
  <si>
    <t>Game Theory and Machine Learning for Cyber Security</t>
  </si>
  <si>
    <t>TK5105.59 .G364 2021</t>
  </si>
  <si>
    <t>'265,266,267,268,269,270,271,272,273,274,275,7,1,,265,266'</t>
  </si>
  <si>
    <t>Gis : An Introduction to Mapping Technologies</t>
  </si>
  <si>
    <t>G70.212 .M343 2019</t>
  </si>
  <si>
    <t>'1,2,,1,3'</t>
  </si>
  <si>
    <t>Evaporation, Evapotranspiration, and Irrigation Water Requirements</t>
  </si>
  <si>
    <t>American Society of Civil Engineers</t>
  </si>
  <si>
    <t>S600.7.E93 -- .E93 2016eb</t>
  </si>
  <si>
    <t>'1,2,4,5,6,7,8,10,11,12,13,14'</t>
  </si>
  <si>
    <t>'1,1,141,142,143,143,266,267,269,292,291,320,322,322'</t>
  </si>
  <si>
    <t>'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'</t>
  </si>
  <si>
    <t>'1,9,11,10,12,14,13,17,19,22,28,29,32,33,35,38,40,39,41,42,43'</t>
  </si>
  <si>
    <t>'1,4,5,7,9,73,91,93,90,105,106,107,108,109,110,112,113,126'</t>
  </si>
  <si>
    <t>'1,1,31,32,40,59,150,151'</t>
  </si>
  <si>
    <t>'1,3,34'</t>
  </si>
  <si>
    <t>'1,15,115,116,150,151,152,153,155,156,158,164,166,167,168,169,170'</t>
  </si>
  <si>
    <t>Plastic Waste for Sustainable Asphalt Roads</t>
  </si>
  <si>
    <t>Engineering: Environmental; Engineering; Engineering: General</t>
  </si>
  <si>
    <t>TD798 .P537 2022</t>
  </si>
  <si>
    <t>'1,120,121,122,123,124,125,125,125'</t>
  </si>
  <si>
    <t>Engineering Systems : Meeting Human Needs in a Complex Technological World</t>
  </si>
  <si>
    <t>TA168 -- .D425 2011eb</t>
  </si>
  <si>
    <t>'1,1,6,40,41,42,43'</t>
  </si>
  <si>
    <t>Beam Structures : Classical and Advanced Theories</t>
  </si>
  <si>
    <t>624.1/7723</t>
  </si>
  <si>
    <t>TA492.G5C37 2011</t>
  </si>
  <si>
    <t>'1,3,3,13,43,43'</t>
  </si>
  <si>
    <t>'1,3,2,4,5,7,13,15,16,18,19,31,32,33,34,36,35,37,38,39,40'</t>
  </si>
  <si>
    <t>'1,,1,3,2'</t>
  </si>
  <si>
    <t>Historical Dictionary of Heidegger's Philosophy</t>
  </si>
  <si>
    <t>B3279.H49 -- D455 2010eb</t>
  </si>
  <si>
    <t>'1,1,48,47,67,66,87,86,85,84,83,278,277,187,200,199,220,219,218,208,209,210,211,212,213,214,215'</t>
  </si>
  <si>
    <t>The Romance of Heroism and Heroic Leadership</t>
  </si>
  <si>
    <t>Business/Management; Psychology</t>
  </si>
  <si>
    <t>158/.4</t>
  </si>
  <si>
    <t>HF5548.7-5548.85</t>
  </si>
  <si>
    <t>'1,1,2,4,5,15,16,53,54'</t>
  </si>
  <si>
    <t>'1,2,3,1'</t>
  </si>
  <si>
    <t>'1,2,3,4,5,7,8,9,10,11'</t>
  </si>
  <si>
    <t>'1,2,3,4,5,6,7,8,9,10,11,12'</t>
  </si>
  <si>
    <t>Distillation : Principles and Practice</t>
  </si>
  <si>
    <t>660/.28425</t>
  </si>
  <si>
    <t>TP156.D5 .S75 2021</t>
  </si>
  <si>
    <t>'1,1,2,381,382,383,384,385,387,386,388,25,26'</t>
  </si>
  <si>
    <t>Energy and Process Optimization for the Process Industries</t>
  </si>
  <si>
    <t>TS176 .Z53 2013</t>
  </si>
  <si>
    <t>'1,74,75,76,77,78,80,235,286,287,288,289,290,291,292,293,294,295,296,298,299,301,302,304,305,306,307,308'</t>
  </si>
  <si>
    <t>System Dynamics : Modeling, Simulation, and Control of Mechatronic Systems</t>
  </si>
  <si>
    <t>620.001/1</t>
  </si>
  <si>
    <t>TA168 -- .K362 2012eb</t>
  </si>
  <si>
    <t>'31,32,33,34,35,36,37,38,39,40,41,42,43,44,45,46,47,48,49,50,,51,52,53,54,55,56,57,58,59,60,61,62,63,64,65,66,67,68,69,70,71,72,73,74,75,76,77,78,79,80,81,82,83,84,85,86,87,88,89,90'</t>
  </si>
  <si>
    <t>'1,2,3,4,5,6,20,35,50,93,121,7,8,9,10,11,12,13,14,15,16,17,18,19,21,23,24,25,26,27,28,29,31,32'</t>
  </si>
  <si>
    <t>'1,29,,1,,1,1'</t>
  </si>
  <si>
    <t>Advances in Human Factors and Ergonomics in Healthcare and Medical Devices : Proceedings of the AHFE 2018 International Conference on Human Factors and Ergonomics in Healthcare and Medical Devices, July 21-25, 2018, Loews Sapphire Falls Resort at Universal Studios, Orlando, Florida, USA</t>
  </si>
  <si>
    <t>Science; Engineering: General; Engineering</t>
  </si>
  <si>
    <t>Mozilla/5.0 (Macintosh; Intel Mac OS X 10_15_6) AppleWebKit/605.1.15 (KHTML, like Gecko) Version/14.1 Safari/605.1.15</t>
  </si>
  <si>
    <t>'96,98,100,97,99'</t>
  </si>
  <si>
    <t>'96,97,98,,96,1'</t>
  </si>
  <si>
    <t>'1,2,3,4,5,6,14'</t>
  </si>
  <si>
    <t>Great Myths of the Brain</t>
  </si>
  <si>
    <t>Science; Science: Anatomy/Physiology; Science: Biology/Natural History</t>
  </si>
  <si>
    <t>612.8/6</t>
  </si>
  <si>
    <t>QP376 -- .J345 2015eb</t>
  </si>
  <si>
    <t>'1,3,4,5,6,8,9,11,10,12,14,15,22,26,27,28,33,34,36,39,42,44,45,46,51,53,52,54,56,58,60,57,61,62,63,65,66,67,68,69,70,71,71,71'</t>
  </si>
  <si>
    <t>Thermal Energy Storage : Systems and Applications</t>
  </si>
  <si>
    <t>621.402/8</t>
  </si>
  <si>
    <t>TJ260 .D564 2021</t>
  </si>
  <si>
    <t>'1,2,3,4,505,403,405,405,229,405,133,133,132,132,505,403,402,404,404,259,405,406,407,408,409,410,411,412,413,414,415,418,419,420,421,422,423,424,425,426,427,428,430,431,432,433,434,435,436,437'</t>
  </si>
  <si>
    <t>'25,25,24,26,29,31,34,32,33,35,37,38,39,40,41'</t>
  </si>
  <si>
    <t>'20,,,,20,22,24,26,28,27,29,30,31,32,33,34,35,36,37,39,40,41,42,43,44,38,27'</t>
  </si>
  <si>
    <t>'1,1,1,3,6,7,8,9,11,23,24,25,,25,25,26,27,28,29,31,30,32,33,34'</t>
  </si>
  <si>
    <t>'12,12,20,,20,21,19,18,17,16,15,14,13,23,25,26,27,24,22'</t>
  </si>
  <si>
    <t>'17,17,17'</t>
  </si>
  <si>
    <t>'1,1,263,262,264,266,268,270,48,49,50,51,52,53,54,55,56,57,59,60,61,62,63,64,65,66,67,68,69,75,74,85,95,94,93,92,91,90'</t>
  </si>
  <si>
    <t>Translucent Silica Aerogel: Properties, Preparation and Applications</t>
  </si>
  <si>
    <t>'75,82,66,65,63,64,,119,114,124,122,123,125,126,127,128,129,130,131,132,133,134,137,138,139,140,141,142,145,147,148,149,150,151,152,153,154,155,156,157,158'</t>
  </si>
  <si>
    <t>Old Norse Religion in Long-Term Perspectives : Origins, Changes and Interactions</t>
  </si>
  <si>
    <t>Nordic Academic Press</t>
  </si>
  <si>
    <t>BL860 -- .O43 2006eb</t>
  </si>
  <si>
    <t>Leadership (the Brian Tracy Success Library)</t>
  </si>
  <si>
    <t>HD57.7.T725 2014eb</t>
  </si>
  <si>
    <t>'1,4,5,6,8,9,8,8,8,8,8,9,10,,,26,27,28,29,30,31,32,33,35,36,37,38,39,40,41,42'</t>
  </si>
  <si>
    <t>'1,2,3,4,5,6,7,8,9,10,11,12,13,14,15,16,17,18,19,20,21,22,23,24,25'</t>
  </si>
  <si>
    <t>Refounding Corporate Governance : The Metaphysics of Corporate Leadership</t>
  </si>
  <si>
    <t>HD2741 -- .C88 2011eb</t>
  </si>
  <si>
    <t>Jean-Luc Nancy and the Future of Philosophy</t>
  </si>
  <si>
    <t>B805.H88 2005</t>
  </si>
  <si>
    <t>'1,186,187,180,181,4,5,6,7,8,10,11,12,2,3'</t>
  </si>
  <si>
    <t>'1,2,3,4,4,5,5,6,12,8,9,10,12,,12,12,12,13,13,14,15,16,16,16,17,18,17,17,18,18,18,19,20,21,21,21,22,22,22,23,24,24,24,25,25,25,26,26,26,27,1,2,4,9,12,12,13'</t>
  </si>
  <si>
    <t>Floodaware Rapport Final du Programme Européen Climat et Environnement : Action 2. 3. 1. : Risques Hydrologiques et Hydrogéologiques. 1994-1998</t>
  </si>
  <si>
    <t>Quæ</t>
  </si>
  <si>
    <t>GB1399.2.F56 2000</t>
  </si>
  <si>
    <t>'1,2,,1,2,3,4,5,6,6,8,,1,,1,,1,2,3,4,5,6,6,6,7,9,1,1,1,1,2,3,5,6,7,7,6,5,3,2,1,,11,,1,2,3,4,3,5,6'</t>
  </si>
  <si>
    <t>Transformational Corporate Leadership</t>
  </si>
  <si>
    <t>Andrews UK Ltd.</t>
  </si>
  <si>
    <t>HD57.7 -- .K575 2012eb</t>
  </si>
  <si>
    <t>'1,22,23'</t>
  </si>
  <si>
    <t>Ethical Leadership</t>
  </si>
  <si>
    <t>HF5387 -- .M46 2007eb</t>
  </si>
  <si>
    <t>'1,3,40,42,44,46'</t>
  </si>
  <si>
    <t>Photophysics and Photochemistry of a BODIPY‐Based Photosensitizer : Quantumchemical Simulations</t>
  </si>
  <si>
    <t>QD39.3.E46</t>
  </si>
  <si>
    <t>Advanced CO2 Capture Technologies : Absorption, Adsorption, and Membrane Separation Methods</t>
  </si>
  <si>
    <t>'1,3,3,12,11,13,14,15,16,17,19,20,21,22,23,24,,1,1,1,31,32,33,34,35,36,37,38,39,40,41,42,12,12,11,31,32,33,34,35,37,38,39,40,41,42,43,44,45,46,47,49,50,51'</t>
  </si>
  <si>
    <t>Developments in Information and Knowledge Management for Business Applications : Volume 2</t>
  </si>
  <si>
    <t>Business/Management; Science</t>
  </si>
  <si>
    <t>'280,,280,281,283,704,702,703'</t>
  </si>
  <si>
    <t>'1,266,267,268,269,270,271,272,273,274,275,276,277,277,277'</t>
  </si>
  <si>
    <t>'275,276,277,278,279,280,281,282,283,284,285'</t>
  </si>
  <si>
    <t>'1,1,141,143,144,145,146,147,148,150,152,154,1,1,320,319,322,323,324'</t>
  </si>
  <si>
    <t>A Handbook of Leadership Styles</t>
  </si>
  <si>
    <t>HD57.7$b.H363 2020</t>
  </si>
  <si>
    <t>'1,72,76,77,5,6,7,96,94,99,100,97,98'</t>
  </si>
  <si>
    <t>'1,93,93,93,93,94'</t>
  </si>
  <si>
    <t>Your Life Is Your Message : Discovering the Core of Transformational Leadership</t>
  </si>
  <si>
    <t>Business/Management; Social Science</t>
  </si>
  <si>
    <t>HD57.7 .S736 2019</t>
  </si>
  <si>
    <t>'1,310,312,313,314,315,316,317,318,319,320,321,322,323,324,325'</t>
  </si>
  <si>
    <t>'93,95,96,99,98,90,85'</t>
  </si>
  <si>
    <t>'93,94,,,94,,93,,93'</t>
  </si>
  <si>
    <t>Semi-State Actors in Cybersecurity</t>
  </si>
  <si>
    <t>HV6773 .E356 2022</t>
  </si>
  <si>
    <t>'1,26,,26,25,27,28,28,28,29,30,31,32,33,34'</t>
  </si>
  <si>
    <t>Snapshots of Great Leadership</t>
  </si>
  <si>
    <t>303.3/4</t>
  </si>
  <si>
    <t>HM1261 .H694 2018</t>
  </si>
  <si>
    <t>'56'</t>
  </si>
  <si>
    <t>Mozilla/5.0 (Windows NT 10.0; Win64; x64) AppleWebKit/537.36 (KHTML, like Gecko) Chrome/105.0.0.0 Safari/537.36 OPR/91.0.4516.72</t>
  </si>
  <si>
    <t>Realities and Fantasies of German Female Leadership : From Maria Antonia of Saxony to Angela Merkel</t>
  </si>
  <si>
    <t>Boydell &amp; Brewer, Limited</t>
  </si>
  <si>
    <t>'232,233,234,235,235,236,272,273'</t>
  </si>
  <si>
    <t>'1,1,141,143,144,145,146,148'</t>
  </si>
  <si>
    <t>'72,73,74,75,76,77'</t>
  </si>
  <si>
    <t>'13,15,18,20,22'</t>
  </si>
  <si>
    <t>Photochemistry : Volume 33</t>
  </si>
  <si>
    <t>QD708.2</t>
  </si>
  <si>
    <t>'1,3,4,28,33,30,29,188,6,8,9,10,12'</t>
  </si>
  <si>
    <t>'1,2,5,13,14,15,16,17,18,19,20,21,,23,24,25,26,27,28,29,30,31,32,33,34,35,36,37'</t>
  </si>
  <si>
    <t>'1,2,,5,6,6,9,12,11,10,13,15'</t>
  </si>
  <si>
    <t>Artificial Intelligence in Healthcare</t>
  </si>
  <si>
    <t>R859.7.A78 .A785 2020</t>
  </si>
  <si>
    <t>'4,6'</t>
  </si>
  <si>
    <t>'1,20,20'</t>
  </si>
  <si>
    <t>'20,21,22,23,24,25,26,27'</t>
  </si>
  <si>
    <t>One State, Two States : Resolving the Israel/Palestine Conflict</t>
  </si>
  <si>
    <t>DS119.7.M6565 2009</t>
  </si>
  <si>
    <t>'1,18,19,18,18'</t>
  </si>
  <si>
    <t>'18,19,20,21,22,23,24,25,26,27,28,29,30,31,32,33,34,35,36,37,38,39,40,41,42,43,44'</t>
  </si>
  <si>
    <t>Creating Winning Grant Proposals : A Step-By-Step Guide</t>
  </si>
  <si>
    <t>LC243.A1 .R684 2019</t>
  </si>
  <si>
    <t>'277,278,279,280'</t>
  </si>
  <si>
    <t>The 1967 Arab-Israeli War : Origins and Consequences</t>
  </si>
  <si>
    <t>DS127 .A55 2012</t>
  </si>
  <si>
    <t>'1,3,9,9,10,11,12,21,21,21'</t>
  </si>
  <si>
    <t>'21,22,23,24,25,26,27,28,29,30,31,32,33,34,35,36,37,38,39,40,41'</t>
  </si>
  <si>
    <t>'1,,1,2,6,22,23,24,25,26,29,29'</t>
  </si>
  <si>
    <t>'22,23,24,25,26,27,28,29,30,31,32,33,34,35,36,37,38,39,40,41,42,43,44,45,46,47,48,49,50,51,52,53,54'</t>
  </si>
  <si>
    <t>An Introduction to Optimization</t>
  </si>
  <si>
    <t>'1,6,6,2,1'</t>
  </si>
  <si>
    <t>'1,10,11,24,25,35,35,35,47,47,47'</t>
  </si>
  <si>
    <t>'35,36,37,38,39,40,41,42,43,44,45,46,47,48,49,50,51,52,53'</t>
  </si>
  <si>
    <t>Handbook of Scientific Proposal Writing</t>
  </si>
  <si>
    <t>Literature; Science</t>
  </si>
  <si>
    <t>808.066/5</t>
  </si>
  <si>
    <t>Q180.55.P7 -- O78 2012eb</t>
  </si>
  <si>
    <t>'63,64,65,66,67,68,69,70,71,72,73,74,75,76,77,78,79,80,81,82,83,84,85,86,87,88,89,90'</t>
  </si>
  <si>
    <t>'1,3,2,,1'</t>
  </si>
  <si>
    <t>Native vs. Settler : Ethnic Conflict in Israel/Palestine, Northern Ireland and South Africa</t>
  </si>
  <si>
    <t>GN496 -- .M58 2000eb</t>
  </si>
  <si>
    <t>'1,2,3,4,5,6,7,8,9,10,12,14,15,16,17,18,53,54,55,56,57,58,59,60,61,62,63,64,65,66,67,68,70,69,71,72,53,53,1'</t>
  </si>
  <si>
    <t>'53,54,55,56,57,58,59,60,61,62,63,64,65,66,67,68,69,70,71,72,73,74,75,76,77,78,79,80,81,82'</t>
  </si>
  <si>
    <t>Essential Medical Statistics</t>
  </si>
  <si>
    <t>'1,5,6,7'</t>
  </si>
  <si>
    <t>'75,76,77,78,79,80,81,82,83,84,85,86,87'</t>
  </si>
  <si>
    <t>'1,314,313,315,317,,266,267,268,269,270,271,272'</t>
  </si>
  <si>
    <t>Dictionary of Gnosis and Western Esotericism</t>
  </si>
  <si>
    <t>BF1407 -- .D529 2006eb</t>
  </si>
  <si>
    <t>'1,5,6,17,18,23,25,26,27,28,29,30,29,5,61,62,150,151'</t>
  </si>
  <si>
    <t>Introduction to Data Compression</t>
  </si>
  <si>
    <t>005.74/6</t>
  </si>
  <si>
    <t>TK5102.92.S39 2006</t>
  </si>
  <si>
    <t>'1,186,425,426,425,428,427,429,433,434,435,436,437,438'</t>
  </si>
  <si>
    <t>Origin of Carbonate Sedimentary Rocks</t>
  </si>
  <si>
    <t>'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,169,170,171,172,173,174,175,176,177,178,179,180,181,182,183,184,185,186,187,188,189,190,191,192,193,194,,96,97,98,99,100,101,102,103,104,105,106,107,108,109,110,,289,290,291,292,293,294,295,296,297,298,299,300,301,302,303,304,305,306,307,308,309,310,311,312,,385,,390,,387'</t>
  </si>
  <si>
    <t>American Graffiti</t>
  </si>
  <si>
    <t>Parkstone Press USA, Limited</t>
  </si>
  <si>
    <t>'1,2,3,4,5,7,9,8,10,11,283,282,279,273,272,271,269,270'</t>
  </si>
  <si>
    <t>'1,2,3,4,5,6,7,8,9,20,143,144,145,146,147,148,149,150,151,152,153,155'</t>
  </si>
  <si>
    <t>Economics of Education : Research and Studies</t>
  </si>
  <si>
    <t>Economics; Business/Management; Education</t>
  </si>
  <si>
    <t>338.4/737</t>
  </si>
  <si>
    <t>LC65.E255 1987eb</t>
  </si>
  <si>
    <t>'1,4,4,6,6,9,10,124,125,126,127'</t>
  </si>
  <si>
    <t>Mozilla/5.0 (Macintosh; Intel Mac OS X 10_14_6) AppleWebKit/537.36 (KHTML, like Gecko) Chrome/103.0.0.0 Safari/537.36</t>
  </si>
  <si>
    <t>Synthesis, Technology and Applications of Carbon Nanomaterials</t>
  </si>
  <si>
    <t>TA418.9.N35 .S968 2019</t>
  </si>
  <si>
    <t>'196,216,211,197,198,192,199'</t>
  </si>
  <si>
    <t>Gender, Religion and Change in the Middle East : Two Hundred Years of History</t>
  </si>
  <si>
    <t>305.3/0956/0904</t>
  </si>
  <si>
    <t>HQ1785.G46 2005</t>
  </si>
  <si>
    <t>'1,1,8,6,7'</t>
  </si>
  <si>
    <t>Money Makes Us Relatives : Women's Labor in Urban Turkey</t>
  </si>
  <si>
    <t>331.4/094961/8</t>
  </si>
  <si>
    <t>HD6181.93 \.W48 2004</t>
  </si>
  <si>
    <t>'1,1,1,26,27,28,28,4,3,26,20,25,29,30,36,37'</t>
  </si>
  <si>
    <t>Turkey Society &amp; Culture Complete Report : An All-Inclusive Profile Combining All of Our Society and Culture Reports</t>
  </si>
  <si>
    <t>World Trade Press</t>
  </si>
  <si>
    <t>DR432 -- .W67 2010eb</t>
  </si>
  <si>
    <t>'1,1,1,2,21,22,23,24,25,26,27,28,29'</t>
  </si>
  <si>
    <t>Turkey Women in Culture, Business &amp; Travel : A Profile of Turk Women in the Fabric of Society</t>
  </si>
  <si>
    <t>HQ1726.7 -- .W67 2010eb</t>
  </si>
  <si>
    <t>'1,1,1,2,3,4,5'</t>
  </si>
  <si>
    <t>Women and Public Space in Turkey : Gender, Modernity and the Urban Experience</t>
  </si>
  <si>
    <t>HQ1726.7 .T863 2018</t>
  </si>
  <si>
    <t>'1,8,9'</t>
  </si>
  <si>
    <t>New Methods and Sensors for Membrane and Cell Volume Research</t>
  </si>
  <si>
    <t>QH601 .N49 2021</t>
  </si>
  <si>
    <t>'1,1,3,5,6'</t>
  </si>
  <si>
    <t>'238,239,240,241,367,368,369,370,371,372,373,374,375,376'</t>
  </si>
  <si>
    <t>'1,25,26,27,29,30,31,32,34'</t>
  </si>
  <si>
    <t>'1,2,4,,1'</t>
  </si>
  <si>
    <t>Advances in 2nd Generation of Bioethanol Production</t>
  </si>
  <si>
    <t>TP248.B55 .A383 2021</t>
  </si>
  <si>
    <t>'226,227,228,229,230,232,235,236,231'</t>
  </si>
  <si>
    <t>Machine Learning Algorithms Using Python Programming</t>
  </si>
  <si>
    <t>Higher Order Dynamic Mode Decomposition and Its Applications</t>
  </si>
  <si>
    <t>QA402.2 .V443 2021</t>
  </si>
  <si>
    <t>Mozilla/5.0 (Windows NT 10.0; Win64; x64) AppleWebKit/537.36 (KHTML, like Gecko) Chrome/106.0.0.0 Safari/537.36 Edg/106.0.1370.47</t>
  </si>
  <si>
    <t>Mozilla/5.0 (Macintosh; Intel Mac OS X 10_15_6) AppleWebKit/605.1.15 (KHTML, like Gecko) Version/14.1.1 Safari/605.1.15</t>
  </si>
  <si>
    <t>'1,142,143,146,148,151,154,155,158,161,162,163,164,165,169,172,171,160,105,91,92'</t>
  </si>
  <si>
    <t>'1,27,28,29,73,30,32,33,34,35,36,37,38,74,75,76,77,78,79,80,81,82,83,84,85,86,87,88,153,154,155,156,157,158,159,160,161,163,164,165,166,167,168,169,170,171,172,173,174,175,176'</t>
  </si>
  <si>
    <t>Ocean Optics</t>
  </si>
  <si>
    <t>GC177.6 -- .O28 1994eb</t>
  </si>
  <si>
    <t>Radiation Protection of the Public and the Environment : General Safety Guide</t>
  </si>
  <si>
    <t>International Atomic Energy Agency</t>
  </si>
  <si>
    <t>Medicine; Social Science; Health</t>
  </si>
  <si>
    <t>RA569  .R335 2018</t>
  </si>
  <si>
    <t>'1,2,11,12,31,32'</t>
  </si>
  <si>
    <t>Permissible Dose : A History of Radiation Protection in the Twentieth Century</t>
  </si>
  <si>
    <t>363.17/996/0904</t>
  </si>
  <si>
    <t>TK1345.H37 -- W35 2004eb</t>
  </si>
  <si>
    <t>'14,15,16,17,18,19,20,21,22,23,24,25,26,27,28,29,30,31,32,33,34,35,36,37,38,39,40,41,,142,143,144,145,146,147,148,149,150,151,152,153,154,155,156,157,158,159,160,161,162,163,164,165,166,167,168,169'</t>
  </si>
  <si>
    <t>'14,15,16,17,18,19,20,21,22,23,24,25,26,27,28,29,30,31,32,33,34,35,,,36,37,38,39,40,41,42,43,44,45,46,47,48,49,50,51,52,53,54,55,56,57,58,59,60,61,62,63'</t>
  </si>
  <si>
    <t>'1,3,3,2,4,5,6,7,8,10,11,12,9,13,14,15,16,17,18,19,21,22,23,24,25,26,27,105,106,107,108,109,110,111,112,112,140,112,112,113,110,113,112,114'</t>
  </si>
  <si>
    <t>Human-Centered Software Engineering : 8th IFIP WG 13. 2 International Working Conference, HCSE 2020, Eindhoven, the Netherlands, November 30 - December 2, 2020, Proceedings</t>
  </si>
  <si>
    <t>QA76.758</t>
  </si>
  <si>
    <t>'1,3,5,6,8,10,11'</t>
  </si>
  <si>
    <t>Historical Dictionary of New Religious Movements</t>
  </si>
  <si>
    <t>BP601 -- .C47 2012eb</t>
  </si>
  <si>
    <t>'1,2,3,4,5,7,8,9,10,11,12,13,14,16,28'</t>
  </si>
  <si>
    <t>Carbon Isotope Stratigraphy</t>
  </si>
  <si>
    <t>551.7/01</t>
  </si>
  <si>
    <t>QD466.5.C1 .C373 2020</t>
  </si>
  <si>
    <t>Morphing Wing Technologies : Large Commercial Aircraft and Civil Helicopters</t>
  </si>
  <si>
    <t>TL672.M677 2018</t>
  </si>
  <si>
    <t>'1,60,61,63,64,65,66,67,68,69,70,71,72,73,74,75,76,77,78,79,82,83,84,85,86,87,88,89,90,91,92,93,94,95,96,97,98,99,100,143,144,145,146,147,148,149,150,151,152,153,154,155,156,157,158,159,160,161,162,163,164,165,166,167,168,169,170,171,172,173,174,175,176,177,179,180,181,182,183,185,186,187,188,189,190,191,192,193,194,195,196,197,198,199,200,201,202,205,204,206,207,208,209,210,211,212,213,214,215,216'</t>
  </si>
  <si>
    <t>Isotope Geology</t>
  </si>
  <si>
    <t>QE501.4.N9 -- A45 2008eb</t>
  </si>
  <si>
    <t>'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'</t>
  </si>
  <si>
    <t>'1,2,3,4,5,6,7,8,9,10,11,12,13,14,15,,14,,14'</t>
  </si>
  <si>
    <t>Sedimentary Organic Matter : Organic Facies and Palynofacies</t>
  </si>
  <si>
    <t>Science: Geology; Science; Environmental Studies</t>
  </si>
  <si>
    <t>GE1-350</t>
  </si>
  <si>
    <t>'1,32,36,30,25,,1,,,1,32,30,30,30,30,26,24,21,18,12,13,14,16,20,22,23,25,28,32,33,34,35,37,38,39,40,41,43,44,6,3,4,4,4,5,6,7,8,9,621,590,559,435,436,437,439,441,466,468,469,470,471,472,478,478,478,481,482,483,484,486,488,489,489,490,491,492,493,494,496,497,498,499,500,501,502,503,1,2,3,4,5,8,9,11,12,13,14,16,17,18,19,20,21,22,23,23,24,22,21,20,32'</t>
  </si>
  <si>
    <t>'32,33,34,35,36,37,38,39,40,41,42,43,44,45,46,47,48,49,50,51,52,53,54,55,56,57,58,59,60,61,62,,,,1,2,3,4,5,6,7,8,9,10,11,12,13,14,15,16,17,18,19,20,21,22,23,24,25,26,27,28,29,30,31,32,33,34,35,36,37,38,39,40,41,42,43,44,45,46,47,48,49,50,51,52,53,54,55,56,57,58,59,60,61,62'</t>
  </si>
  <si>
    <t>'1,13,22,23,21,19,,1,3,44,48,50,51'</t>
  </si>
  <si>
    <t>Mozilla/5.0 (X11; Linux x86_64) AppleWebKit/537.36 (KHTML, like Gecko) SamsungBrowser/18.0 Chrome/99.0.4844.88 Safari/537.36</t>
  </si>
  <si>
    <t>A Culture of Conspiracy : Apocalyptic Visions in Contemporary America</t>
  </si>
  <si>
    <t>Social Science; Religion</t>
  </si>
  <si>
    <t>306/.1</t>
  </si>
  <si>
    <t>BL503.2.B37 2013eb</t>
  </si>
  <si>
    <t>'1,2,3,5,6,8,9'</t>
  </si>
  <si>
    <t>'1,1,13,14,15,67,68,121,122,139,141,194,193,195,196,197,198,199'</t>
  </si>
  <si>
    <t>Handbook of Probabilistic Models</t>
  </si>
  <si>
    <t>TA340 .H363 2020</t>
  </si>
  <si>
    <t>'252,253,256,257,258,260,261,262'</t>
  </si>
  <si>
    <t>Concentrating Solar Power Technology : Principles, Developments and Applications</t>
  </si>
  <si>
    <t>TJ810.C6 2012</t>
  </si>
  <si>
    <t>'1,2,3,,4'</t>
  </si>
  <si>
    <t>'1,1,2,3,4,5,6,7'</t>
  </si>
  <si>
    <t>Introduction to Renewable Energy Conversions</t>
  </si>
  <si>
    <t>TJ808.3 .C373 2020</t>
  </si>
  <si>
    <t>The Human Gene Editing Debate</t>
  </si>
  <si>
    <t>QH438.7 .E936 2020</t>
  </si>
  <si>
    <t>Advances in Cement Technology : Critical Reviews and Case Studies on Manufacturing, Quality Control, Optimization and Use</t>
  </si>
  <si>
    <t>666/.94</t>
  </si>
  <si>
    <t>TP883.A383 1983eb</t>
  </si>
  <si>
    <t>'1,3,5,6,7,8,10,11,12,13'</t>
  </si>
  <si>
    <t>Encyclopedia of Clinical Neuropsychology</t>
  </si>
  <si>
    <t>Science; Medicine; Science: Biology/Natural History</t>
  </si>
  <si>
    <t>'1,2,4,4,10,9,11,176,177,175,323,337,338,336,1,2,555,64'</t>
  </si>
  <si>
    <t>Hemiplegia Handbook : For Parents and Professionals</t>
  </si>
  <si>
    <t>Mac Keith Press</t>
  </si>
  <si>
    <t>RC406.H45 -- B37 2011eb</t>
  </si>
  <si>
    <t>'1,3,2,4,5,6,7,8,9,11,12,13,14'</t>
  </si>
  <si>
    <t>Non-Traditional Security Threats and Regional Cooperation in the Southern Caucasus</t>
  </si>
  <si>
    <t>'1,1,46,47,48,43,43'</t>
  </si>
  <si>
    <t>Dictionary of Medical Terms</t>
  </si>
  <si>
    <t>R121 -- .D53 2004eb</t>
  </si>
  <si>
    <t>Atmospheric and Oceanic Fluid Dynamics : Fundamentals and Large-scale Circulation</t>
  </si>
  <si>
    <t>QC809.F5.V35 2006</t>
  </si>
  <si>
    <t>'1,2,3,3,43,43,144,269,602,603,604,612,614,615,616,617,618,619'</t>
  </si>
  <si>
    <t>Four Point Bending</t>
  </si>
  <si>
    <t>TE278 -- .C66 2012eb</t>
  </si>
  <si>
    <t>'12,13,14,15,16,17,18,19,20,21,22,23,24,25,26,27,28,29,30,31,32,33,34,35,36,37,38,39,40,41,42,43,44,45,46,47,48,49,50,51,52,53,54,55,56,57,58,59'</t>
  </si>
  <si>
    <t>'1,2,3,4,16,18,17,20,238,239,240,242,243,244,245,246,247,,1'</t>
  </si>
  <si>
    <t>The Age of Em : Work, Love, and Life When Robots Rule the Earth</t>
  </si>
  <si>
    <t>Science; Social Science</t>
  </si>
  <si>
    <t>Q335 -- .H367 2016eb</t>
  </si>
  <si>
    <t>'1,2,3,6,7,8,9,10,11,12,13,14,15,16,17,18,19,20,21,22,23,24,25,26,27,28,29'</t>
  </si>
  <si>
    <t>'1,8,7,7,8,10,174,173,175,176,179,180'</t>
  </si>
  <si>
    <t>Microsoft SQL Server 2012 Bible</t>
  </si>
  <si>
    <t>005.756;005.7585</t>
  </si>
  <si>
    <t>QA76.9.C55 -- M53 2012eb</t>
  </si>
  <si>
    <t>'1,4,150,203,202,201,200,199,204,205'</t>
  </si>
  <si>
    <t>'216,217,218'</t>
  </si>
  <si>
    <t>'1,36,35'</t>
  </si>
  <si>
    <t>Genetic Engineering</t>
  </si>
  <si>
    <t>QH442.A76 2009</t>
  </si>
  <si>
    <t>'1,153'</t>
  </si>
  <si>
    <t>'1,2,4,3,6,7,8,9,11,11,12,13,14,16,5,19'</t>
  </si>
  <si>
    <t>Engineering; Science; Science: Biology/Natural History; Engineering: Chemical</t>
  </si>
  <si>
    <t>QH442 -- .H49 2006eb</t>
  </si>
  <si>
    <t>'1,34,35,36'</t>
  </si>
  <si>
    <t>Genetic Engineering and the World Trade System : World Trade Forum</t>
  </si>
  <si>
    <t>K3927 -- .G46 2008eb</t>
  </si>
  <si>
    <t>'1,87,88,89,161,90,91'</t>
  </si>
  <si>
    <t>Rosen Publishing Group</t>
  </si>
  <si>
    <t>660.6/5</t>
  </si>
  <si>
    <t>'15,16,17,8,7'</t>
  </si>
  <si>
    <t>Cyber Crime and Cyber Terrorism Investigator's Handbook</t>
  </si>
  <si>
    <t>363.25/968</t>
  </si>
  <si>
    <t>HV8079.C65 -- .A37 2014eb</t>
  </si>
  <si>
    <t>'1,2,3,4,5,6,7,8,9,10,11,12,13,14'</t>
  </si>
  <si>
    <t>3D Printing of Concrete : State of the Art and Challenges of the Digital Construction Revolution</t>
  </si>
  <si>
    <t>Engineering; Business/Management; Engineering: General</t>
  </si>
  <si>
    <t>TS171.95 .6756 2019</t>
  </si>
  <si>
    <t>'19,20,21,22,23,24,25,26,27,28,29,30,31,32,33,34,35,36,37,38,39'</t>
  </si>
  <si>
    <t>'1,27,28,29,30,31,32,33,34'</t>
  </si>
  <si>
    <t>'1,1,122,123,124,125,126,127,129,141,142,143,144,146,147,148,149,150,266,267,268,269,271,272,273,274,275,276'</t>
  </si>
  <si>
    <t>Techno-Economic Challenges of Green Ammonia As an Energy Vector</t>
  </si>
  <si>
    <t>TP223 .V354 2021</t>
  </si>
  <si>
    <t>'98,99,100,101,102,103,104,105,106,107,108,109,110,111,112,113,114,115,116,117'</t>
  </si>
  <si>
    <t>Essentials of Executive Functions Assessment</t>
  </si>
  <si>
    <t>BF723.E93 -- M33 2013eb</t>
  </si>
  <si>
    <t>'1,15,16,17,18,20,21,23,24,25,26'</t>
  </si>
  <si>
    <t>Applied Neuropsychology of Attention : Theory, Diagnosis and Rehabilitation</t>
  </si>
  <si>
    <t>BF321 -- .A675 2005eb</t>
  </si>
  <si>
    <t>'1,1,18,17,19'</t>
  </si>
  <si>
    <t>'18,19,20,21,22,23,24,25,26,27,28,29,30,31,32,33,34,35,36,37,38,39,40,41,42,43,44,45,46,47,48,49,50,51,52,53,54,55,56,57,58,59,60,61,62,63,64,65,66,67,68,69,70'</t>
  </si>
  <si>
    <t>Methanol : Science and Engineering</t>
  </si>
  <si>
    <t>TP359.M4 .B375 2018</t>
  </si>
  <si>
    <t>'50,51,52,53,54,55,56,57,58,59,60,61,62,63,64,65,66,67,68,69,70,71,72,73'</t>
  </si>
  <si>
    <t>'1,2,3,6,7,8,9,10,11,14'</t>
  </si>
  <si>
    <t>'1,2,3,5,6,16,18,17,19,20,21,22,23,24,25,26,27,28,29,30,31,32,33,34,35,36,37,38,39,40,41,42,44,45,46,47,48,49,50,51,52,53,55,56,57,58,59,60,61,62,63,64,65,67,125,126,127,128,129,130,131'</t>
  </si>
  <si>
    <t>'125,126,127,128,129,130,131,132,133,134,135,136,137,138,139,140,141,142,143,144,145,146,147,148,149,150,151,152,153,154,155,156,157,158,159,160,161,162,163,164,165,166'</t>
  </si>
  <si>
    <t>Advances in Oil-Water Separation : A Complete Guide for Physical, Chemical, and Biochemical Processes</t>
  </si>
  <si>
    <t>Engineering; Engineering: Environmental; Engineering: Chemical</t>
  </si>
  <si>
    <t>TD430 .M366 2022</t>
  </si>
  <si>
    <t>'4,5,7,6,8,248,249,252,250,251,253,254,255,256,257,257,257,257,523,258,,1,251,253,254,255,256,257,258,259,260,261,260,260,259'</t>
  </si>
  <si>
    <t>'1,2,3,5,5,6,1,29,30,212'</t>
  </si>
  <si>
    <t>Contactless Vital Signs Monitoring</t>
  </si>
  <si>
    <t>Medicine; Nursing</t>
  </si>
  <si>
    <t>RT48 .C668 2022</t>
  </si>
  <si>
    <t>'202,203,205,207,206'</t>
  </si>
  <si>
    <t>Mozilla/5.0 (Macintosh; Intel Mac OS X 10_15_7) AppleWebKit/537.36 (KHTML, like Gecko) Chrome/102.0.5005.61 Safari/537.36</t>
  </si>
  <si>
    <t>Martin Heidegger : Key Concepts</t>
  </si>
  <si>
    <t>B3279.H49 -- M37 2010eb</t>
  </si>
  <si>
    <t>'202,204,212,213,214,215,216,217,218,219,220,222,223,224,225,205,206,207'</t>
  </si>
  <si>
    <t>Transgenic Herbicide Resistance in Plants</t>
  </si>
  <si>
    <t>SB123.57 -- .R36 2015eb</t>
  </si>
  <si>
    <t>'1,,1,398,399,400,401'</t>
  </si>
  <si>
    <t>Machine Learning : A Probabilistic Perspective</t>
  </si>
  <si>
    <t>Q325.5 -- .M87 2012eb</t>
  </si>
  <si>
    <t>Deep Learning Patterns and Practices</t>
  </si>
  <si>
    <t>Q325.5 .F475 2021</t>
  </si>
  <si>
    <t>'81,82,83,84,85,86,87,88,89,90,91,92,93'</t>
  </si>
  <si>
    <t>Deep Learning for Dummies</t>
  </si>
  <si>
    <t>Q325.5 .M845 2019</t>
  </si>
  <si>
    <t>'1,3,2,4,5,6,7,8,9'</t>
  </si>
  <si>
    <t>Starting with Heidegger</t>
  </si>
  <si>
    <t>B3279.H49G698 2010</t>
  </si>
  <si>
    <t>'1,1,78,65,66,67,68,69,72,71,73,74,75,76,77'</t>
  </si>
  <si>
    <t>'65,66,67,68,69,70,71,72,73,74,75,76,77'</t>
  </si>
  <si>
    <t>Heidegger's Religious Origins : Destruction and Authenticity</t>
  </si>
  <si>
    <t>B3279.H49 -- C76 2006eb</t>
  </si>
  <si>
    <t>'1,1,181,182,183,184'</t>
  </si>
  <si>
    <t>PID Control System Design and Automatic Tuning Using MATLAB/Simulink</t>
  </si>
  <si>
    <t>TJ223.P55$b.W364 2020</t>
  </si>
  <si>
    <t>'1,5,8,10,9,11,14,19,22,26,27'</t>
  </si>
  <si>
    <t>'1,1,74,75,76,77'</t>
  </si>
  <si>
    <t>The Weirdness of Being : Heidegger's Unheard Answer to the Seinsfrage</t>
  </si>
  <si>
    <t>B3279.H49 D373 2014</t>
  </si>
  <si>
    <t>'1,1,2,16,15,14,13,12,17'</t>
  </si>
  <si>
    <t>'1,1,74,75,76,77,78,79,80,81'</t>
  </si>
  <si>
    <t>'143,145,176,175,177,172,,143,99,,143,139,135,99'</t>
  </si>
  <si>
    <t>'17,18,19,20,21,22,23,24,25,26,27,28,29,30,31,32,33,34,35,36,37,38,39,40,41,42,43,44,45,46,47,48,49,50,51,52,53,54,55,56,57,58,59,60,61,62,,174,175,,143,144,145,146,147,148,149,150,151,152,153,154,155,156,157,158,159,160,161,162,163,164,165,166,167,168,169,170,171,172,173,174,175,176,177,178,,99,100,101,102,103,104,105,106,107,108,109,110,111,112,113,114,115,116,117,118,119,120,121,122,123,124,125,126,127,128,129,130,131,132,133,134,135,136,137,138,139,140,141'</t>
  </si>
  <si>
    <t>'1,1,2,232,233,234,233,443,233,105,234,234,235,234,235,234,233'</t>
  </si>
  <si>
    <t>'23,499,591,610,612,613,615,618,619,620,623,624'</t>
  </si>
  <si>
    <t>'623'</t>
  </si>
  <si>
    <t>'1,1,27,27,28,29,27,26,27,28,28,27,28,30,29,29,29,29,29,29,29,30,31,32,34,35,36,37,38,39,40,41,42,43,44,33,34,35,36,33,32,37,38,38,38,38'</t>
  </si>
  <si>
    <t>Handbook of Biopolymers and Biodegradable Plastics : Properties, Processing and Applications</t>
  </si>
  <si>
    <t>TP1180.B55 -- H36 2013eb</t>
  </si>
  <si>
    <t>'1,1,118,119,120,121,122,123,125,126,127,133'</t>
  </si>
  <si>
    <t>Multiscale Modeling of Cancer : An Integrated Experimental and Mathematical Modeling Approach</t>
  </si>
  <si>
    <t>362.196/994</t>
  </si>
  <si>
    <t>RC267 .C75 2010</t>
  </si>
  <si>
    <t>'1,9,10,11,12,13'</t>
  </si>
  <si>
    <t>'1,4,5,6,7,8,8'</t>
  </si>
  <si>
    <t>Optimizing Small Multi-Rotor Unmanned Aircraft : A Practical Design Guide</t>
  </si>
  <si>
    <t>629.133/39</t>
  </si>
  <si>
    <t>TL685.35 .P756 2019</t>
  </si>
  <si>
    <t>Cybercrime: an Encyclopedia of Digital Crime</t>
  </si>
  <si>
    <t>HV6773$b.M375 2020</t>
  </si>
  <si>
    <t>'32'</t>
  </si>
  <si>
    <t>'3,7,,3'</t>
  </si>
  <si>
    <t>'1,23,21,22,24,25,26,27,28,30,31,32,33,34,35,36,37,39,38,40,41,42,43,44'</t>
  </si>
  <si>
    <t>World-Centred Education : A View for the Present</t>
  </si>
  <si>
    <t>LB41 .B547 2021</t>
  </si>
  <si>
    <t>'1,1,53,71,70,54,55,56,57,11,10,12,13,7,6,8,9,58,59,60,61,62'</t>
  </si>
  <si>
    <t>'1,91,94,105,8,10,12,13,12,12,13,14,17,19,20,18,21,22,24,27,91,12,12,14,15,16,17,17,17,17,,17,18'</t>
  </si>
  <si>
    <t>'1,2,3,4,6,236,237,238,239,240,242,243,245'</t>
  </si>
  <si>
    <t>Principles of Chemical Engineering Practice</t>
  </si>
  <si>
    <t>Engineering: Chemical</t>
  </si>
  <si>
    <t>'1,3,5,84,85,94,95,97,135,136'</t>
  </si>
  <si>
    <t>Mozilla/5.0 (Macintosh; Intel Mac OS X 10_15_6) AppleWebKit/605.1.15 (KHTML, like Gecko) Version/14.1.2 Safari/605.1.15</t>
  </si>
  <si>
    <t>'7,8,9,10'</t>
  </si>
  <si>
    <t>Conflicting Humanities</t>
  </si>
  <si>
    <t>AZ103 -- .C664 2016eb</t>
  </si>
  <si>
    <t>'1,1,246,26'</t>
  </si>
  <si>
    <t>Sustainable Construction Technologies : Life-Cycle Assessment</t>
  </si>
  <si>
    <t>TH880 .S878 2019</t>
  </si>
  <si>
    <t>'1,2,6,8'</t>
  </si>
  <si>
    <t>'9,10,11'</t>
  </si>
  <si>
    <t>'1,3,4,5,6,7,126,127,135'</t>
  </si>
  <si>
    <t>'1,4,6,7,10,9,11,12,13,14,15,16,16'</t>
  </si>
  <si>
    <t>States and Processes for Mental Health : Advancing Psychotherapy Effectiveness</t>
  </si>
  <si>
    <t>RC480 .B668 2021</t>
  </si>
  <si>
    <t>'1,25,16,9,5'</t>
  </si>
  <si>
    <t>Falling Flat : A Refutation of Flat Earth Claims</t>
  </si>
  <si>
    <t>New Leaf Publishing Group</t>
  </si>
  <si>
    <t>QE501 .F385 2019</t>
  </si>
  <si>
    <t>'1,3,4,5,6,7,26,25,23,,1,3,26,25,24,23,22,21,20,19,18,17,16,15,14,13,12,11,10,9,8'</t>
  </si>
  <si>
    <t>'1,32,31,34,35,36,37,38,39,40,42,43'</t>
  </si>
  <si>
    <t>Testosterone and Aging : Clinical Research Directions</t>
  </si>
  <si>
    <t>Science; Health; Science: Anatomy/Physiology; Social Science</t>
  </si>
  <si>
    <t>612.6/8</t>
  </si>
  <si>
    <t>RA776.75.T45 2004</t>
  </si>
  <si>
    <t>'1,29,30'</t>
  </si>
  <si>
    <t>'1,2,3,1,3,14'</t>
  </si>
  <si>
    <t>'14,15,16,17,18,19,20,21,22,23,24,25,26,27,28,29,30,31,32,33,34,35,36,37,38,39'</t>
  </si>
  <si>
    <t>'1,21,22,23,24,25,26,27,28,29'</t>
  </si>
  <si>
    <t>'1,14,13,15,16,17,18,19'</t>
  </si>
  <si>
    <t>'1,1,2,2,586,300,330,378,379,383,385,384,386,336,337,338,342,343,347,346,303,305,309,310,311,314,315,316,317,318,319,320,321'</t>
  </si>
  <si>
    <t>'1,1,2,585,990,990,990,990,990,990,990,992,993,997,1000,1003,1004,1005,1006,1007,1008,1009,1010,1011,1012,1013,1014,1015,1016,1017,330,331,337,336,338,339,342,344,348,347,346'</t>
  </si>
  <si>
    <t>Shape Memory Alloys : Modeling and Engineering Applications</t>
  </si>
  <si>
    <t>'1,69,32,33,34,35,36,37,39,38,40,41,105,107,119,118,120,121,122,123,124,125,126,128,129,130,131,132,291,292,293,294,295,296,297'</t>
  </si>
  <si>
    <t>Applied Drilling Engineering</t>
  </si>
  <si>
    <t>TN871.2 -- .A64 1986eb</t>
  </si>
  <si>
    <t>'10,11,12,13,14,15,16,17,18,19,20,21,22,23,24,25,26,27,28,29,30,31,32,33,34,35,36,37,38,39,40,41,42,43,44,45,46,47,48,49'</t>
  </si>
  <si>
    <t>Shape-Memory Polymers and Multifunctional Composites</t>
  </si>
  <si>
    <t>620.1/920429</t>
  </si>
  <si>
    <t>TA418.9.C6 -- S457 2010eb</t>
  </si>
  <si>
    <t>'1,6,12,13,32,31,33,34,35,37,38,244,245,246,247,248,249,250,251,252,253,254,255,256,257,258,259,260,261,262,263,264,265,266,267,268,269,270,271,272,273,274,275,276,277,278,280,282,284,285,286,287,288,289,290,291,292,293,294,295,296,297,298,299,300,301,302'</t>
  </si>
  <si>
    <t>'40'</t>
  </si>
  <si>
    <t>'1,1,14,13,103,102,104,53,54'</t>
  </si>
  <si>
    <t>'23,26,27,25'</t>
  </si>
  <si>
    <t>'25'</t>
  </si>
  <si>
    <t>HR Transformation Technology : Delivering Systems to Support the New HR Model</t>
  </si>
  <si>
    <t>HF5549.5.T33 -- B67 2008eb</t>
  </si>
  <si>
    <t>'1,160,160,161,162,163,164,165,166,168,169,167'</t>
  </si>
  <si>
    <t>'168,169'</t>
  </si>
  <si>
    <t>'40,41,38,37,36,35,34'</t>
  </si>
  <si>
    <t>Introduction to Nonlinear Finite Element Analysis</t>
  </si>
  <si>
    <t>Science; Mathematics; Science: Physics</t>
  </si>
  <si>
    <t>518/.25</t>
  </si>
  <si>
    <t>QC20.7.F56 -- R43 2004eb</t>
  </si>
  <si>
    <t>Tumor Immunology and Immunotherapy - Cellular Methods Part A</t>
  </si>
  <si>
    <t>QR188.6 .T866 2020</t>
  </si>
  <si>
    <t>'4,12,13,9,8,7,6,10,14,16'</t>
  </si>
  <si>
    <t>Approximate Dynamic Programming : Solving the Curses of Dimensionality</t>
  </si>
  <si>
    <t>Mathematics; Engineering; Engineering: General</t>
  </si>
  <si>
    <t>519.7/03</t>
  </si>
  <si>
    <t>T57.83.P76 2011</t>
  </si>
  <si>
    <t>'1,1,32,28,26,25,24,23,18,16,14,12,11,10,9,8,7'</t>
  </si>
  <si>
    <t>'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'</t>
  </si>
  <si>
    <t>'8'</t>
  </si>
  <si>
    <t>Biostatistics for Dummies</t>
  </si>
  <si>
    <t>QH323.5.P49 2013eb</t>
  </si>
  <si>
    <t>'1,1,26,24,5,4,3,6,333,334,335,336,339,349,347,350,351,352,353,354,355'</t>
  </si>
  <si>
    <t>Bioinformatics with Python Cookbook : Learn How to Use Modern Python Bioinformatics Libraries and Applications to Do Cutting-Edge Research in Computational Biology</t>
  </si>
  <si>
    <t>Science; Computer Science/IT; Science: Biology/Natural History</t>
  </si>
  <si>
    <t>QA76.73</t>
  </si>
  <si>
    <t>Python for the Life Sciences : A Gentle Introduction to Python for Life Scientists</t>
  </si>
  <si>
    <t>Computer Science/IT; Science; Science: Biology/Natural History</t>
  </si>
  <si>
    <t>QA76.73.P98</t>
  </si>
  <si>
    <t>'1,1,7,5,6,15,14,16,17,18,20,34,36,37,315,316,317,318,319'</t>
  </si>
  <si>
    <t>'233,,289,289,291,296,295,297,298,299,300,302,303,304,305,306,307,308,309,310,311,312,312,313,314,315,316,317,318,320,322,323,324,325,327,329,331,332,333,334,335,336,338,339,341,343,344,346,347'</t>
  </si>
  <si>
    <t>'29,30,31,32,33,34,35,36,37,38,39,40,41,42,43,44,45,46,47,48,49,50,51,52,53,54,55,56,57,58,59,60,61,62,63,64,,65,66,67,68,69,70,71,72,73,74,75,76,77,78,79,80,81,82,83,84,85,86,87,88,89,90,91,92,93,94,95,96,97,98,99,100,101,102,103,104,105,106,107,108,109,110,111,112,113,114,,115,116,117,118,119,120,121,122,123,124,125,126,127,128,129,130,131,132,133,134,135,136,137,138,139,140'</t>
  </si>
  <si>
    <t>Jack Welch : 24 leçons de leadership par J. Krames (Masterclass)</t>
  </si>
  <si>
    <t>Maxima - Laurent du Mesnil éditeur</t>
  </si>
  <si>
    <t>HD9697.A3 -- .K736 2016eb</t>
  </si>
  <si>
    <t>Issues with Facial Recognition Technology</t>
  </si>
  <si>
    <t>Engineering; Computer Science/IT; Engineering: Civil</t>
  </si>
  <si>
    <t>TA1653 .L363 2021</t>
  </si>
  <si>
    <t>'32,34,35,36,36,36,26'</t>
  </si>
  <si>
    <t>Les Arithmétiques de Diophante : Lecture Historique et Mathématique</t>
  </si>
  <si>
    <t>QA22.R34 2013eb</t>
  </si>
  <si>
    <t>'165'</t>
  </si>
  <si>
    <t>Mathematics, Administrative and Economic Activities in Ancient Worlds</t>
  </si>
  <si>
    <t>QA21-27</t>
  </si>
  <si>
    <t>The 100X Leader : How to Become Someone Worth Following</t>
  </si>
  <si>
    <t>HD57.7 .K835 2019</t>
  </si>
  <si>
    <t>Mozilla/5.0 (iPhone; CPU iPhone OS 14_8_1 like Mac OS X) AppleWebKit/605.1.15 (KHTML, like Gecko) Version/14.1.2 Mobile/15E148 Safari/604.1</t>
  </si>
  <si>
    <t>'1,2,3,5,7,6,9,10,11,12,13,15,14,73'</t>
  </si>
  <si>
    <t>'67,67,,1,2'</t>
  </si>
  <si>
    <t>'1,1,2,1014,1082,1081,1080,1083,1084,1085,1086,1085,1086,1087,1,2,67'</t>
  </si>
  <si>
    <t>'1085,67'</t>
  </si>
  <si>
    <t>Gaussian Processes for Machine Learning</t>
  </si>
  <si>
    <t>QA274.4.R37 2006</t>
  </si>
  <si>
    <t>'1,124,125,127,128,132'</t>
  </si>
  <si>
    <t>'1,62,65,66,67,69,71,73,75,74,74,75'</t>
  </si>
  <si>
    <t>Mozilla/5.0 (Macintosh; Intel Mac OS X 10_15_6) AppleWebKit/605.1.15 (KHTML, like Gecko) Version/15.6 Safari/605.1.15</t>
  </si>
  <si>
    <t>'1,40'</t>
  </si>
  <si>
    <t>'1,4,6,47,46,48,49,,1,3,,1,4,14,16,19,27,28,30,29,31,32,33'</t>
  </si>
  <si>
    <t>Electric Vehicles : Modern Technologies and Trends</t>
  </si>
  <si>
    <t>Engineering: General; Engineering; Engineering: Electrical</t>
  </si>
  <si>
    <t>Mozilla/5.0 (Windows NT 10.0; Win64; x64) AppleWebKit/537.36 (KHTML, like Gecko) Chrome/106.0.0.0 Safari/537.36 Edg/106.0.1370.37</t>
  </si>
  <si>
    <t>Introduction to Microcontroller Programming for Power Electronics Control Applications : Coding with MATLAB® and Simulink®</t>
  </si>
  <si>
    <t>TJ223.P76 R677 2022</t>
  </si>
  <si>
    <t>'1,70,71,72,73,74,75,76,77,78,79,80,81,82'</t>
  </si>
  <si>
    <t>'1,1,7,7'</t>
  </si>
  <si>
    <t>Mozilla/5.0 (iPhone; CPU iPhone OS 15_6 like Mac OS X) AppleWebKit/605.1.15 (KHTML, like Gecko) CriOS/106.0.5249.92 Mobile/15E148 Safari/604.1</t>
  </si>
  <si>
    <t>Phenomena of Optical Metamaterials</t>
  </si>
  <si>
    <t>Science: Physics; Engineering: Electrical; Science; Engineering</t>
  </si>
  <si>
    <t>QC374 .G753 2019</t>
  </si>
  <si>
    <t>'1,2,6'</t>
  </si>
  <si>
    <t>Codes and Ciphers : Julius Caesar, the Enigma, and the Internet</t>
  </si>
  <si>
    <t>General Works/Reference; Mathematics</t>
  </si>
  <si>
    <t>Z103 .C48 2002</t>
  </si>
  <si>
    <t>RF and Microwave Circuit Design : Theory and Applications</t>
  </si>
  <si>
    <t>TK6560 .F744 2022</t>
  </si>
  <si>
    <t>'377,378,379,380,381,383,384,385'</t>
  </si>
  <si>
    <t>Machine Learning Algorithms and Applications</t>
  </si>
  <si>
    <t>Q325.5 .M334 2021</t>
  </si>
  <si>
    <t>'1,2,3,5,6,7,8,9'</t>
  </si>
  <si>
    <t>'1,142,143,126,127,91,92,73,74,12,13,44,45,47,105,106,160,27,28'</t>
  </si>
  <si>
    <t>Radar Signals</t>
  </si>
  <si>
    <t>TK6575.L478 2004</t>
  </si>
  <si>
    <t>'3,5,7,69,70,72,73'</t>
  </si>
  <si>
    <t>'23,25,26'</t>
  </si>
  <si>
    <t>'40,41,42,43,44,45,46,47,48,49,50,51,52,53,55,56,57,58,59,62,63,64,65,66,67,68,69,70,71,72,73,74,75,76,77,78,79,80,81,82,83,84,,1,62,64,66,68,70,72,73,75,74,67,65,63,69,71'</t>
  </si>
  <si>
    <t>'40,38,39'</t>
  </si>
  <si>
    <t>'116,117,118,119,120,121,122,123,124,125,126,127,128,129,130,131,132,133'</t>
  </si>
  <si>
    <t>Tao Te Ching</t>
  </si>
  <si>
    <t>Electric Book Company</t>
  </si>
  <si>
    <t>BL1920 .L369 2016</t>
  </si>
  <si>
    <t>'1,21,31,29,28,,41,42,44,45,46,31,21,22,28,29,40,38,39,47,43,,41,42,43,44,45,46,49,49,31,32,35,41,42,43,21,22,23,18,17,16,29,28,1'</t>
  </si>
  <si>
    <t>'29,,42,42,42,41,41,41,41,41,46,28,28,28,39,29,29,47,43'</t>
  </si>
  <si>
    <t>Ischemic Stroke Management : Medical, Interventional and Surgical Management</t>
  </si>
  <si>
    <t>Thieme Medical Publishers, Incorporated</t>
  </si>
  <si>
    <t>RC388.5$b.S656 2020</t>
  </si>
  <si>
    <t>'1,1,138,137,13,14,154,153,151,149,148,147,146,145'</t>
  </si>
  <si>
    <t>Reconnecting the City : The Historic Urban Landscape Approach and the Future of Urban Heritage</t>
  </si>
  <si>
    <t>Environmental Studies; History</t>
  </si>
  <si>
    <t>363.6/9</t>
  </si>
  <si>
    <t>CC135 -- .R39 2015eb</t>
  </si>
  <si>
    <t>'141,142,144'</t>
  </si>
  <si>
    <t>'141,142,143,144,145,146,147,148,149,150,151,152,153,154,155,156,157,158,159,160,161,162,163,164,165,166,167,168,169,170'</t>
  </si>
  <si>
    <t>Electric Vehicle Machines and Drives : Design, Analysis and Application</t>
  </si>
  <si>
    <t>TL220 -- .C453 2015eb</t>
  </si>
  <si>
    <t>Studying Mobile Media : Cultural Technologies, Mobile Communication, and the IPhone</t>
  </si>
  <si>
    <t>HM1206 -- .S78 2012eb</t>
  </si>
  <si>
    <t>'1,1,72,73,74,75,76,77,78'</t>
  </si>
  <si>
    <t>Intelligent Image and Video Compression : Communicating Pictures</t>
  </si>
  <si>
    <t>TK6680.5 .B855 2021</t>
  </si>
  <si>
    <t>'104,188,187,189,190,191,192,193,194,195,196,198,199,200,201,202,,204,205,206'</t>
  </si>
  <si>
    <t>'1,1,198,199,199,199,199,200,201,201,201,202,203,204,205,206,206,206,206,206,206,205,204,203,202,201,200,199,199,199,199,199,199,199,199'</t>
  </si>
  <si>
    <t>Parental Leave and Beyond : Recent International Developments, Current Issues and Future Directions</t>
  </si>
  <si>
    <t>HD6065 .P374 2019</t>
  </si>
  <si>
    <t>'2,3,4,5,16,17,18,19'</t>
  </si>
  <si>
    <t>'1,1,2,2,111,112,112,112,111,111'</t>
  </si>
  <si>
    <t>'289,290,291,292,293,294,295,296,297,298,299,300,301,302,303,304,305,306,307,308,309,310,311,312,313,314,315,316,317,318,319,320,321,322,323,324,,325,326,327,328,329,330,331,332,333,334,335,336,337,338,339,340,341,342,343,344,345,346,347,348,349,350,351,352,353,354,355,356,357,358,359,360,361,362,363,364,,65,66,67,68,69,70,71,72,73,74,75,76,77,78,79,80,81,82,83,84,85,86,87,88,89,90,91,92,93,94,95,96,97,98,99,100,101,102,103,104,105,106,107,108,109,110,111,112,113,114'</t>
  </si>
  <si>
    <t>Toward Perpetual Peace and Other Writings on Politics, Peace, and History</t>
  </si>
  <si>
    <t>303.6/6</t>
  </si>
  <si>
    <t>JZ5538.K36 2006</t>
  </si>
  <si>
    <t>'1,1,28,27,29,30,31,32,33,34,35,36,38,39,40,41,42,49,48,45,44,43,12,11,13,14,15,16,,1,1,,1,1'</t>
  </si>
  <si>
    <t>Poly(lactic Acid) : Synthesis, Structures, Properties, Processing, and Applications</t>
  </si>
  <si>
    <t>Engineering: Chemical; Engineering; Engineering: General</t>
  </si>
  <si>
    <t>620.1/92323</t>
  </si>
  <si>
    <t>TP1180.B55 -- P65 2010eb</t>
  </si>
  <si>
    <t>'1,2,5,8,7'</t>
  </si>
  <si>
    <t>'1,1,111,112,113,114,115,116,112,112,111,112,112'</t>
  </si>
  <si>
    <t>Urban Form and Accessibility : Social, Economic, and Environment Impacts</t>
  </si>
  <si>
    <t>HT166 .U733 2021</t>
  </si>
  <si>
    <t>'1,2,3,4,6,,1,3,5,6,7,8,21,22,24,25,26,28,33,66,65,64,63,60,58,59,62,68,69,71,72,75,76,77,78,81,83,84,85,86,87,89,91,93,94,88,82'</t>
  </si>
  <si>
    <t>Mozilla/5.0 (Linux; Android 10; SM-N960F) AppleWebKit/537.36 (KHTML, like Gecko) Chrome/106.0.0.0 Mobile Safari/537.36</t>
  </si>
  <si>
    <t>Biochar : A Guide to Analytical Methods</t>
  </si>
  <si>
    <t>CSIRO Publishing</t>
  </si>
  <si>
    <t>Environmental Studies; Agriculture; Science: Chemistry</t>
  </si>
  <si>
    <t>'1,240,239,241,243,244,245,246,247,247,210,27,26,43,52,63,96,118,129,130'</t>
  </si>
  <si>
    <t>'240,241,242,243,244,245,246,247,248,249,250,251,252,253,254,255'</t>
  </si>
  <si>
    <t>'1,2,3,5,4,7,6,8'</t>
  </si>
  <si>
    <t>Hybrid Systems and Multi-Energy Networks for the Future Energy Internet</t>
  </si>
  <si>
    <t>Engineering: Mechanical; Environmental Studies; Engineering; Economics</t>
  </si>
  <si>
    <t>TJ163.2 .L86 2021</t>
  </si>
  <si>
    <t>'1,3,22,17,16,18,19,20,21,23,24,25,26,27,28,29,30,31,32,33,34,35,,124,125,126,127,128,129,130,131,132,133,134,135,136,137,138,139,140,141,142,143,144,145,146,147,117,1'</t>
  </si>
  <si>
    <t>Microfiltration: Principles, Process and Applications</t>
  </si>
  <si>
    <t>'11,12,13,14,15,16,17,18,19,20,21'</t>
  </si>
  <si>
    <t>'1,91,92,93,94,95,96,97,98,99,100,101,102,103,104,105'</t>
  </si>
  <si>
    <t>'1,1,49,48,47,46,50,52,53,54,55,56,57,57,58,59,60,61,62,63,64,59,59,58,60,61,59,59,61,62,60,63,64,65,66,67,68,55,56,56,56,55,54,53,69,69,111,112,113,114,115,115,115,114,113,112,111,115,115,115,80,69,70,69,69,70,71,71,72,70,73,74,74,74,73,73,73,74,74,73,75,73,73,73,73,73,74,75,75,75,73,73,73,73,75,76,77,78,79,80,81,82,106'</t>
  </si>
  <si>
    <t>'1,91,104,105,103,101,102,100,99,98'</t>
  </si>
  <si>
    <t>Hands-On ROS for Robotics Programming : Program Highly Autonomous and AI-Capable Mobile Robots Powered by ROS</t>
  </si>
  <si>
    <t>TJ211.45$b.J376 2020</t>
  </si>
  <si>
    <t>'1,2,3,5,6,7,8,9,10,11,12,13,14,16'</t>
  </si>
  <si>
    <t>Mozilla/5.0 (iPhone; CPU iPhone OS 15_6 like Mac OS X) AppleWebKit/605.1.15 (KHTML, like Gecko) CriOS/105.0.5195.147 Mobile/15E148 Safari/604.1</t>
  </si>
  <si>
    <t>'1,2,9,1,12,45,1,98,1,15,95,94,98,99,100,101,102,103,104,105'</t>
  </si>
  <si>
    <t>Mozilla/5.0 (Linux; Android 11; HD1901) AppleWebKit/537.36 (KHTML, like Gecko) Chrome/106.0.0.0 Mobile Safari/537.36</t>
  </si>
  <si>
    <t>'1,1,45,45,45,55,56,56'</t>
  </si>
  <si>
    <t>'1,1,1,1,43,42,44,44,45,46,47,48,49,50,51,52,54,55,55'</t>
  </si>
  <si>
    <t>Microwave Electronics : Measurement and Materials Characterization</t>
  </si>
  <si>
    <t>TK7876.M255 2004</t>
  </si>
  <si>
    <t>'3,4,5,12,13,15,17'</t>
  </si>
  <si>
    <t>'1,2,12,27,13,14,15,16,17,18,19,20,21,22,23,24,170,172,25,26,91,92,93,94,95,96,97,98,99,100,101,102,103'</t>
  </si>
  <si>
    <t>The Analects</t>
  </si>
  <si>
    <t>181/.112</t>
  </si>
  <si>
    <t>B127.C65.C664 2016</t>
  </si>
  <si>
    <t>'1,61,62'</t>
  </si>
  <si>
    <t>'1,12,13,14,15,16'</t>
  </si>
  <si>
    <t>'1,2,3,5,6,7,8,9,10,4,22,23,24,25'</t>
  </si>
  <si>
    <t>Perspectives : Debates in World Civilization</t>
  </si>
  <si>
    <t>Schlager Group</t>
  </si>
  <si>
    <t>CB69$b.S783 2019</t>
  </si>
  <si>
    <t>Graphene as Energy Storage Material for Supercapacitors</t>
  </si>
  <si>
    <t>Materials Research Forum LLC</t>
  </si>
  <si>
    <t>TA455.G65 .G737 2020</t>
  </si>
  <si>
    <t>'1,2,2,3,4'</t>
  </si>
  <si>
    <t>'1,1,3,43,42,41,42,42'</t>
  </si>
  <si>
    <t>'1,1,1,35,36,37,38,39,40,42,38,38,38,40,41,42,41,40,38,39,37,41,42,42,42,41,44,43,45,46,47,48,49,40,42'</t>
  </si>
  <si>
    <t>Calculus for Cranks</t>
  </si>
  <si>
    <t>515/.15</t>
  </si>
  <si>
    <t>QA300 .K389 2021</t>
  </si>
  <si>
    <t>'1,1,2,3,5,5,6,7'</t>
  </si>
  <si>
    <t>'1,1,35,34,33,33,33,33,33,33,33,33,33,33,33,33'</t>
  </si>
  <si>
    <t>Climate Change Science : Causes, Effects and Solutions for Global Warming</t>
  </si>
  <si>
    <t>Science: Physics; Environmental Studies; Science</t>
  </si>
  <si>
    <t>QC981.8.C5 .C556 2021</t>
  </si>
  <si>
    <t>'1,1,2,5,24,25,64,65,66,67,69,70,73'</t>
  </si>
  <si>
    <t>'1,1,3,3,3,3,3,4,28,29,30,31,32,33,33,29,28,30,31,32,34,33,33,34,33,33'</t>
  </si>
  <si>
    <t>Basic Tutorial on Simulation of Microgrids Control Using MATLAB® and Simulink® Software</t>
  </si>
  <si>
    <t>'1,1,2,3,4,5,6,7,8'</t>
  </si>
  <si>
    <t>'1,1,2,6,7'</t>
  </si>
  <si>
    <t>'1,1,2,3,4,5,68'</t>
  </si>
  <si>
    <t>Advances in Grid-Connected Photovoltaic Power Conversion Systems</t>
  </si>
  <si>
    <t>Engineering: Electrical; Engineering; Political Science</t>
  </si>
  <si>
    <t>TK1087$b.Y364 2019</t>
  </si>
  <si>
    <t>'1,3,4,5,27,24,25,26,28,29,30,31,32,33,34,35,36,37,38,39,40,41,42,43,44,45,46,,242,243,244,452,450,449,446,15,258,257,256,255,254,253,252'</t>
  </si>
  <si>
    <t>'1,2,3,4,6,60,61,220,221,7,8,62,64,65,66,67,68,71,73,148,149,150,151,152,153,154,155,156,157'</t>
  </si>
  <si>
    <t>Discovering Chemistry with Natural Bond Orbitals</t>
  </si>
  <si>
    <t>QD461 -- .W45 2012eb</t>
  </si>
  <si>
    <t>'1,27,28,29,30,31,32,33,34,35,36,37,38,39,40,41,42,43,44,45,46,47,48,24,23,25,26'</t>
  </si>
  <si>
    <t>'27,28,29,30,31,24,25,26,27,28,29,30,31,32,33,34,35,36,37,38,39,40,41,42,43,44,45,46,47'</t>
  </si>
  <si>
    <t>Mozilla/5.0 (Linux; Android 11; SAMSUNG SM-G781B) AppleWebKit/537.36 (KHTML, like Gecko) SamsungBrowser/18.0 Chrome/99.0.4844.88 Mobile Safari/537.36</t>
  </si>
  <si>
    <t>'1,55'</t>
  </si>
  <si>
    <t>'1,1,595,596,598,601'</t>
  </si>
  <si>
    <t>'385,386,387,388,389,390,391,392,393,394,395,396,397,398,399,400,401,402,403,404,405,406,407,408,409,410,411,412,413,414,415,416,417,418,419,420,421,422,423,424,425,426,427,428,429,430,431,432,433,434,435,436,437,438,439,440,,451,452,453,454,455,456,457,458,459,460,461,462,463,464,465,466,467,468,469,470,471,472,473,474,475,476,477,478,479,480,481,482,483,484,485,486,487,488,489'</t>
  </si>
  <si>
    <t>'233,234,235,236,237,238,239,240,241,242,243,244,245,246,247,248,249,250,251,252,253,254,255,256,257,258,259,260,261,262,263,264,265,266,267,268,269,270,271,272,273,274,275,276,277,278,279,280,281,282,283,284,285,286,287,288,,325,326,327,328,329,330,331,332,333,334,335,336,337,338,339,340,341,342,343,344,345,346,347,348,349,350,351,352,353,354,355,356,357,358,359,360,361,362,363,364,,365,366,367,368,369,370,371,372,373,374,375,376,377,378,379,380,381,382,383,384,,441,442,443,444,445,446,447,448,449,450,,5,6,7,8,,3,4,,1,2,,441,442,443,444,445,446,447,448,449,450'</t>
  </si>
  <si>
    <t>'141,142,143,144,145,146,147,148,149,150,151,152,153,154,155,156,157,158,159,160,161,162,163,164,165,166,167,168,169,170,171,172,173,174,175,176,177,178,179,180,181,182,183,184,185,186,187,188,,189,190,191,192,193,194,195,196,197,198,199,200,201,202,203,204,205,206,207,208,209,210,211,212,213,214,215,216,217,218,219,220,221,222,223,224,225,226,227,228,229,230,231,232,,289,290,291,292,293,294,295,296,297,298,299,300,301,302,303,304,305,306,307,308,309,310,311,312,313,314,315,316,317,318,319,320,321,322,323,324'</t>
  </si>
  <si>
    <t>'11,12,13,14,15,16,17,18,19,20,21,22,23,24,25,26,27,28,,29,30,31,32,33,34,35,36,37,38,39,40,41,42,43,44,45,46,47,48,49,50,51,52,53,54,55,56,57,58,59,60,61,62,63,64,,65,66,67,68,69,70,71,72,73,74,75,76,77,78,79,80,81,82,83,84,85,86,87,88,89,90,91,92,93,94,95,96,97,98,99,100,101,102,103,104,105,106,107,108,109,110,111,112,113,114,,115,116,117,118,119,120,121,122,123,124,125,126,127,128,129,130,131,132,133,134,135,136,137,138,139,140'</t>
  </si>
  <si>
    <t>'1,2,4,3,3,101,102,105,105,118,117'</t>
  </si>
  <si>
    <t>Mozilla/5.0 (Windows NT 10.0; Win64; x64) AppleWebKit/537.36 (KHTML, like Gecko) Chrome/105.0.0.0 Safari/537.36 OPR/91.0.4516.36</t>
  </si>
  <si>
    <t>Routledge Philosophy GuideBook to Heidegger and Being and Time</t>
  </si>
  <si>
    <t>B3279.H48S</t>
  </si>
  <si>
    <t>'141,142,143,144,145,146,147,148,149,150,151,152,153,154,155,156,157,158,159,160,161,162,163,164,165,166,167,168,169,170,171,172,173,174,175,176,177,178,179,180,181,182,183,184,185,186,187,188,,289,290,291,292,293,294,295,296,297,298,299,300,301,302,303,304,305,306,307,308,309,310,311,312,313,314,315,316,317,318,319,320,321,322,323,324,,189,190,191,192,193,194,195,196,197,198,199,200,201,202,203,204,205,206,207,208,209,210,211,212,213,214,215,216,217,218,219,220,221,222,223,224,225,226,227,228,229,230,231,232'</t>
  </si>
  <si>
    <t>Heidegger, Art, and Postmodernity</t>
  </si>
  <si>
    <t>B3279.H49 T478 2011</t>
  </si>
  <si>
    <t>'23,24'</t>
  </si>
  <si>
    <t>'1,2,,1'</t>
  </si>
  <si>
    <t>Mozilla/5.0 (Linux; Android 12; CPH2343) AppleWebKit/537.36 (KHTML, like Gecko) Chrome/106.0.0.0 Mobile Safari/537.36</t>
  </si>
  <si>
    <t>'1,3,5,6,7,160,162,163,164,165,166,168,170,142,143,27,28,29,30,31,32,33,34,35,36'</t>
  </si>
  <si>
    <t>'1,63,62,64,26,25'</t>
  </si>
  <si>
    <t>'1,1,1,15,14,16,17,18,19,20,21,22,23,24,25,26,27,28,29,30,31,32,33,34,35,36,37,38,39,41,42,43,44,,1,,1,1,1,1'</t>
  </si>
  <si>
    <t>'40,37,1,5,21,38,36,35,34'</t>
  </si>
  <si>
    <t>'1,14,13,15,16,17,18,19,20,21,22,23,24,25,26'</t>
  </si>
  <si>
    <t>Emirati Arabic : A Comprehensive Grammar</t>
  </si>
  <si>
    <t>PJ6853 .L486 2021</t>
  </si>
  <si>
    <t>'31,32,33,33,33,33,33,34,35,36,37,38,39,40,41,42,43,44,45,46,47,48,49,50,51,52,53,54,55,56,57,58,59,60,61,62,63,64,65,66,67,68,69,70,71,72,73,74,75,76,77,78,79,80,81,82,83,84,85,86,87,88,89,90,91,92,93,94,95,96,97,98,99,100,101,102,103,104,105,106,107,108,110,111,112,113,114,115,116,117,118,119,120,121,122,123'</t>
  </si>
  <si>
    <t>Mozilla/5.0 (X11; Linux x86_64) AppleWebKit/537.36 (KHTML, like Gecko) Chrome/106.0.0.0 Safari/537.36</t>
  </si>
  <si>
    <t>'31,,31,54,52,51,50,49,48,47,46,45,44,1,2,3,4,5,6,7,8,9,10,11,12,13,14,16,17,18,19,20,21,22,23,24,25,26,27,28,28,27,27,28,29,29,28,30,31,32'</t>
  </si>
  <si>
    <t>The Shoulder and Elbow, E-Book : Pain Medicine: a Case-Based Learning Series</t>
  </si>
  <si>
    <t>RD557.5 .S568 2022</t>
  </si>
  <si>
    <t>'1,16,17,18,19,20,21,22,24,23,25'</t>
  </si>
  <si>
    <t>Information-Processing Channels in the Tactile Sensory System : A Psychophysical and Physiological Analysis</t>
  </si>
  <si>
    <t>612.8/8</t>
  </si>
  <si>
    <t>QP451 -- .G47 2009eb</t>
  </si>
  <si>
    <t>'1,,1,1,2,3,4,5,6,7,8,8,8,6,13,17,26,66,72,124,140,143'</t>
  </si>
  <si>
    <t>Innovative Bridge Design Handbook : Construction, Rehabilitation and Maintenance</t>
  </si>
  <si>
    <t>TG300 .I566 2022</t>
  </si>
  <si>
    <t>'1,56,548,547,549,550,551,552,553,554,555,556,557,558,559,560,561,562,563,564,565,566,567,568,570,571,572,573,266,267,268,58,59,60,61'</t>
  </si>
  <si>
    <t>TG300 -- .P57 2016eb</t>
  </si>
  <si>
    <t>'1,,1,54,55,56,57,58,59,60,61,62'</t>
  </si>
  <si>
    <t>Emerging Frontiers in Industrial and Systems Engineering : Success Through Collaboration</t>
  </si>
  <si>
    <t>T56.24 .E447 2019</t>
  </si>
  <si>
    <t>'1,1,2,109,110,111,112,130,131,129,128,127,132,133,182,183,184,186,135,134,136,137,138,139,140,361'</t>
  </si>
  <si>
    <t>'6,3,5,12,10,13,1,2,4,7,8,9,11,493,494,495,504,498,497,496,492,491,509,502,480,484,490,503,515,487'</t>
  </si>
  <si>
    <t>'495,496,497,498,499'</t>
  </si>
  <si>
    <t>Nanotechnology-Based Sustainable Alternatives for the Management of Plant Diseases</t>
  </si>
  <si>
    <t>T174.7 .B354 2022</t>
  </si>
  <si>
    <t>'1,2,4,,370,350,380,375,374,373,372,371,379,376'</t>
  </si>
  <si>
    <t>'1,2,5,7,32,33,34,35,36,37,38,39,40,41'</t>
  </si>
  <si>
    <t>International Organizations As Self-Directed Actors : A Framework for Analysis</t>
  </si>
  <si>
    <t>Political Science; Law</t>
  </si>
  <si>
    <t>JZ4839 .I59 2012</t>
  </si>
  <si>
    <t>'1,217,218,241,261,284,290,291'</t>
  </si>
  <si>
    <t>Solar Energy : An Introduction</t>
  </si>
  <si>
    <t>TJ810 -- .M335 2015eb</t>
  </si>
  <si>
    <t>Bayesian Analysis with Python : Unleash the Power and Flexibility of the Bayesian Framework</t>
  </si>
  <si>
    <t>QA76.73.P98.M378 2016</t>
  </si>
  <si>
    <t>Healthcare Analytics Made Simple : Techniques in Healthcare Computing Using Machine Learning and Python</t>
  </si>
  <si>
    <t>R858$b.K863 2018</t>
  </si>
  <si>
    <t>'1,2,5,7,10,11,13,74,75,76,77,79,80,81,82,83,84,85,86,87,88,89,90,91,92,94,95,96,97,98,99,100'</t>
  </si>
  <si>
    <t>Python Machine Learning by Example : Implement Machine Learning Algorithms and Techniques to Build Intelligent Systems</t>
  </si>
  <si>
    <t>QA76.73.P98 .L589 2019</t>
  </si>
  <si>
    <t>'1,2,5,4,8,9,10,11,12,13,15,53,52,66,67'</t>
  </si>
  <si>
    <t>'1,4,3,5,6,,1'</t>
  </si>
  <si>
    <t>Transforming Society and Organizations Through Gamification : From the Sustainable Development Goals to Inclusive Workplaces</t>
  </si>
  <si>
    <t>'1,2,2,2,2,3,4,1'</t>
  </si>
  <si>
    <t>Organizational Gamification : Theories and Practices of Ludified Work in Late Modernity</t>
  </si>
  <si>
    <t>HD30.26 .O743 2021</t>
  </si>
  <si>
    <t>'1,2,15,14,11,11'</t>
  </si>
  <si>
    <t>The Gamification of Work : The Use of Games in the Workplace</t>
  </si>
  <si>
    <t>QA269.S285 2016</t>
  </si>
  <si>
    <t>'1,2,6,5,13,12,12,12'</t>
  </si>
  <si>
    <t>'1,3,2,4'</t>
  </si>
  <si>
    <t>Materials for Ultra-Supercritical and Advanced Ultra-Supercritical Power Plants</t>
  </si>
  <si>
    <t>Engineering; Engineering: Mechanical; Engineering: Electrical</t>
  </si>
  <si>
    <t>TJ164.M38 2017</t>
  </si>
  <si>
    <t>'1,2,4,6,7,9,10,11,12,13,14,15,16,17,18,19,20,21,23,24,26,27,28'</t>
  </si>
  <si>
    <t>'1,1,94,94,94,97,99,100,101,102,98,95,96'</t>
  </si>
  <si>
    <t>'1,256,267,268,269,270,271,260,269,267,267,268,269,268,129,267,269,269,269,147,269,268,,1,266,267,268,269'</t>
  </si>
  <si>
    <t>Metamaterials : Technology and Applications</t>
  </si>
  <si>
    <t>TK7871.15.M48 M483 2022</t>
  </si>
  <si>
    <t>'1,9,60,61,62,58,57,56,55,52,53,54,59'</t>
  </si>
  <si>
    <t>'1,1,45,94,105,106,108,107,109'</t>
  </si>
  <si>
    <t>International Perspectives on Mentoring in English Language Education</t>
  </si>
  <si>
    <t>P51-59.4</t>
  </si>
  <si>
    <t>'30,31,32,33,34,35,36,37,38,39,40,41,42,43,44,45,,46,47,48,49,50,51,52,53,54,55,56,57,58,59,60,61,,62,63,64,65,66,67,68,69,70,71,72,73,74,75,76,77,78,,79,80,81,82,83,84,85,86,87,88,89,90,91,92,93,94'</t>
  </si>
  <si>
    <t>'1,2,3,4,7,8,44,73,160'</t>
  </si>
  <si>
    <t>'8,9,10,11,73,74,75,76,77,78,79,80,81,82,83,84,85,86,87,88,89,90,160,161,162,163,164,165,166,167,168,169'</t>
  </si>
  <si>
    <t>Condensed-Matter Physics</t>
  </si>
  <si>
    <t>QC173.4.C65C66 1986</t>
  </si>
  <si>
    <t>'55,56,84,1,14,5,94,57,58,59,60,61,62,63,64,65,66,68,131,132,133,134,,134'</t>
  </si>
  <si>
    <t>'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,,,1'</t>
  </si>
  <si>
    <t>'1,1,94,99,100,101,103,105,102,104,106,107,108,109,99,99,100,101,102,103,104'</t>
  </si>
  <si>
    <t>Neural Networks in Chemical Reaction Dynamics</t>
  </si>
  <si>
    <t>541/.390285632</t>
  </si>
  <si>
    <t>QD501 .N48 2011</t>
  </si>
  <si>
    <t>'1,2,3,4,5,6,7,,1,2,3,4,5,6,7,,8,9,10,11,,12,13,,14,15,16,17,,30,31,32,33,34,35,36,37,38,39,40,41,42,43,44,45,46,47,48,49,50,51,52,53,54,55,56,57,58,,59,60,61,62,63,64,65,66,67,68,69,70,71,72,73,74,75,76,77,78,79,80,81,82,83,84,85,86,87,88,89,90,91,92,93,,94,95,96,97,98,99,100,101,102,103,104,105,106,107,108,109,110,111,112,113,114,115,116,,117,118,119,120,,121'</t>
  </si>
  <si>
    <t>'1,2,3,4,5,7,6,8,10'</t>
  </si>
  <si>
    <t>'8,9,10,11,,18,19,20,21,22,23,24,25,26,27,28,29'</t>
  </si>
  <si>
    <t>Analog Electronics for Measuring Systems</t>
  </si>
  <si>
    <t>TK7878</t>
  </si>
  <si>
    <t>'1,8'</t>
  </si>
  <si>
    <t>Handbook of Nanophysics : Principles and Methods</t>
  </si>
  <si>
    <t>Engineering: General; Engineering; Science: Physics; Science</t>
  </si>
  <si>
    <t>QC173.4.M5 -- H358 2010eb</t>
  </si>
  <si>
    <t>'20,21,,,,,,20,21,,20,21'</t>
  </si>
  <si>
    <t>'1,1,94,95,96,98'</t>
  </si>
  <si>
    <t>'1,63,64'</t>
  </si>
  <si>
    <t>'1,63,62,302,301,303,304'</t>
  </si>
  <si>
    <t>'1,1,94,95,96,97,98,99,100,101,102,103,104,105,106,107,108,109,110,111'</t>
  </si>
  <si>
    <t>'1,14,13,15,16,40,39,38'</t>
  </si>
  <si>
    <t>Self-Determination and Women's Rights in Muslim Societies</t>
  </si>
  <si>
    <t>323.3/4091767</t>
  </si>
  <si>
    <t>K644</t>
  </si>
  <si>
    <t>'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'</t>
  </si>
  <si>
    <t>Mozilla/5.0 (Windows NT 10.0; Win64; x64) AppleWebKit/537.36 (KHTML, like Gecko) Chrome/105.0.0.0 Safari/537.36 Edg/105.0.1343.53</t>
  </si>
  <si>
    <t>'40,41,42,67,76,75,77,78,73,63,64,62,60,59,58,57,55,54,53,52,51,50,49,48,46,45,44'</t>
  </si>
  <si>
    <t>'1,5,10,14,19,18,22,24,27,29,34,44,43,31,15,16,17,20,21'</t>
  </si>
  <si>
    <t>'1,3,6,14,15'</t>
  </si>
  <si>
    <t>Mozilla/5.0 (iPhone; CPU iPhone OS 15_7 like Mac OS X) AppleWebKit/605.1.15 (KHTML, like Gecko) CriOS/106.0.5249.92 Mobile/15E148 Safari/604.1</t>
  </si>
  <si>
    <t>'1,40,39,41,15,13,14,16,17,18,19,20,21,22,23,24,25,26,27,29,30,31,32,33,37,38,42,43,86,85'</t>
  </si>
  <si>
    <t>'40,45'</t>
  </si>
  <si>
    <t>'14,13,,40,144,144,143,142,134,40,40,41,42,44,44,43,41,39,40,40,41,42,43,44,45,46,47,48,49,50,51,52,53,54,55,56,57,58,59,60,61,62,63,64,65,66,67,68'</t>
  </si>
  <si>
    <t>'14,15,16,17,18,19,20,21,22,23,24,25,26,27,28,29,30,31,32,33,34,35,36,37,38,39,,14,15,16,17,18,19,20,21,22,23,24,25,26,27,28,29,30,31,32,33,34,35,36,37,38,39,,14,15,16,17,18,19,20,21,22,23,24,25,26,27,28,29,30,31,32,33,34,35,36,37,38,39'</t>
  </si>
  <si>
    <t>Encyclopedia of History of American Management</t>
  </si>
  <si>
    <t>HC102.5.A2E53 2005</t>
  </si>
  <si>
    <t>'1,2,3,5,6,7,9,13,14,46'</t>
  </si>
  <si>
    <t>Spacecraft Systems Engineering</t>
  </si>
  <si>
    <t>TL875.S68 2011</t>
  </si>
  <si>
    <t>'1,2,4,5,6,7,17,18,19,361,362,384,385,387,389,390'</t>
  </si>
  <si>
    <t>'1,6,11,9,142,143,147,150,153,156,157,159,160,27,12'</t>
  </si>
  <si>
    <t>Mozilla/5.0 (Windows NT 10.0; Win64; x64; rv:105.0) Gecko/20100101 Firefox/105.0</t>
  </si>
  <si>
    <t>Intelligent Techniques and Applications in Science and Technology : Proceedings of the First International Conference on Innovations in Modern Science and Technology</t>
  </si>
  <si>
    <t>Business/Management; Economics; Science</t>
  </si>
  <si>
    <t>'1,1,,1,1,204,,204,205,206,204,204,204'</t>
  </si>
  <si>
    <t>'1,3,40,41,42,43,44,45,45,45,45,45,45,45,45,45,46,47,47,47,47,47,48,49,,40,46,47,48,49,49,49'</t>
  </si>
  <si>
    <t>'1,1,94,97,99,101,103,104,105,109,106,95'</t>
  </si>
  <si>
    <t>The Student Leadership Challenge : Student Workbook and Personal Leadership Journal</t>
  </si>
  <si>
    <t>LB2346 -- .K68 2013eb</t>
  </si>
  <si>
    <t>'1,8,12,37,38'</t>
  </si>
  <si>
    <t>'1,8,40,41,42,43,44,44,44,44,44,44'</t>
  </si>
  <si>
    <t>Computational Fluid Dynamics: Advances in Research and Applications</t>
  </si>
  <si>
    <t>TA357.5.D37 .C667 2021</t>
  </si>
  <si>
    <t>'7,8,9,4'</t>
  </si>
  <si>
    <t>Computational Fluid Dynamics</t>
  </si>
  <si>
    <t>TA357.5.D37 .B579 2014</t>
  </si>
  <si>
    <t>'12,8,9,10,11,12,13,14,15,16,17,19,20,21,23,24,25,26,27,28,29,30,31,32,33,34'</t>
  </si>
  <si>
    <t>'1,22,62,40,39,41,36,38,,1,16,40'</t>
  </si>
  <si>
    <t>'1,1,2,3'</t>
  </si>
  <si>
    <t>'1,2,3,6,7,12,19,18,20'</t>
  </si>
  <si>
    <t>Mozilla/5.0 (iPad; CPU OS 12_5_6 like Mac OS X) AppleWebKit/605.1.15 (KHTML, like Gecko) Version/12.1.2 Mobile/15E148 Safari/604.1</t>
  </si>
  <si>
    <t>'1,2,14,15,13,,14,15,16,,1,,1,14,15,16,17,18,19'</t>
  </si>
  <si>
    <t>'1,2,,23'</t>
  </si>
  <si>
    <t>Handbook of Personality Psychology</t>
  </si>
  <si>
    <t>BF698.H3345 1997</t>
  </si>
  <si>
    <t>'96,97,207,190,191,192'</t>
  </si>
  <si>
    <t>'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,121,122,123,124,125,126,127,128,129,130,131,132,133,134,135,136,137,138,139,140,141,142,143,144,145,146,147,148,149,150,151,152,,53,54,55,56,57,58,59,60,61,62,63,64,65,66,67,68,69,70,71,72,73,74,75,76,77,78,79,80,81,82,83,84,85,86,87,88,89,90,91,92,93,94,95,96,97,98,99,100,101,102,103,104,105,106,107,108,109,110,111,112,113,114,115,116,117,118,119,120,,21,22,23,24,25,26,27,28,29,30,31,32,33,34,35,36,37,38,39,40,41,42,43,44,45,46,47,48,49,50,51,52,,13,14,15,16,17,18,19,20,,7,8,9,10,11,12,,5,6,,1,2,3,4'</t>
  </si>
  <si>
    <t>Solitons</t>
  </si>
  <si>
    <t>530.12/4</t>
  </si>
  <si>
    <t>QC174.26.W28 .S655 2018</t>
  </si>
  <si>
    <t>'151'</t>
  </si>
  <si>
    <t>'151,152,153,154,155,156,157,158,159,160,161,162,163,164,165,166,167,168,169,170,171,172,173,174,175,176,177,178,151,152,153,154,155,156,157,158,159,160,161,162,163,164,165,166,167,168,169,170,171,172,173,174,175,176,177,178'</t>
  </si>
  <si>
    <t>Environment and Identity in Later Life</t>
  </si>
  <si>
    <t>'1,2,3,4,6,138,160,161,162,163,164,165,166,167,168,169,170,184'</t>
  </si>
  <si>
    <t>The Wiley Encyclopedia of Personality and Individual Differences, Set</t>
  </si>
  <si>
    <t>BF698 .N384 2020</t>
  </si>
  <si>
    <t>'1,,1,471,472,473,473,471,478,1748,414,415,416,417,425,426,437,438,439,441,440'</t>
  </si>
  <si>
    <t>'199,200,201,202,203,204,205,206,207,208,209,210,211,212,213,214,215,216,217,151,152,153'</t>
  </si>
  <si>
    <t>'1,27,142,44,160,170'</t>
  </si>
  <si>
    <t>An Introduction to Theories of Personality : 7th Edition</t>
  </si>
  <si>
    <t>BF698 .H45 2014</t>
  </si>
  <si>
    <t>'1,3,4,5,6,7,8,9,2,20,19,22,23,24'</t>
  </si>
  <si>
    <t>'1,3,4,5,6,7,8,9,11,12,13,14'</t>
  </si>
  <si>
    <t>Behavior Genetics of Temperament and Personality</t>
  </si>
  <si>
    <t>BF1-990</t>
  </si>
  <si>
    <t>'1,2,3,6,7,8,9,267,268,269,270,271,272,273,274,275,276,277,278,279,280,281,282,283,284,285'</t>
  </si>
  <si>
    <t>'23,24,25,26,27'</t>
  </si>
  <si>
    <t>Stress and Social Anxiety : Psychobiological Effects of Stress on Social Interaction in Social Anxiety Disorder</t>
  </si>
  <si>
    <t>Cuvillier Verlag</t>
  </si>
  <si>
    <t>RC552.P67.T784 2016</t>
  </si>
  <si>
    <t>'1,1,2,4,6,8,9,10,11,12,33,32,34,35,36'</t>
  </si>
  <si>
    <t>'35'</t>
  </si>
  <si>
    <t>'1,27,27,27,126,126,126,27,44,73,12,15,8,10,13,26,24,22,21,20,19,14,16,16,16'</t>
  </si>
  <si>
    <t>'27,28,29,30,31,32,33,34,35,36,37,38,39,40,41,42,43,126,127,128,129,130,131,132,133,134,135,136,137,138,139,140,141,12,13,14,15,16,17,18,19,20,21,22,23,24,25,26'</t>
  </si>
  <si>
    <t>Spacecraft Power System Technologies</t>
  </si>
  <si>
    <t>'20,190,301,302,303'</t>
  </si>
  <si>
    <t>'1,2,3,361,362,363,364,365,366,367,369,370,372,373,374,375,376,377,378,380,381,382,383,384,385,386,387,388,389'</t>
  </si>
  <si>
    <t>Introduction to Theory-Driven Program Evaluation : Culturally Responsive and Strengths-Focused Applications</t>
  </si>
  <si>
    <t>HV40 .D663 2022</t>
  </si>
  <si>
    <t>'1,2,4,5,7,9'</t>
  </si>
  <si>
    <t>'20,21,165,59,60,62,63,64,65,66,68'</t>
  </si>
  <si>
    <t>Analytical Modelling of Fuel Cells</t>
  </si>
  <si>
    <t>TK2931 .K855 2019</t>
  </si>
  <si>
    <t>'102,103,104,105,106,107'</t>
  </si>
  <si>
    <t>Mozilla/5.0 (Macintosh; Intel Mac OS X 10.15; rv:105.0) Gecko/20100101 Firefox/105.0</t>
  </si>
  <si>
    <t>Personality in Work Organizations</t>
  </si>
  <si>
    <t>HF5548.8.J</t>
  </si>
  <si>
    <t>'1,4,5,6,7,8,13,14,15,16,17,18,19,20,21,22,23,24,25,26,27,28,29,30'</t>
  </si>
  <si>
    <t>'1,3,27,44,73,91,105,126,142,160,170,169,6,12,14,12,12,27,27,44,44,,44'</t>
  </si>
  <si>
    <t>'12,13,14,15,16,17,18,19,20,21,22,23,24,25,26,27,28,29,30,31,32,33,34,35,36,37,38,39,40,41,42,43'</t>
  </si>
  <si>
    <t>Introduction to Educational Leadership and Organizational Behavior</t>
  </si>
  <si>
    <t>LB2805 .C445 2013</t>
  </si>
  <si>
    <t>'1,3,4,5,6,8,9,10,11,12,14'</t>
  </si>
  <si>
    <t>'280'</t>
  </si>
  <si>
    <t>Spacecraft Mission Design</t>
  </si>
  <si>
    <t>TL790 -- .B735 1998eb</t>
  </si>
  <si>
    <t>'20,21,22,23,25,26,27,28,29,30,31,59,60,62'</t>
  </si>
  <si>
    <t>'1,2,3,211,213,361,362,363,364,365,367,366,368,370,371,372,373,375,376,378,379,380,382,383,384,385,386,387,388,389,391,677,678,679,680,681,682,,1,1,11,432,431,424,423,420,419,419,419,11,43,44,364,366,387'</t>
  </si>
  <si>
    <t>'364,365,366,367,368,369,370,371,372,373,374,375,376,377,378'</t>
  </si>
  <si>
    <t>'1,1,2,4,5,7,9,12,13,25,26,27,28,29'</t>
  </si>
  <si>
    <t>'23,24,25,23,,27,28,75,76,77,78,79,80,81,82,83,85,86,88,84'</t>
  </si>
  <si>
    <t>'25,26,27'</t>
  </si>
  <si>
    <t>'280,285,277,275,251,220,99,76,76,76,73,72,74,75,77,80,82,84,85,87,88,60,2,22'</t>
  </si>
  <si>
    <t>'76'</t>
  </si>
  <si>
    <t>Air Pollution and Health</t>
  </si>
  <si>
    <t>Health; Social Science; Medicine</t>
  </si>
  <si>
    <t>615.9/02</t>
  </si>
  <si>
    <t>RA576.A46 1999</t>
  </si>
  <si>
    <t>'1,1,4,12,20,21,36,28'</t>
  </si>
  <si>
    <t>Mozilla/5.0 (Windows NT 10.0; Win64; x64) AppleWebKit/537.36 (KHTML, like Gecko) Chrome/106.0.0.0 Safari/537.36 Edg/106.0.1370.34</t>
  </si>
  <si>
    <t>Air Pollution And Health</t>
  </si>
  <si>
    <t>Social Science; Health; Medicine</t>
  </si>
  <si>
    <t>RA576.A45 2006</t>
  </si>
  <si>
    <t>'1,5,4,2,3,6,7,8,9,10,12,12,44,58,58,60,59,12,18,21,19,20,22,23,24,25'</t>
  </si>
  <si>
    <t>'21,22,23,24,25,26,27,28,29,30,31,32,33,34,35,36,37,38,39,40,41,42,43,44,45,46,47,48,49,50,51,52,53,54,55,56,57,58,59,60,61,62,63,64,65,66,67,68,69,70,71,72,73,74,75,76,77,78,79,80,81,82,83,84,85,86'</t>
  </si>
  <si>
    <t>Compendium of Hydrogen Energy : Hydrogen Storage, Distribution and Infrastructure</t>
  </si>
  <si>
    <t>TP359.H8.C667 2016</t>
  </si>
  <si>
    <t>'4,46,47,48,49,50,51,52,53,54,55,56,57,58,60,61,62,63,64,65,66,,66,67'</t>
  </si>
  <si>
    <t>'1,6,7,160,172,173,171,170,169,161,156,151,164,165,162'</t>
  </si>
  <si>
    <t>'1,2,3,15,56,55,54,,79,80,81,82,83,84,85,87,100,100,160,174,175,176,177,178,179,182,183,184,185,188,198,199,200,201,202,203,204'</t>
  </si>
  <si>
    <t>Introduction to Environment, Biodiversity and Climate Change</t>
  </si>
  <si>
    <t>Science: Physics; Science: Biology/Natural History; Science</t>
  </si>
  <si>
    <t>QC903 .P363 2022</t>
  </si>
  <si>
    <t>'1,2,3,5,6,7,8,9,10,11,12,13,14,97,96,98,99,100'</t>
  </si>
  <si>
    <t>'1,2,3,4,5,6,7,8,9,10,8,9,9,7,6,11,12,13,14,15,16,17,18,19,20,21,22,67,66,65,64,63,61,60,59,62,68,69,70,71'</t>
  </si>
  <si>
    <t>'1,1,1,13,40,39,41,42,43,44,45,46,47,48'</t>
  </si>
  <si>
    <t>Artificial Vision and Language Processing for Robotics : Create End-To-end Systems That Can Power Robots with Artificial Vision and Deep Learning Techniques</t>
  </si>
  <si>
    <t>QA76.73.S95 .H644 2019</t>
  </si>
  <si>
    <t>'1,2,3,4,5,6,7,8,9,10,174,175,316,315,314,312,279,280,281,282'</t>
  </si>
  <si>
    <t>Learning Robotics Using Python : Design, Simulate, Program, and Prototype an Autonomous Mobile Robot Using ROS, OpenCV, PCL, and Python, 2nd Edition</t>
  </si>
  <si>
    <t>QA76.73.P98 .J674 2018</t>
  </si>
  <si>
    <t>'1,3,2,4,5,6,7,8,9,10,11,125,124,221,222,223,225,227,228,229'</t>
  </si>
  <si>
    <t>'1,2,3,4,5,6,7,8,9,16,18,19,20,26,27,28'</t>
  </si>
  <si>
    <t>'44'</t>
  </si>
  <si>
    <t>MCAT Prep Course</t>
  </si>
  <si>
    <t>Nova Press</t>
  </si>
  <si>
    <t>R838.5 -- .B54 2013eb</t>
  </si>
  <si>
    <t>'1,5,1321,1322'</t>
  </si>
  <si>
    <t>'1,1,51,547,548'</t>
  </si>
  <si>
    <t>Mozilla/5.0 (Windows NT 10.0; WOW64) AppleWebKit/537.36 (KHTML, like Gecko) Chrome/105.0.0.0 Safari/537.36</t>
  </si>
  <si>
    <t>'1,3,6,6,6,7,8,10,29,31'</t>
  </si>
  <si>
    <t>'1,2,6,7'</t>
  </si>
  <si>
    <t>Mozilla/5.0 (Windows NT 10.0; Win64; x64) AppleWebKit/537.36 (KHTML, like Gecko) Chrome/104.0.5112.102 Safari/537.36 OPR/90.0.4480.117</t>
  </si>
  <si>
    <t>'1,2,4,5,17,16,15,14,13,11,10,9,6,7,8,463,465,466,467,469,471,472,473,474,475,476,478,477,479,480,481,482,483,484,485,486,487,488,489,490,491,492,493,494,495'</t>
  </si>
  <si>
    <t>'1,152,164,189,187,156'</t>
  </si>
  <si>
    <t>'1,2,3,5,6,10,12,13,14,15'</t>
  </si>
  <si>
    <t>'1,8,6,4,91,92,93'</t>
  </si>
  <si>
    <t>'44,47,49,50,52,53,55,59,68,78,79,81,72'</t>
  </si>
  <si>
    <t>'1,13,4,12,23,1'</t>
  </si>
  <si>
    <t>'1,2,27,29,23,6,7'</t>
  </si>
  <si>
    <t>'1,1,2,3,4,5,36,37,38,39,40,41,42,43,44,45,46,47,48'</t>
  </si>
  <si>
    <t>Stratospheric Ozone Depletion and Climate Change</t>
  </si>
  <si>
    <t>Science; Environmental Studies; Science: Physics</t>
  </si>
  <si>
    <t>QC879.7 -- .S77 2012eb</t>
  </si>
  <si>
    <t>'1,2,3,5,6,8,9,9,9'</t>
  </si>
  <si>
    <t>Measurement and Instrumentation : Theory and Application</t>
  </si>
  <si>
    <t>Engineering: Manufacturing; Engineering; Engineering: General</t>
  </si>
  <si>
    <t>T50 .M677 2016</t>
  </si>
  <si>
    <t>'433,434,435'</t>
  </si>
  <si>
    <t>'430,431'</t>
  </si>
  <si>
    <t>'431,431'</t>
  </si>
  <si>
    <t>'431'</t>
  </si>
  <si>
    <t>Measurement and Instrumentation Principles</t>
  </si>
  <si>
    <t>TA165.M637 2001</t>
  </si>
  <si>
    <t>'22,23,24,25,292,293,294,295,296,297,297,297,296,295,293,292,292'</t>
  </si>
  <si>
    <t>'293,294,295,296,297,298,299,300,301,302,303,292,293,294,295,296,297,298,299,300,301,302,303,304,305,306,307,308,309,310,311,312,313,314,315,316,317,318,319,320,321,322,323,324'</t>
  </si>
  <si>
    <t>Defining Boundaries in al-Andalus : Muslims, Christians, and Jews in Islamic Iberia</t>
  </si>
  <si>
    <t>946.8/02</t>
  </si>
  <si>
    <t>DP302</t>
  </si>
  <si>
    <t>'1,2,3,3,3,4,5,6,7,8,9,10,10,11,12,13,14,15,1,4,5,6,7,8,181,182'</t>
  </si>
  <si>
    <t>Introduction to Sensors for Electrical and Mechanical Engineers</t>
  </si>
  <si>
    <t>Engineering: Electrical; Engineering; Engineering: Manufacturing</t>
  </si>
  <si>
    <t>TK7872.D48 .N683 2020</t>
  </si>
  <si>
    <t>'58,59,60,61,62,63,64,65,,88,89,90,91,92'</t>
  </si>
  <si>
    <t>Methodology of Crevice Corrosion Testing for Stainless Steels in Natural and Treated Seawaters</t>
  </si>
  <si>
    <t>TA479.S7.M48 2010</t>
  </si>
  <si>
    <t>'1,2,3,4,6,5,9,10,11,12,13,14,15,16,17,18,18,19,20'</t>
  </si>
  <si>
    <t>Nuclear Corrosion : Research, Progress and Challenges</t>
  </si>
  <si>
    <t>TK1078 .R588 2020</t>
  </si>
  <si>
    <t>'1,2,3,4,5,6,7,8,9,10,11,12,13,16,17,18,19,20,21,23,24,25,26,27,28,29,31,32'</t>
  </si>
  <si>
    <t>Transient Characteristics, Modelling and Stability Analysis of Microgrid</t>
  </si>
  <si>
    <t>'1,1,2,26,29,32,33,35,36,37,38,39,40,41,42,43,44'</t>
  </si>
  <si>
    <t>'1,1,1,1,1,1,2,2,2,2,2,54,55,73,73,68,73,77,73,87,74,75,76,77,77,81,1,1,1,1,51,52,1,1,3,546,545,547,548,549'</t>
  </si>
  <si>
    <t>'1,2,3,433,,,1'</t>
  </si>
  <si>
    <t>Experimental Methods and Instrumentation for Chemical Engineers</t>
  </si>
  <si>
    <t>TP149.E974 2018</t>
  </si>
  <si>
    <t>'36,37,38,39,40,41,42,43,44,45,46,47,48,49,50,51,52,53,54,55,56,57,58,59,60,61,62,63,64,65,66,67,68,69,70,71,72,73,74,75,76,77,78,79,80,81,82,83,,20,21,22,23,24,25,26,27,28,29,30,31,32,33,34,35'</t>
  </si>
  <si>
    <t>'1,1,1,2,2,36,36,12,36,36,36,36,36,37,38,38,29,38,38,38'</t>
  </si>
  <si>
    <t>'1,2,4,6,7,22,23'</t>
  </si>
  <si>
    <t>'1,1,34,33,32,35,36,37,38,39,40,41'</t>
  </si>
  <si>
    <t>'1,1,3,5,6,7,8,9,10,13,26,27,29,31,32,33,34,35,36,37,38,39,40,41,42,43,44,45,46,47,47,47,47,47,48,49,50,51,52,53,54,55,57,59'</t>
  </si>
  <si>
    <t>'1,1,1,2,5,7,7,7,7,7,8,9,10,16,17,23'</t>
  </si>
  <si>
    <t>Mozilla/5.0 (Macintosh; Intel Mac OS X 10_14_6) AppleWebKit/537.36 (KHTML, like Gecko) Chrome/105.0.0.0 Safari/537.36</t>
  </si>
  <si>
    <t>'1,141,54,1,2,54,1,2,3,141,142,143,144,145'</t>
  </si>
  <si>
    <t>'1,2,4,4,3,1,36,36,2,2'</t>
  </si>
  <si>
    <t>'1,3,2,4,6,8,361'</t>
  </si>
  <si>
    <t>'1,1,302,303,,1,1'</t>
  </si>
  <si>
    <t>'1,1,26,194,10,195,194,194,,194'</t>
  </si>
  <si>
    <t>'194,195,196,197,198,199'</t>
  </si>
  <si>
    <t>'1,118,119,120,116,118,118,119,118,118'</t>
  </si>
  <si>
    <t>'118'</t>
  </si>
  <si>
    <t>Sustainable Plastics : Environmental Assessments of Biobased, Biodegradable, and Recycled Plastics</t>
  </si>
  <si>
    <t>TP1180.B55 -- .G7435 2014eb</t>
  </si>
  <si>
    <t>'1,89,91,90,92,93,94,95,88,89,89,90,269,269,269,270,269,269,270,271,272'</t>
  </si>
  <si>
    <t>'269,269'</t>
  </si>
  <si>
    <t>'36,37,38,39,40,41,42,43'</t>
  </si>
  <si>
    <t>'1,2,3,4,5,6,7,8,9,10,11,12,13,14,15,16,17,18,19,20'</t>
  </si>
  <si>
    <t>'42,42'</t>
  </si>
  <si>
    <t>Understanding Batteries</t>
  </si>
  <si>
    <t>TK2901 -- .D45 2001eb</t>
  </si>
  <si>
    <t>'32,33,40,41,42,36,53,54,,53,56,57,58,60,61,62,64,65'</t>
  </si>
  <si>
    <t>'1,2,3,4,6,7,8,11,13,14,16,17,18,19,21,22,23,24,25,26,27,28,31,33,34,36,35,37,41,42,44'</t>
  </si>
  <si>
    <t>Satellite Remote Sensing Technologies</t>
  </si>
  <si>
    <t>Engineering: Mechanical; Engineering; Environmental Studies</t>
  </si>
  <si>
    <t>TL1-4050</t>
  </si>
  <si>
    <t>'24,152,160,161,162,163,,24'</t>
  </si>
  <si>
    <t>Being Good and Being Logical : Philosophical Groundwork for a New Deontic Logic</t>
  </si>
  <si>
    <t>BC145 -- .F65 2015eb</t>
  </si>
  <si>
    <t>'1,20,22,23'</t>
  </si>
  <si>
    <t>Biodegradation, Pollutants and Bioremediation Principles</t>
  </si>
  <si>
    <t>TD192.5 .B536 2021</t>
  </si>
  <si>
    <t>'72,98'</t>
  </si>
  <si>
    <t>Mozilla/5.0 (Windows NT 10.0; Win64; x64) AppleWebKit/537.36 (KHTML, like Gecko) Chrome/97.0.4692.71 Safari/537.36</t>
  </si>
  <si>
    <t>'14,15,16,17,14,14,15,,32,33,34,35,36,37,38,39,40,41,43,44,45,46,48,49,50,52,53,54,55,56,57,58,59,61,62,64,65,66,67,,84,85,86,87,88,89,90,91,,58,59,61,62,63,64,,102,103,104,105,106,107,108,109,110,111,112,113,114,115,116,,91,92,93,94,95,96,97,98,,71,72,73,74,75,,136,137,138,139,140,141,,126,125,118,120,121,122,123,,152,153,154,155,,8,9,10,11,12,13,102,103,104,105,106,107'</t>
  </si>
  <si>
    <t>The Rise of the Platform Marketer : Performance Marketing with Google, Facebook, and Twitter, Plus the Latest High-Growth Digital Advertising Platforms</t>
  </si>
  <si>
    <t>658.8/72</t>
  </si>
  <si>
    <t>HF5415.1265 -- .D457 2015eb</t>
  </si>
  <si>
    <t>'1,2,3,4,6,7,8,10,9,11,12,13,14,15,16,17,18,20,21,22,23,25,25,25'</t>
  </si>
  <si>
    <t>Climate Change and Renewable Energy : How to End the Climate Crisis</t>
  </si>
  <si>
    <t>'239,239,241,240'</t>
  </si>
  <si>
    <t>'39,39,40,42,31,33,35,36'</t>
  </si>
  <si>
    <t>'1,1,3,25,36,37,38,39,,39,39,40'</t>
  </si>
  <si>
    <t>'1,2,3,89,89,89'</t>
  </si>
  <si>
    <t>'1,,1,2,39,40,41,41,41,42,42,42,42,44,44,45,46,51,52,546,545,547,547,547,549,48,47,49,50,51,46,42,42,42'</t>
  </si>
  <si>
    <t>'39,40,41,42,43,44,45,547,548'</t>
  </si>
  <si>
    <t>'1,1,33,34,35,36,31,32,29,28,23,22,24,25'</t>
  </si>
  <si>
    <t>Renewable Energy Sources and Climate Change Mitigation : Special Report of the Intergovernmental Panel on Climate Change</t>
  </si>
  <si>
    <t>Environmental Studies; Engineering: Environmental; Economics; Engineering</t>
  </si>
  <si>
    <t>TD195.E49 R47 2012</t>
  </si>
  <si>
    <t>'1,2,4,3,4,3,4,3,8,29'</t>
  </si>
  <si>
    <t>'1,1,3,,1,1,1,7,8,9,10,26,25,27,28,29,31,32,33,34,35,36,37,38,39,32,32,31'</t>
  </si>
  <si>
    <t>'32,33'</t>
  </si>
  <si>
    <t>'26,27,28,29'</t>
  </si>
  <si>
    <t>'1,8,9,10,10,1,1,2,3,4,5,7,11,8,9,10,14,16,86,87,88,89,92,91,95,96,97,98,101,102,103,105,106,85'</t>
  </si>
  <si>
    <t>'105,86,87,88,89,90,91,92,93,94,95,96,97,98,99,100,101,102,103,104,105'</t>
  </si>
  <si>
    <t>Graphene-Based Terahertz Electronics and Plasmonics : Detector and Emitter Concepts</t>
  </si>
  <si>
    <t>TK7872.M25 .G737 2021</t>
  </si>
  <si>
    <t>'1,30,31,32,33,34,35,36,37,38,39,40,41,42,43,44,45'</t>
  </si>
  <si>
    <t>The Routledge Reviewer's Guide to Mixed Methods Analysis</t>
  </si>
  <si>
    <t>Social Science; General Works/Reference</t>
  </si>
  <si>
    <t>H62 .R688 2021</t>
  </si>
  <si>
    <t>'33,34,35,36,37,38,39,40,41,42,43,44,45,46,47'</t>
  </si>
  <si>
    <t>Advanced Technology for the Conversion of Waste into Fuels and Chemicals : Volume 2: Chemical Processes</t>
  </si>
  <si>
    <t>TP360 .A383 2021</t>
  </si>
  <si>
    <t>'60,61,62,63,64,65,67,68,69'</t>
  </si>
  <si>
    <t>'72,73'</t>
  </si>
  <si>
    <t>'1,2,3,3,2,4,5,6,7,8,560,559,558,557,556,555,554,553'</t>
  </si>
  <si>
    <t>Mozilla/5.0 (Windows NT 6.1; Win64; x64) AppleWebKit/537.36 (KHTML, like Gecko) Chrome/105.0.0.0 Safari/537.36</t>
  </si>
  <si>
    <t>A Guide to the Scientific Career : Virtues, Communication, Research, and Academic Writing</t>
  </si>
  <si>
    <t>Q147 .G853 2020</t>
  </si>
  <si>
    <t>Nano-Enhanced and Nanostructured Polymer-Based Membranes for Energy Applications</t>
  </si>
  <si>
    <t>TA455.P58 .B866 2022</t>
  </si>
  <si>
    <t>'104,105,106,107,108,109,110,111,112,113,114,115,116,117,118,119,120,121,122,123,124,125,126,127,128,129,130,131,132,133,134,135,136,137,138,139,140,141,142,143,144,145,146,147,148,149,150,151'</t>
  </si>
  <si>
    <t>'413,414,415,416'</t>
  </si>
  <si>
    <t>Multi-Rotor Platform Based UAV Systems</t>
  </si>
  <si>
    <t>ISTE Press Limited - Elsevier Incorporated</t>
  </si>
  <si>
    <t>TL685.35$b.M858 2020</t>
  </si>
  <si>
    <t>'1,1,3,9,174'</t>
  </si>
  <si>
    <t>Mozilla/5.0 (Linux; Android 12; SM-S908E) AppleWebKit/537.36 (KHTML, like Gecko) Chrome/106.0.0.0 Mobile Safari/537.36</t>
  </si>
  <si>
    <t>'3,1'</t>
  </si>
  <si>
    <t>Mozilla/5.0 (Linux; Android 12; SAMSUNG SM-S908E) AppleWebKit/537.36 (KHTML, like Gecko) SamsungBrowser/18.0 Chrome/99.0.4844.88 Mobile Safari/537.36</t>
  </si>
  <si>
    <t>How Social Science Got Better : Overcoming Bias with More Evidence, Diversity, and Self-Reflection</t>
  </si>
  <si>
    <t>H62 .G767 2021</t>
  </si>
  <si>
    <t>'1,2,4,4,137'</t>
  </si>
  <si>
    <t>'1,2,4,4,196'</t>
  </si>
  <si>
    <t>'1,2,3,4,5,6,7,8,10,13,14,237,238,253,254,297,295,309,310,306,307,305'</t>
  </si>
  <si>
    <t>'60,61,62,63,64,65,66,67,66,66,67,68'</t>
  </si>
  <si>
    <t>'1,2,3,4,5,6,7,8,9,10,11,12,13,14,15,16,17,18,20,21,22,23,24'</t>
  </si>
  <si>
    <t>Personality Traits: Theory, Testing and Influences : Theory, Testing and Influences</t>
  </si>
  <si>
    <t>155.2/32</t>
  </si>
  <si>
    <t>BF698.5 -- .P47 2011eb</t>
  </si>
  <si>
    <t>'1,2,6,7,8'</t>
  </si>
  <si>
    <t>Personality Traits: Classifications, Effects and Changes : Classifications, Effects and Changes</t>
  </si>
  <si>
    <t>BF698 -- .P3714 2010eb</t>
  </si>
  <si>
    <t>'1,2,3,89,90,5,6,7,9,11,13,12,13,13,13,13,13,13,14,14,14,15'</t>
  </si>
  <si>
    <t>The Thermodynamics of Phase and Reaction Equilibria</t>
  </si>
  <si>
    <t>Science: Physics; Science; Engineering; Engineering: Mechanical</t>
  </si>
  <si>
    <t>TJ265 .T678 2021</t>
  </si>
  <si>
    <t>'176'</t>
  </si>
  <si>
    <t>'1,1,3,2,4,5,141,142'</t>
  </si>
  <si>
    <t>'1,36,37,38,39,40,41,42,43,44,45,46,47,48,49'</t>
  </si>
  <si>
    <t>Pearson Edexcel a Level Business : Business</t>
  </si>
  <si>
    <t>Hodder Education Group</t>
  </si>
  <si>
    <t>HD30.4$b.M373 2019</t>
  </si>
  <si>
    <t>'1,1,1,3,1'</t>
  </si>
  <si>
    <t>Advances in Thermal Energy Storage Systems : Methods and Applications</t>
  </si>
  <si>
    <t>TJ260 -- .C33 2015eb</t>
  </si>
  <si>
    <t>'15,16,18,19,21,22,23,12,11,10,9'</t>
  </si>
  <si>
    <t>'1,2,4,6,7,8,9,11,13,,13'</t>
  </si>
  <si>
    <t>Developing Writing Skills for IELTS : A Research-Based Approach</t>
  </si>
  <si>
    <t>PE1128 .C466 2021</t>
  </si>
  <si>
    <t>'1,5,2,3,4,,4,,1,2,3,4,6,9,11,,4,1'</t>
  </si>
  <si>
    <t>Mozilla/5.0 (Linux; Android 11; Redmi K30) AppleWebKit/537.36 (KHTML, like Gecko) Chrome/106.0.0.0 Mobile Safari/537.36</t>
  </si>
  <si>
    <t>'60,60,61,62,63,64,65,66,67,68,69,70,71,72,73,74,75,76,77,78,79,80,81,82,83,84,85,86,87,88'</t>
  </si>
  <si>
    <t>Mozilla/5.0 (Linux; Android 10; HarmonyOS; MRX-W09; HMSCore 6.7.0.322; GMSCore 21.24.56) AppleWebKit/537.36 (KHTML, like Gecko) Chrome/92.0.4515.105 HuaweiBrowser/12.1.2.312 Safari/537.36</t>
  </si>
  <si>
    <t>'60,61,62,63,64,65,66,67,68,69,70,71,72,73,74,75,76,77,78,79,80,81,82,81,82,,82,83,84,79,80,78'</t>
  </si>
  <si>
    <t>'60'</t>
  </si>
  <si>
    <t>'1,60,,60,61,62,63,64,65,66,67,68,69,70,71,72,73,74,75,76,77,78,79,81,82,83,86,60'</t>
  </si>
  <si>
    <t>'1,39,51,52,53,54,56,59,60,61,62,63,64,65,66'</t>
  </si>
  <si>
    <t>User Interface Requirements for Medical Devices : Driving Toward Safe, Effective, and Satisfying Products by Specification</t>
  </si>
  <si>
    <t>R856.6 .W555 2022</t>
  </si>
  <si>
    <t>Waste Management Policies and Practices in BRICS Nations</t>
  </si>
  <si>
    <t>628.409172/4</t>
  </si>
  <si>
    <t>TD790 .W378 2021</t>
  </si>
  <si>
    <t>'232,234,233,235,236,,236,236,237,236,236,242,237'</t>
  </si>
  <si>
    <t>'1,1,2,763,759,758,757'</t>
  </si>
  <si>
    <t>'72,73,77,76,74,78,75'</t>
  </si>
  <si>
    <t>'1,1,2,3,5,6,7,8,9,6,2,3,5,7,8,1'</t>
  </si>
  <si>
    <t>Smart Sensor Networks Using AI for Industry 4. 0 : Applications and New Opportunities</t>
  </si>
  <si>
    <t>Business/Management; Engineering: General; Engineering</t>
  </si>
  <si>
    <t>T59.6 .S637 2022</t>
  </si>
  <si>
    <t>'16,18,27,28'</t>
  </si>
  <si>
    <t>'1,94,93,90,88,89,86,85,82,77,62,61,60,61,61,62,63'</t>
  </si>
  <si>
    <t>'3,4,5,6,7,8,9,10,11,12'</t>
  </si>
  <si>
    <t>'1,1,2,3,4,6,7,8,,,8,,1,3,4,7,6,8,9,13,18,28,31,33,35,34,32,36,37,38,10,12,11,19,2,5,14,15,16,17,20,21,22,23,24,25,26,27,29,30,57,59,60,61'</t>
  </si>
  <si>
    <t>'1,1,1,1'</t>
  </si>
  <si>
    <t>'1,2,7,10,18,72,75,74,73,77,78,76'</t>
  </si>
  <si>
    <t>'75,75'</t>
  </si>
  <si>
    <t>'1,1,72,71,71,71,71,73,73'</t>
  </si>
  <si>
    <t>'1,72,71,73,75'</t>
  </si>
  <si>
    <t>Resource Recovery from Wastewater : A Research Agenda for Australia</t>
  </si>
  <si>
    <t>IWA Publishing</t>
  </si>
  <si>
    <t>TD745 -- .R474 2014eb</t>
  </si>
  <si>
    <t>'1,7,10,20'</t>
  </si>
  <si>
    <t>Mozilla/5.0 (Macintosh; Intel Mac OS X 10_15_6) AppleWebKit/605.1.15 (KHTML, like Gecko) Version/14.0.1 Safari/605.1.15</t>
  </si>
  <si>
    <t>'1,1,2,,1,1,2,5,72,73,74,75,76,,72,,94,72,73,74,75,77,78,254,255,257,253,251,250,249,248,247'</t>
  </si>
  <si>
    <t>'1,1,72,71,73,74,75,1,1,2,3,4,5,6,7'</t>
  </si>
  <si>
    <t>'1,72,71,75,77,76,76,76,75,74,78'</t>
  </si>
  <si>
    <t>'1,1,72,71,73,74,75,76,77,78,79,80,81,82,83,84,85,86,87,88,89,90,91,92,94,93'</t>
  </si>
  <si>
    <t>The Routledge Companion to the Suburbs</t>
  </si>
  <si>
    <t>HT351 .R688 2019</t>
  </si>
  <si>
    <t>'30,32,36,34,33'</t>
  </si>
  <si>
    <t>Endorobotics : Design, R&amp;d and Future Trends</t>
  </si>
  <si>
    <t>TJ211 .M364 2022</t>
  </si>
  <si>
    <t>'1,178,170,159,158,157,119'</t>
  </si>
  <si>
    <t>'32,32,30'</t>
  </si>
  <si>
    <t>'30,31,32,33,34,35,36,37,38,39,40,41,42,43,44,45,46,47,48,49,50,51,52,53,54,55,56,57,58,59,60,61,62,63,64,65,66,67'</t>
  </si>
  <si>
    <t>'30,31,29,,29,,30,32'</t>
  </si>
  <si>
    <t>Spanish Super Review</t>
  </si>
  <si>
    <t>Research &amp; Education Association</t>
  </si>
  <si>
    <t>468.2/421</t>
  </si>
  <si>
    <t>PC4129.E5 .S636 2014</t>
  </si>
  <si>
    <t>'1,2,3,5,7,8,9,10,11,,10'</t>
  </si>
  <si>
    <t>'37,,72,,72'</t>
  </si>
  <si>
    <t>'1,1,74,75,73,72'</t>
  </si>
  <si>
    <t>Hydrogen Generation, Storage and Utilization</t>
  </si>
  <si>
    <t>TP245.H9.TP245.H9 2</t>
  </si>
  <si>
    <t>'21,22,23,24,25,26,27,28,29,30,31,32,33,34,35,36,37,38,39,40'</t>
  </si>
  <si>
    <t>'1,1,,1,1,37,37,54,47,38,20,21,127,72,72'</t>
  </si>
  <si>
    <t>Engineering; Engineering: General; Engineering: Manufacturing</t>
  </si>
  <si>
    <t>T175</t>
  </si>
  <si>
    <t>Mozilla/5.0 (Linux; Android 11; SM-A032F) AppleWebKit/537.36 (KHTML, like Gecko) Chrome/105.0.0.0 Mobile Safari/537.36</t>
  </si>
  <si>
    <t>'1,72,71,74,75,76,77,78'</t>
  </si>
  <si>
    <t>The Big Five in SLA</t>
  </si>
  <si>
    <t>P129-138.7222</t>
  </si>
  <si>
    <t>'42,43,44,45,46,47,48,49'</t>
  </si>
  <si>
    <t>'1,1,72,73'</t>
  </si>
  <si>
    <t>'1,72,71,74,75,75,75,74'</t>
  </si>
  <si>
    <t>'1,1,2,3,5,6,7,8,9'</t>
  </si>
  <si>
    <t>'1,72,71,75,74,77,78'</t>
  </si>
  <si>
    <t>Solar Cells : Materials, Manufacture and Operation</t>
  </si>
  <si>
    <t>TK2960.S6523 2005</t>
  </si>
  <si>
    <t>'14,16,19,20,21,22,23,24,32,33,34,39,39'</t>
  </si>
  <si>
    <t>'4'</t>
  </si>
  <si>
    <t>'1,72,71,74,73,75'</t>
  </si>
  <si>
    <t>'72,72,71,71'</t>
  </si>
  <si>
    <t>'72,1,2,37'</t>
  </si>
  <si>
    <t>The Hydrogen Energy Transition : Cutting Carbon from Transportation</t>
  </si>
  <si>
    <t>665.8/1</t>
  </si>
  <si>
    <t>TP359.H8H84 2004</t>
  </si>
  <si>
    <t>'1,12,12,13'</t>
  </si>
  <si>
    <t>'1,1,12,72,71,73,75,69,70,74,76,77,78,75,75,75,76,77,78,74,75,76,77,78'</t>
  </si>
  <si>
    <t>'74,74,75,76,77,78'</t>
  </si>
  <si>
    <t>Pressurized Heavy Water Reactors : Candu</t>
  </si>
  <si>
    <t>TK9203.P7 R596 2021</t>
  </si>
  <si>
    <t>'1,3,4,3,5,6,6,10,9,195,195,195,195,68,69,91,92,208,259,258,502,501'</t>
  </si>
  <si>
    <t>The Procurement Models Handbook</t>
  </si>
  <si>
    <t>HD39.5 .C673 2019</t>
  </si>
  <si>
    <t>'1,1,37,38,39,35,34,40,41,43'</t>
  </si>
  <si>
    <t>'1,1,2,3,3,2,4,6,7,11,13,10,42,43,44'</t>
  </si>
  <si>
    <t>The Data Toolkit : Ten Tools for Supporting School Improvement</t>
  </si>
  <si>
    <t>Corwin Press</t>
  </si>
  <si>
    <t>LB2806.17.H47 2012</t>
  </si>
  <si>
    <t>'1,4,5,7,6,10'</t>
  </si>
  <si>
    <t>Mozilla/5.0 (Macintosh; Intel Mac OS X 10_15_6) AppleWebKit/537.36 (KHTML, like Gecko) Chrome/102.0.5005.61 Safari/537.36</t>
  </si>
  <si>
    <t>'95,96,97,98,99,100,101,102,103,104,105,106,107,108,109,110,111,112,,113,114,115,116,117,118,119,120,121,122,123,124,125,126,127,128,129,,146,147,148,149,150,151,152,153,154,155,156,157,158,159,160,161,162,163,,164,165,166,167,168,169,170,171,172,173,174,175,176,177,178,179,180,181,182,,183,184,185,186,187,188,189,190,191,192,193,194,195,196,197,198'</t>
  </si>
  <si>
    <t>Causation and Explanation</t>
  </si>
  <si>
    <t>Psychology; Philosophy</t>
  </si>
  <si>
    <t>BD541.C193 2007</t>
  </si>
  <si>
    <t>'1,1,64'</t>
  </si>
  <si>
    <t>Statistical Process Control</t>
  </si>
  <si>
    <t>658.5/62</t>
  </si>
  <si>
    <t>TS156.8 .O23 2019</t>
  </si>
  <si>
    <t>'1,3,3,11,35,35,15,103,175,235,205'</t>
  </si>
  <si>
    <t>'1,72,74,77,71,73,75,76,78'</t>
  </si>
  <si>
    <t>Cause Analysis Manual : Incident Investigation Method and Techniques</t>
  </si>
  <si>
    <t>'1,2,2,3,93,184,183,395'</t>
  </si>
  <si>
    <t>Practical Predictive Analytics and Decisioning Systems for Medicine : Informatics Accuracy and Cost-Effectiveness for Healthcare Administration and Delivery Including Medical Research</t>
  </si>
  <si>
    <t>R859 -- .P73 2014eb</t>
  </si>
  <si>
    <t>'72,,1,1,72,71,73,74,75,76,77,78,79'</t>
  </si>
  <si>
    <t>'74,72'</t>
  </si>
  <si>
    <t>'75,75,,75,75,,1,1,1,,1,1'</t>
  </si>
  <si>
    <t>'1,4,2,12,257,256,255,240'</t>
  </si>
  <si>
    <t>Building Barriers and Bridges: Interculturalism in the 21st Century</t>
  </si>
  <si>
    <t>H61 .B855 2014</t>
  </si>
  <si>
    <t>'1,,1,,1'</t>
  </si>
  <si>
    <t>'1,7,74,75,77'</t>
  </si>
  <si>
    <t>'72,73,74,75,76,77,78,79,80,81,82,83,84,85,86,87,88,89,90,91'</t>
  </si>
  <si>
    <t>'1,1,308,308,306,635'</t>
  </si>
  <si>
    <t>'460,461,462,463,464,465,466,467,468,469,470,471,472,473,474,475,476,477'</t>
  </si>
  <si>
    <t>'72,73,71,67,72,72,72,72,72'</t>
  </si>
  <si>
    <t>Handbook of Medical Image Computing and Computer Assisted Intervention</t>
  </si>
  <si>
    <t>R857.O6 .H36 2020</t>
  </si>
  <si>
    <t>'348,349,350,351,352,353,354,355,356,357,358,359,360,361,362,363,364,365,366,367,368,369,370,371'</t>
  </si>
  <si>
    <t>'273,274,275,276,277,278,279,280,281,282,283,284,285,286,287,288,289,,254,255,256,257,258,259,260,261,262,263,264,265,266,267,268,269,270,271,272,,199,200,201,202,203,204,205,206,207,208,209,210,211,212,213,214,215,216,,217,218,219,220,221,222,223,224,225,226,227,228,229,230,231,232,233,234'</t>
  </si>
  <si>
    <t>'72,72,74,,1,,1,72,,1,72,71,73,74,85,86,88,89,90,91,254,255,,1,72,71,74'</t>
  </si>
  <si>
    <t>'348,349,350,,348,349,350,351,352,353,355,354'</t>
  </si>
  <si>
    <t>'72,,72,,72,73,74,75'</t>
  </si>
  <si>
    <t>'1,72,95,87,80,77,73,71,70,74,75,76,78,79'</t>
  </si>
  <si>
    <t>'1,72,73,73,73,74,77,78,76,75,,1,1,72,72,72,73,75,,75,75,75,75,74,76,76,77,78,79'</t>
  </si>
  <si>
    <t>'1,72,72,72'</t>
  </si>
  <si>
    <t>'1,6,7,75,74'</t>
  </si>
  <si>
    <t>'1,2,72,72,72,72,73,74,74,74'</t>
  </si>
  <si>
    <t>'1,3,4,5,6,6,22,23,24,25,108,51,53,27'</t>
  </si>
  <si>
    <t>'1,2,3,4,1,2'</t>
  </si>
  <si>
    <t>'1,1,35,35,73,111,184,185,186,183,182,180,181,178,187,192,192,192,73,74,111,184,186,185,187,188,202,203,204'</t>
  </si>
  <si>
    <t>Leadership Communication : How Leaders Communicate and How Communicators Lead in the Today's Global Enterprise</t>
  </si>
  <si>
    <t>HF5718 -- .H275 2014</t>
  </si>
  <si>
    <t>'1,1,1,61,60,59,57,56,58,62,63,64,65,66'</t>
  </si>
  <si>
    <t>3D Printing for the Radiologist, E-Book</t>
  </si>
  <si>
    <t>R857.T47 .A12 2022</t>
  </si>
  <si>
    <t>'26,27,28,29,30,31,32,33,34,35,36,37,38,2,3,4,6,6'</t>
  </si>
  <si>
    <t>Solar PV Engineering and Installation : Preparation for the NABCEP PV Installation Professional, Specialist and Inspector Certification Exams</t>
  </si>
  <si>
    <t>TK1087 .W458 2019</t>
  </si>
  <si>
    <t>'1,2,3,4,8,16'</t>
  </si>
  <si>
    <t>'1,2,2,1,3,5,14,155,146,90,74,75,67,7,9,4,6'</t>
  </si>
  <si>
    <t>Python Programming : A Practical Approach</t>
  </si>
  <si>
    <t>QA76.73.P98 K863 2022</t>
  </si>
  <si>
    <t>'28'</t>
  </si>
  <si>
    <t>Mozilla/5.0 (X11; Linux x86_64) AppleWebKit/537.36 (KHTML, like Gecko) Chrome/100.0.4896.127 Safari/537.36</t>
  </si>
  <si>
    <t>'1,1,8,74,73,75,77,78,76'</t>
  </si>
  <si>
    <t>'28,27,1,25,25,25,25,25,26,27,28,28,29,30,31,32,33,34,35,36'</t>
  </si>
  <si>
    <t>'1,2,3,4,4,4,4,4,4,4,5,6,7,8,9,12,13,14,15,16,17,18,19,21,22,22,23,24'</t>
  </si>
  <si>
    <t>'1,1,250,249,251,252,253,2,3,4,5,6,7,8,9,72,71,74'</t>
  </si>
  <si>
    <t>Beginning Robotics with Raspberry Pi and Arduino : Using Python and OpenCV</t>
  </si>
  <si>
    <t>Engineering; Engineering: General; Business/Management</t>
  </si>
  <si>
    <t>TS171.57</t>
  </si>
  <si>
    <t>'55,56,57,58,59,60,61,62,63,64,65,66,68,147,214,216,217,1,,302,303,304,305,306,307,308,309,310,311,312,313,314,315,316,317,318,319,320,321,322,323,324,325,327'</t>
  </si>
  <si>
    <t>'178,179,180,181,182,183,184,185,186,187,188,189,190,191,192'</t>
  </si>
  <si>
    <t>'178,179,180,181,182,183,185'</t>
  </si>
  <si>
    <t>'1,1,72,74,75'</t>
  </si>
  <si>
    <t>'1,1,94,96,97,92,91'</t>
  </si>
  <si>
    <t>Photodetectors : Devices, Circuits and Applications</t>
  </si>
  <si>
    <t>Engineering: Manufacturing; Engineering; Engineering: Electrical</t>
  </si>
  <si>
    <t>TK8300 .D663 2021</t>
  </si>
  <si>
    <t>'7,8,9,10,11,12,,262,263,264,265,266,267,268,269,270,271'</t>
  </si>
  <si>
    <t>Taking Science to the People : A Communication Primer for Scientists and Engineers</t>
  </si>
  <si>
    <t>University of Nebraska Press</t>
  </si>
  <si>
    <t>501/.4</t>
  </si>
  <si>
    <t>Q223 -- .T35 2010eb</t>
  </si>
  <si>
    <t>'56,57,58,59,60,61,62,63,,70,71,72,73,74,75,76,77,78,79,,100,101,102,103,104,105,106,107,108,109,,110,111,112,113,114,115,116,117,118,119'</t>
  </si>
  <si>
    <t>'1,1,250'</t>
  </si>
  <si>
    <t>Writing Scientific Research in Communication Sciences and Disorders</t>
  </si>
  <si>
    <t>Plural Publishing, Incorporated</t>
  </si>
  <si>
    <t>Medicine; Literature</t>
  </si>
  <si>
    <t>808.06/661</t>
  </si>
  <si>
    <t>R119</t>
  </si>
  <si>
    <t>The Craft of Scientific Communication</t>
  </si>
  <si>
    <t>University of Chicago Press</t>
  </si>
  <si>
    <t>808/.0665</t>
  </si>
  <si>
    <t>Q223</t>
  </si>
  <si>
    <t>'1,1,150,151'</t>
  </si>
  <si>
    <t>'150,151,152,153,154,155,156,157,158,159,160,161,162,163,164,165,166,167'</t>
  </si>
  <si>
    <t>Scientific Papers and Presentations : Navigating Scientific Communication in Today's World</t>
  </si>
  <si>
    <t>Science: General; Engineering: General; Engineering</t>
  </si>
  <si>
    <t>T11.D324 2005</t>
  </si>
  <si>
    <t>'1,1,236,238,239'</t>
  </si>
  <si>
    <t>'236,237,238,239,240,241,242,243,244,245'</t>
  </si>
  <si>
    <t>Communicating Science : The Scientific Article from the 17th Century to the Present</t>
  </si>
  <si>
    <t>Science; Literature</t>
  </si>
  <si>
    <t>Q225.5 -- . G79 2002eb</t>
  </si>
  <si>
    <t>'1,132,133,132,133,134,134'</t>
  </si>
  <si>
    <t>'132,133,134,135,136,137,138,139,140,141,142,143,144,145,146,147,148,149,150,151,152,153,154,155,156,157,158,159,160,161,162,163,164,165,166,167,168,169,170,171,172,173,174,175,176,177,178,179,180,181,182,183,184,185,186,187'</t>
  </si>
  <si>
    <t>Wind and Solar Power Systems : Design, Analysis, and Operation</t>
  </si>
  <si>
    <t>621.31/2136</t>
  </si>
  <si>
    <t>TK1541 .P384 2021</t>
  </si>
  <si>
    <t>'1,8,8,8,9,10,11,1,2,3,4'</t>
  </si>
  <si>
    <t>'4,4,4,4,4,5,6,7,7,8,9,10,11,12,13,14,11'</t>
  </si>
  <si>
    <t>'1,1,72,74,76,77,78,75'</t>
  </si>
  <si>
    <t>'74,75,76,76,77,78'</t>
  </si>
  <si>
    <t>'1,1,1,2,4,,1,2,4'</t>
  </si>
  <si>
    <t>'1,3,5,8,9,6,7'</t>
  </si>
  <si>
    <t>The Future of Glycerol : New Usages for a Versatile Raw Material</t>
  </si>
  <si>
    <t>TP973 -- .P34 2008eb</t>
  </si>
  <si>
    <t>'1,2,3,4,5,6,7,8,9,5,5,6,1,2,3,4,7,9,10,11,13,14,15,16,17,18,19,20,21,22,23,24'</t>
  </si>
  <si>
    <t>Gamification and Artificial Intelligence During COVID-19: Case Studies in Health and Education</t>
  </si>
  <si>
    <t>Lang, Peter, GmbH, Internationaler Verlag der Wissenschaften</t>
  </si>
  <si>
    <t>Surface Production Operations: Volume 5: Pressure Vessels, Heat Exchangers, and Aboveground Storage Tanks : Design, Construction, Inspection, and Testing</t>
  </si>
  <si>
    <t>TN870 .S749 2021</t>
  </si>
  <si>
    <t>3D Printing for Energy Applications</t>
  </si>
  <si>
    <t>TS171.95 .A12 2021</t>
  </si>
  <si>
    <t>'33,33,34'</t>
  </si>
  <si>
    <t>Mozilla/5.0 (Macintosh; Intel Mac OS X 10_15_4) AppleWebKit/537.36 (KHTML, like Gecko) Chrome/105.0.0.0 Safari/537.36</t>
  </si>
  <si>
    <t>Nanotechnology for Water and Wastewater Treatment</t>
  </si>
  <si>
    <t>TD477.N36 2013</t>
  </si>
  <si>
    <t>'26,27,28,29,30,31,32,33,34,35,36,37,38,39,40,41,42,43,44,45,46,47,48,49,50'</t>
  </si>
  <si>
    <t>'1,27,28,45'</t>
  </si>
  <si>
    <t>'1,18,18,18,18,71,72,71,71'</t>
  </si>
  <si>
    <t>'26,25,22,21,20,23,24,27,29,31,32,33,34,35,36,38,40,41,42,44,45,46,47,43,46'</t>
  </si>
  <si>
    <t>A Systems Approach to Lithium-Ion Battery Management</t>
  </si>
  <si>
    <t>TK2945.L58.W45 2014</t>
  </si>
  <si>
    <t>'1,2,26,27,27,27'</t>
  </si>
  <si>
    <t>Ancient Astrology</t>
  </si>
  <si>
    <t>BF1671.B37</t>
  </si>
  <si>
    <t>'1,2,3,4,6,8'</t>
  </si>
  <si>
    <t>Mozilla/5.0 (Macintosh; Intel Mac OS X 10_15_6) AppleWebKit/605.1.15 (KHTML, like Gecko) Version/13.1.2 Safari/605.1.15</t>
  </si>
  <si>
    <t>Development in Wastewater Treatment Research and Processes : Removal of Emerging Contaminants from Wastewater Through Bio-Nanotechnology</t>
  </si>
  <si>
    <t>TD745 .D484 2022</t>
  </si>
  <si>
    <t>'272,273,278,269,268,266,267'</t>
  </si>
  <si>
    <t>'1,1,1,1,1,1,1'</t>
  </si>
  <si>
    <t>New Books Kids Like</t>
  </si>
  <si>
    <t>ALA Editions</t>
  </si>
  <si>
    <t>Z1037 -- .N39 2001eb</t>
  </si>
  <si>
    <t>'1,4,18,18,19,19'</t>
  </si>
  <si>
    <t>The Industrial Revolution in World History</t>
  </si>
  <si>
    <t>HD2321$b.S743 2021</t>
  </si>
  <si>
    <t>'220,221,222,223,224,218,217'</t>
  </si>
  <si>
    <t>Mozilla/5.0 (Windows NT 10.0; Win64; x64) AppleWebKit/537.36 (KHTML, like Gecko) Chrome/105.0.0.0 Safari/537.36 Edg/105.0.1343.50</t>
  </si>
  <si>
    <t>'1,2,3,4,5,7,11,,1,220,219,,1,220,219,221,,1,220,219,221'</t>
  </si>
  <si>
    <t>Textbook of Oral Medicine, Oral Diagnosis and Oral Radiology - E-Book</t>
  </si>
  <si>
    <t>Elsevier India</t>
  </si>
  <si>
    <t>RC815 -- .T498 2013eb</t>
  </si>
  <si>
    <t>'1,2,4,32,33,34,35,36,37,38,39,40,41,41,41,12,32,869,870,871,873,874,875,876,877,878,879,880'</t>
  </si>
  <si>
    <t>Reducing Process Costs with Lean, Six Sigma, and Value Engineering Techniques</t>
  </si>
  <si>
    <t>658.15/52</t>
  </si>
  <si>
    <t>HD47.3.P75 2013</t>
  </si>
  <si>
    <t>'1,2,3,4,5,6,7,10,10'</t>
  </si>
  <si>
    <t>Practitioner's Guide to Statistics and Lean Six Sigma for Process Improvements</t>
  </si>
  <si>
    <t>TS156</t>
  </si>
  <si>
    <t>'1,142,143,143'</t>
  </si>
  <si>
    <t>Lean Six Sigma - Quick Study</t>
  </si>
  <si>
    <t>TS156.17.S59 .L436 2016</t>
  </si>
  <si>
    <t>'1,2,4,6,3'</t>
  </si>
  <si>
    <t>McEvoy's Handbook of Photovoltaics : Fundamentals and Applications</t>
  </si>
  <si>
    <t>TK8322.M348 2018</t>
  </si>
  <si>
    <t>'1,946,947,948,949,950,951,952,953,954,955,956,957'</t>
  </si>
  <si>
    <t>'956,956'</t>
  </si>
  <si>
    <t>Introduction to Mathematical Modeling</t>
  </si>
  <si>
    <t>QA401.H865 2014</t>
  </si>
  <si>
    <t>'408,407,409,410,411'</t>
  </si>
  <si>
    <t>Mozilla/5.0 (Windows NT 10.0; Win64; x64) AppleWebKit/537.36 (KHTML, like Gecko) Chrome/104.0.5112.102 Safari/537.36 OPR/90.0.4480.100</t>
  </si>
  <si>
    <t>'1,2,32,53,54,55,56,57,58,59,60,,1,61,62,64,63,65'</t>
  </si>
  <si>
    <t>Deep Eutectic Solvents for Medicine, Gas Solubilization and Extraction of Natural Substances</t>
  </si>
  <si>
    <t>Science: Chemistry; Engineering; Science; Engineering: Chemical</t>
  </si>
  <si>
    <t>TP155.2.E58</t>
  </si>
  <si>
    <t>'13,14'</t>
  </si>
  <si>
    <t>Cell Biology</t>
  </si>
  <si>
    <t>QH581.2 .R69 2020</t>
  </si>
  <si>
    <t>'644,645,646,647,648,649,650,651,652'</t>
  </si>
  <si>
    <t>Mozilla/5.0 (Windows NT 10.0; Win64; x64) AppleWebKit/537.36 (KHTML, like Gecko) Chrome/103.0.0.0 Safari/537.36</t>
  </si>
  <si>
    <t>Lithography: Principles, Processes and Materials : Principles, Processes and Materials</t>
  </si>
  <si>
    <t>TK7872.M3 -- L58 2011eb</t>
  </si>
  <si>
    <t>'1,1,3,4,5,6,7,8,9,10,15,11'</t>
  </si>
  <si>
    <t>Deep Learning for Data Analytics : Foundations, Biomedical Applications, and Challenges</t>
  </si>
  <si>
    <t>Q325.5$b.D447 2020</t>
  </si>
  <si>
    <t>'170,171,172'</t>
  </si>
  <si>
    <t>'1,1,72,74,73,75,75,57'</t>
  </si>
  <si>
    <t>'1,13,19,16,20'</t>
  </si>
  <si>
    <t>Genes, Behavior, and the Social Environment : Moving Beyond the Nature/Nurture Debate</t>
  </si>
  <si>
    <t>616/.042</t>
  </si>
  <si>
    <t>'1,28,35'</t>
  </si>
  <si>
    <t>'1,2,,1,1,1,1,1'</t>
  </si>
  <si>
    <t>'1,2,4,5,6,7,8,,1,4,5,2,3,6,7,8,,165,166,167,168,169,170,171,172,173,174,175,176,177,178,179,180,181'</t>
  </si>
  <si>
    <t>'1,2,2,3,4,339,338,340,341,342,343,344,343,344,361,360,362,363,387,388,386,385,399,1,2,3,4,5,6,7'</t>
  </si>
  <si>
    <t>'343'</t>
  </si>
  <si>
    <t>The Future of Modular Architecture</t>
  </si>
  <si>
    <t>TH4820 .W355 2021</t>
  </si>
  <si>
    <t>'1,18,115,119,266,268'</t>
  </si>
  <si>
    <t>Bizarre Medicine: Unusual Treatments and Practices Through the Ages</t>
  </si>
  <si>
    <t>R706 .E547 2022</t>
  </si>
  <si>
    <t>'22,23,24,25,26,27,28,29,30,31,32,33,36,8,9,10,11,88,90,87,91,93'</t>
  </si>
  <si>
    <t>Current Trends and Future Developments on (Bio-) Membranes : Transport Phenomena in Membranes</t>
  </si>
  <si>
    <t>QH509 .C877 2022</t>
  </si>
  <si>
    <t>'110,111,112,113,114,115,116,117,118,119,120,121,122,123,124,125,126,127,128,129'</t>
  </si>
  <si>
    <t>Otherlands : A Journey Through Earth's Extinct Worlds</t>
  </si>
  <si>
    <t>Random House Publishing Group</t>
  </si>
  <si>
    <t>'1,,6,,287,,210,,1'</t>
  </si>
  <si>
    <t>'1,2,3,4,5,6,7,8,10,11,13,13,1'</t>
  </si>
  <si>
    <t>Genetic Diseases of the Eye</t>
  </si>
  <si>
    <t>RE906 -- .G39 2012eb</t>
  </si>
  <si>
    <t>'1,2,3,4,5,6,7,8,9,10,11,12,13,14,15,16,18,19,20,21,22,23'</t>
  </si>
  <si>
    <t>Ottoman Cairo : Religious Architecture from Sultan Selim to Napoleon</t>
  </si>
  <si>
    <t>NA1373.S5 K375 2021</t>
  </si>
  <si>
    <t>'1,2,3,4,6,7,8,9,10,11,12,13,14,15,17,20,23,22,24,25,26,29'</t>
  </si>
  <si>
    <t>Ecology, Revised and Expanded : A Pocket Guide</t>
  </si>
  <si>
    <t>QH541.13 -- .C35 2008eb</t>
  </si>
  <si>
    <t>'20,24'</t>
  </si>
  <si>
    <t>Pollution in the Black Sea : Observations about the Ocean's Pollution</t>
  </si>
  <si>
    <t>Science; Environmental Studies; Science: Geology</t>
  </si>
  <si>
    <t>GC1-1581</t>
  </si>
  <si>
    <t>'93,94'</t>
  </si>
  <si>
    <t>What Cannot Be Undone : True Stories of a Life in Medicine</t>
  </si>
  <si>
    <t>University of New Mexico Press</t>
  </si>
  <si>
    <t>PR1175 .R635 2022</t>
  </si>
  <si>
    <t>'1,4,7,9'</t>
  </si>
  <si>
    <t>'1,2,3,4,6,14'</t>
  </si>
  <si>
    <t>'1,2,3,4,5,6,7,1,2,3,4,5,6,7,14,15,16,17,18,19,20,21,22,23,24,25,26,27,28,29,30,31,32,33,34,35,36,37,38,39'</t>
  </si>
  <si>
    <t>'1,3,2,4,5,6,7,8,10,12,16'</t>
  </si>
  <si>
    <t>'1,113,114,115,116'</t>
  </si>
  <si>
    <t>Digital Literacies and Interactive Media : A Framework for Multimodal Analysis</t>
  </si>
  <si>
    <t>P96.M4 A385 2023</t>
  </si>
  <si>
    <t>'1,2,3,4,6,7,9,10,110,111,112'</t>
  </si>
  <si>
    <t>Principles and Choice of Laser Treatment in Dermatology : With Special Reference to the Asian Population</t>
  </si>
  <si>
    <t>RL1-803</t>
  </si>
  <si>
    <t>'1,18,19,20,21,22,23,24,95,96,97,98,99,100,101,103,104,105,240,241,242,243,244,245,246,247,248,249,250,251,252,253,254,255,256,257'</t>
  </si>
  <si>
    <t>The Student EQ Edge : Emotional Intelligence and Your Academic and Personal Success</t>
  </si>
  <si>
    <t>BF576.S737 2013</t>
  </si>
  <si>
    <t>'1,32,33,34,35,36,41,42,43,44,46,53,55,56,57,58,60,61,51,49,54'</t>
  </si>
  <si>
    <t>Taxation and Gender Equity : A Comparative Analysis of Direct and Indirect Taxes in Developing and Developed Countries</t>
  </si>
  <si>
    <t>336.2009172/4</t>
  </si>
  <si>
    <t>HJ2351.7 -- .T385 2010eb</t>
  </si>
  <si>
    <t>'1,2,3,4,5,9,11,16,12,36,30,32,31,39,44,49,58,52,208,209,211,212,213,215,216,218,214,221,228,229,231,237,236,235,234,233,232,230,224,217,210,219,220,222,223,225,8,1,208,212,213,214,215,216,217,218,219,220,221,222,223,224,225,227,228,229,231,211'</t>
  </si>
  <si>
    <t>Investor Behavior : The Psychology of Financial Planning and Investing</t>
  </si>
  <si>
    <t>332.601/9</t>
  </si>
  <si>
    <t>HG4515.15 -- .I58 2014eb</t>
  </si>
  <si>
    <t>'1,13,19,4'</t>
  </si>
  <si>
    <t>Geological Carbon Storage : Subsurface Seals and Caprock Integrity</t>
  </si>
  <si>
    <t>Science; Engineering; Engineering: Environmental; Science: Geology</t>
  </si>
  <si>
    <t>QE516.C37 .G465 2019</t>
  </si>
  <si>
    <t>'1,1,72,71,73,73,72,75,77,78'</t>
  </si>
  <si>
    <t>'13,17,19,20'</t>
  </si>
  <si>
    <t>Modular Robots + Synchronous Robots + Multi-arm Robots</t>
  </si>
  <si>
    <t>TJ211 -- .M64 2003eb</t>
  </si>
  <si>
    <t>'1,2,3,4,5,6,7,8,9,10,11,12,13,14,15,16,17,18,19'</t>
  </si>
  <si>
    <t>Mozilla/5.0 (Windows NT 10.0; WOW64) AppleWebKit/537.36 (KHTML, like Gecko) Chrome/102.0.0.0 Safari/537.36</t>
  </si>
  <si>
    <t>'13,14,,13,13,14,15,16,17,18'</t>
  </si>
  <si>
    <t>Mozilla/5.0 (Windows NT 10.0; Win64; x64) AppleWebKit/537.36 (KHTML, like Gecko) Chrome/105.0.0.0 Safari/537.36 Edg/105.0.1343.42</t>
  </si>
  <si>
    <t>Fault-Tolerant Attitude Control of Spacecraft</t>
  </si>
  <si>
    <t>TL3260 .H8 2021</t>
  </si>
  <si>
    <t>Perfume</t>
  </si>
  <si>
    <t>GT2340 .V657 2022</t>
  </si>
  <si>
    <t>'76,,76,77,78,79'</t>
  </si>
  <si>
    <t>The Autoimmune Protocol Meal Prep Cookbook : Weekly Meal Plans and Nourishing Recipes That Make Eating Healthy Quick and Easy</t>
  </si>
  <si>
    <t>Quarto Publishing Group USA</t>
  </si>
  <si>
    <t>Home Economics; Medicine</t>
  </si>
  <si>
    <t>RC600 .T544 2020</t>
  </si>
  <si>
    <t>'178,179,180,183,184,189,13,13'</t>
  </si>
  <si>
    <t>'1,1,55,56,57,58,59,60,61,62,63,64,28,35,36,37,37,38,39,40,75,76,77,78,79,80,64'</t>
  </si>
  <si>
    <t>Advanced Materials for Electromagnetic Shielding : Fundamentals, Properties, and Applications</t>
  </si>
  <si>
    <t>TK7867.8 .A383 2019</t>
  </si>
  <si>
    <t>Mozilla/5.0 (Windows NT 10.0; Win64; x64; rv:104.0) Gecko/20100101 Firefox/104.0</t>
  </si>
  <si>
    <t>Estimating Building Costs for the Residential and Light Commercial Construction Professional : For the Residental and Light Commerical Construction Professional</t>
  </si>
  <si>
    <t>R. S. Means Company, Incorporated</t>
  </si>
  <si>
    <t>692/.5</t>
  </si>
  <si>
    <t>TH435 -- .D355 2012eb</t>
  </si>
  <si>
    <t>Flow Manufacturing -- What Went Right, What Went Wrong : 101 Mini-Case Studies That Reveal Lean's Successes and Failures</t>
  </si>
  <si>
    <t>'2,1,23,22,21,26,25,27,28,29,24'</t>
  </si>
  <si>
    <t>'1,2,3,,1,10,11,9,8,11'</t>
  </si>
  <si>
    <t>Arabic for Beginners : A Guide to Modern Standard Arabic (with Downloadable Flash Cards and Free Online Audio)</t>
  </si>
  <si>
    <t>PJ6307 .R574 2022</t>
  </si>
  <si>
    <t>'1,2,5,4,7,8,9,10,11,12,13,14,15,16,17,18,19,20,21,23,24,22,25,26,27,28,29,30,31,32'</t>
  </si>
  <si>
    <t>'1,3,13,17,16,14,20,20,20,22,22'</t>
  </si>
  <si>
    <t>'1,2,71,71,1'</t>
  </si>
  <si>
    <t>The YouTube Formula : How Anyone Can Unlock the Algorithm to Drive Views, Build an Audience, and Grow Revenue</t>
  </si>
  <si>
    <t>TK5105.887 .E94 2021</t>
  </si>
  <si>
    <t>'1,2,3,4,6,7,8,9,10,11,12,13,14,15,16,17'</t>
  </si>
  <si>
    <t>Basic Clinical Radiobiology</t>
  </si>
  <si>
    <t>RM847.B36 2014</t>
  </si>
  <si>
    <t>Cable-Driven Parallel Robots : Proceedings of the 4th International Conference on Cable-Driven Parallel Robots</t>
  </si>
  <si>
    <t>'295,296,298,299,299,295,241,241,308,309,310,311,312,313,295,296'</t>
  </si>
  <si>
    <t>Being Alive : Essays on Movement, Knowledge and Description</t>
  </si>
  <si>
    <t>GN33 .I546 2022</t>
  </si>
  <si>
    <t>'1,110,112,106,107,108,111,113,115,117,118,119,120,121,123,124,125,126,127,129,130,131,132,133,134,135,136,137,138,140,141,143,144,146'</t>
  </si>
  <si>
    <t>Yoga Therapy for Stroke : A Handbook for Yoga Therapists and Healthcare Professionals</t>
  </si>
  <si>
    <t>RM727.Y64 .S365 2019</t>
  </si>
  <si>
    <t>'1,,1,3,20,21'</t>
  </si>
  <si>
    <t>Reinforcement Learning with TensorFlow : A Beginner's Guide to Designing Self-Learning Systems with TensorFlow and OpenAI Gym</t>
  </si>
  <si>
    <t>Q325.6 .D888 2018</t>
  </si>
  <si>
    <t>'74,74,74,74,74,74,74,74,74,74'</t>
  </si>
  <si>
    <t>Mozilla/5.0 (X11; Ubuntu; Linux x86_64; rv:104.0) Gecko/20100101 Firefox/104.0</t>
  </si>
  <si>
    <t>'1,1,72,74,75,77,76,78'</t>
  </si>
  <si>
    <t>'74,74,75'</t>
  </si>
  <si>
    <t>Mozilla/5.0 (iPad; CPU OS 15_1 like Mac OS X) AppleWebKit/605.1.15 (KHTML, like Gecko) CriOS/105.0.5195.147 Mobile/15E148 Safari/604.1</t>
  </si>
  <si>
    <t>'460,461,462,463,464,465,466,467,468,469,470,471,472,473,474,475,476,477,,210,211,212,213,214,215,216,217,218,219,220,221,222,223,224,225,226,227,228,229,230,231,232,233,234,235,236,237,238,239,240,241,,418,419,420,421,422,423,424,425,426,427,428,429,430,431,432,433,434,435,436,437,438,439,440,441,442,443,444,445,446,447,448,449,450,451,452,453,454,455,456,457,458,459'</t>
  </si>
  <si>
    <t>'1,4,2,81,109,118,119,120,121,122,123,124,125,117,115'</t>
  </si>
  <si>
    <t>Major Challenges Facing Higher Education in the Arab World: Quality Assurance and Relevance</t>
  </si>
  <si>
    <t>LB2300-2799.3</t>
  </si>
  <si>
    <t>'1,5,6,7,8,9,10,11,12,18,17'</t>
  </si>
  <si>
    <t>Schooling Islam : The Culture and Politics of Modern Muslim Education</t>
  </si>
  <si>
    <t>BP44 -- .S38 2007eb</t>
  </si>
  <si>
    <t>'1,1,6,5,15,7,16,115,114,25,26,27,28,15,15'</t>
  </si>
  <si>
    <t>'1,16,20,19,22,23,24,25,26,27,28,29,31,32,33,34,35,36,37,38,39,40,41,42,43,45,44,46,47,49,51,50,52,53,54,55,56,57,85,83,82,81,84,86,87,88,89,90,91,92,93,94,95,97,109,110,111,112,113,114,115,123,122,121,124,125'</t>
  </si>
  <si>
    <t>Democracy and Public Administration in Pakistan</t>
  </si>
  <si>
    <t>JQ629.A58.I436 2014</t>
  </si>
  <si>
    <t>'1,,22,23,24,32,33,25,26,27'</t>
  </si>
  <si>
    <t>The Women's Movement in Pakistan : Activism, Islam and Democracy</t>
  </si>
  <si>
    <t>BP173.4 .K436 2018</t>
  </si>
  <si>
    <t>'1,2,39,40,41,42,43,44,45,45,46,47,47,47,45,48,48,55,54,56'</t>
  </si>
  <si>
    <t>Battery Technologies : Materials and Components</t>
  </si>
  <si>
    <t>TK2910 .M3 2021</t>
  </si>
  <si>
    <t>'1,1,3,7,8,9,10,11'</t>
  </si>
  <si>
    <t>'76,45,46,40,41,42,43,44,47,48,49,50,51,52,55,56,57,58,64,65,66,68,75,77,78,79,80,94,111,112,113,115,116'</t>
  </si>
  <si>
    <t>Rechargeable Batteries : History, Progress, and Applications</t>
  </si>
  <si>
    <t>Engineering: Electrical; Science; Engineering; Science: Physics</t>
  </si>
  <si>
    <t>QC605$b.R434 2020</t>
  </si>
  <si>
    <t>'1,1,2,3,,9,10,12,11'</t>
  </si>
  <si>
    <t>Democracy : A History of Ideas</t>
  </si>
  <si>
    <t>UBC Press</t>
  </si>
  <si>
    <t>JC421 -- .D48 2000eb</t>
  </si>
  <si>
    <t>'1,2,11,10,12,13,15,16,17,18'</t>
  </si>
  <si>
    <t>Islam Explained</t>
  </si>
  <si>
    <t>Marshall Cavendish International (Asia) Pte, Limited</t>
  </si>
  <si>
    <t>BP161.3 -- .K33 2006eb</t>
  </si>
  <si>
    <t>'1,35,36,37,138,139'</t>
  </si>
  <si>
    <t>'1,1,28,29,30,27,31,32,34,35,36,40,41,42,69,37,38,39,45'</t>
  </si>
  <si>
    <t>Road to Pakistan : The Life and Times of Mohammad Ali Jinnah</t>
  </si>
  <si>
    <t>DS385.J5 -- N33 2010eb</t>
  </si>
  <si>
    <t>'1,2,3,25,27,9,19,34,46,56,242,243,261,262,263,271,272,321,333,334,337'</t>
  </si>
  <si>
    <t>The Blackwell Companion to Contemporary Islamic Thought</t>
  </si>
  <si>
    <t>BP161.3.B56 2006</t>
  </si>
  <si>
    <t>'1,354,353,355,356,357,358,359,360,361,362,363,364'</t>
  </si>
  <si>
    <t>What is Veiling?</t>
  </si>
  <si>
    <t>297.5/76</t>
  </si>
  <si>
    <t>BP190.5.H44</t>
  </si>
  <si>
    <t>'1,,1,5'</t>
  </si>
  <si>
    <t>Islamic Knowledge and the Making of Modern Egypt</t>
  </si>
  <si>
    <t>Education; Religion</t>
  </si>
  <si>
    <t>LC911.E3 .K356 2020</t>
  </si>
  <si>
    <t>'1,2,3,4,4,5'</t>
  </si>
  <si>
    <t>Mozilla/5.0 (iPad; CPU OS 12_4_1 like Mac OS X) AppleWebKit/605.1.15 (KHTML, like Gecko) Version/12.1.2 Mobile/15E148 Safari/604.1</t>
  </si>
  <si>
    <t>The Domestication of Desire : Women, Wealth, and Modernity in Java</t>
  </si>
  <si>
    <t>306/.09598/2</t>
  </si>
  <si>
    <t>GN635.I65 -- B69 1998eb</t>
  </si>
  <si>
    <t>After Secular Law</t>
  </si>
  <si>
    <t>201/.72</t>
  </si>
  <si>
    <t>BL65</t>
  </si>
  <si>
    <t>'1,238,239,240,241,242,243,244,245,246,247,248'</t>
  </si>
  <si>
    <t>'1,147,146,148,149'</t>
  </si>
  <si>
    <t>'1,3,22,24,25,26,27,28,29,30,31,32,33,34,35,36,37'</t>
  </si>
  <si>
    <t>Torn Country : Turkey between Secularism and Islamism</t>
  </si>
  <si>
    <t>Hoover Institution Press</t>
  </si>
  <si>
    <t>324.2561/04</t>
  </si>
  <si>
    <t>JQ1809.A8 -- A433 2010eb</t>
  </si>
  <si>
    <t>'1,73,74,75,76,77,77,78,76,93,94,95,96,97,98,99,100,101,102,103,104,105,91,90,89,88,87,92'</t>
  </si>
  <si>
    <t>'1,2,4,5,6,8,9,10,11,12,14,16,17,18,19,20,21,22,23,24,25,26,27,28,29,30,31,33,34,35,36,37,38,39,40,41,42,43,44,45,46,47,48,49,50,51,52,53,54,56,57,58,59,60'</t>
  </si>
  <si>
    <t>Global Muslims in the Age of Steam and Print</t>
  </si>
  <si>
    <t>DS34.G46 2014eb</t>
  </si>
  <si>
    <t>'1,2,3,4,5,6,7,8,9'</t>
  </si>
  <si>
    <t>Democracy : A Life</t>
  </si>
  <si>
    <t>JC75.D36 .C378 2016</t>
  </si>
  <si>
    <t>'1,3,5,6,7,8,9,10,11,12,13,18,17,19,20,21'</t>
  </si>
  <si>
    <t>A Convergence of Civilizations : The Transformation of Muslim Societies Around the World</t>
  </si>
  <si>
    <t>Religion; Business/Management</t>
  </si>
  <si>
    <t>HB3660.5.A3 -- C6813 2011eb</t>
  </si>
  <si>
    <t>'1,22,23,24,25,26,38,39,40,41,42,43,45'</t>
  </si>
  <si>
    <t>Human Rights, Revolution, and Reform in the Muslim World</t>
  </si>
  <si>
    <t>323.0917/67</t>
  </si>
  <si>
    <t>JC599.I67 -- C47 2012eb</t>
  </si>
  <si>
    <t>'183,200,194,195,196,197,198'</t>
  </si>
  <si>
    <t>'19,20,21,22,23,24,25,26,27,28,29,30,31,32,33,34,35,36,37,38,39,40,41,42,43,44,45,46,47,48,49,50,51,52,53,54,55,56,57,58,59,60,61,62,63,64,65,66,66,66,66,66,66,66,66,66,66,66,66,66,66,66,66,66,66,66,66'</t>
  </si>
  <si>
    <t>Social Theory and Later Modernities : The Turkish Experience</t>
  </si>
  <si>
    <t>Rethinking Islam and Liberal Democracy : Islamist Women in Turkish Politics</t>
  </si>
  <si>
    <t>305.42/09561</t>
  </si>
  <si>
    <t>HQ1236.5.T9 -- A733 2005eb</t>
  </si>
  <si>
    <t>'1,4,26,27,28,29,30'</t>
  </si>
  <si>
    <t>'1,,1,3,4,5,6,7,8,183'</t>
  </si>
  <si>
    <t>Economics of the Fourth Industrial Revolution : Internet, Artificial Intelligence and Blockchain</t>
  </si>
  <si>
    <t>HC79.T4$b.J646 2021</t>
  </si>
  <si>
    <t>The Encyclopedia of the Industrial Revolution in World History</t>
  </si>
  <si>
    <t>Geography/Travel; Business/Management</t>
  </si>
  <si>
    <t>HD2324 .E546 2014</t>
  </si>
  <si>
    <t>'1,2,14,,32,33,34,35,,35,34,36,68,100,81,82'</t>
  </si>
  <si>
    <t>Essential Spaceflight Dynamics and Magnetospherics</t>
  </si>
  <si>
    <t>'1,1,124,188,187,185,366'</t>
  </si>
  <si>
    <t>'1,2,135,136,135,136,137,138,13,14,15,16,17,18,19,20,21,22,23,24,119,120,121,122,123,124,125'</t>
  </si>
  <si>
    <t>'135'</t>
  </si>
  <si>
    <t>'1,2,,2,26,27,28,29,30,31,32,4,5,6,7,8'</t>
  </si>
  <si>
    <t>'26,27'</t>
  </si>
  <si>
    <t>Women, Religion, and the State in Contemporary Turkey</t>
  </si>
  <si>
    <t>HQ1170 .M375 2020</t>
  </si>
  <si>
    <t>'148,149,288,289,289,289,289'</t>
  </si>
  <si>
    <t>'1,4,6,7,9,12,11,13,14,15,16,17,18,19,10'</t>
  </si>
  <si>
    <t>The Shorter Routledge Encyclopedia of Philosophy</t>
  </si>
  <si>
    <t>B51 -- .S55 2005eb</t>
  </si>
  <si>
    <t>'1,1,1,355,365,366,366,366,8'</t>
  </si>
  <si>
    <t>'148,149,150,46,45,47,48,50,51,49'</t>
  </si>
  <si>
    <t>'1,190,191,192,194,195,196,197'</t>
  </si>
  <si>
    <t>The Islamic Roots of Democratic Pluralism</t>
  </si>
  <si>
    <t>297.2/8</t>
  </si>
  <si>
    <t>BP163.S285 2001</t>
  </si>
  <si>
    <t>'46,47,48,49,50,,148,149,150,151,152'</t>
  </si>
  <si>
    <t>Mozilla/5.0 (Linux; Android 12; SM-F711B) AppleWebKit/537.36 (KHTML, like Gecko) Chrome/99.0.4844.88 Mobile Safari/537.36</t>
  </si>
  <si>
    <t>Guidance And Control</t>
  </si>
  <si>
    <t>TL3250.G85 1962</t>
  </si>
  <si>
    <t>'1,1,14,559,1,1'</t>
  </si>
  <si>
    <t>Advances in Bioenergy : The Sustainability Challenge</t>
  </si>
  <si>
    <t>333.95/39</t>
  </si>
  <si>
    <t>HD9502.5.B542A386</t>
  </si>
  <si>
    <t>'1,2,3,4,14,78,18,19,20,21,22,23,24,25,26,27,28,30,32,33,34,35,36'</t>
  </si>
  <si>
    <t>'1,190,191,192,193,194,195,196,197,198,199,200,201'</t>
  </si>
  <si>
    <t>'190,197'</t>
  </si>
  <si>
    <t>Women and Gender in Islam : Historical Roots of a Modern Debate</t>
  </si>
  <si>
    <t>305.48/6971</t>
  </si>
  <si>
    <t>HQ1784 .A364 2021</t>
  </si>
  <si>
    <t>'1,5,225,226,226,226,226,64,227,297,273,298,298,18,23,24,23'</t>
  </si>
  <si>
    <t>'19,20,21,22,23,24,25,26,27,28,29,30,31,32,33,34,35,36,37,38,39,40,41,42,43,44,45,46,47,48,49,50,51,52,53,54,55,56,57,58,59,60,61,62,63,64,65,66,66,66,66,66'</t>
  </si>
  <si>
    <t>'1,1,323,,323,237,323,323,274,278,279,329,22,23,22,23,,23,23,21,53,53,53,53,270,31,131,131,22,22'</t>
  </si>
  <si>
    <t>'1,1,60,121,211,274,,274,274,288,306,306,306,334,334,335,336,337,342,341,340,339,338,343,344,345,346,347,,338,306,306,334,334'</t>
  </si>
  <si>
    <t>'1,,1,1,4,4,57,107,242'</t>
  </si>
  <si>
    <t>'96,96,40,69,107,132,227,227,,227,96,96,97,98,99,100,96,98,99,103,108,111'</t>
  </si>
  <si>
    <t>'1,,1,1,12,12,12,13'</t>
  </si>
  <si>
    <t>'6,7,14,15,16,17,18,19,20,21,22,23,24,25,26,27,28'</t>
  </si>
  <si>
    <t>Physics and Chemistry of Graphene (Second Edition) : Graphene to Nanographene</t>
  </si>
  <si>
    <t>Engineering; Science: Chemistry; Engineering: Civil; Science</t>
  </si>
  <si>
    <t>TA455.G65 .P497 2020</t>
  </si>
  <si>
    <t>'6,7,8,9,10'</t>
  </si>
  <si>
    <t>'6,7,153,154,155,156,226,227,228,229,230,231,232,233,234,235,236,237,238,239,240'</t>
  </si>
  <si>
    <t>'1,91,92,93,105,106,107,142,143,144,145,146,147'</t>
  </si>
  <si>
    <t>'1,167,168,169,170,246,247,249,250,251,252,253,254,255,257,258,259,260,261,262,263,264,265,266,267,268'</t>
  </si>
  <si>
    <t>Postmodernism and Islam : Predicament and Promise</t>
  </si>
  <si>
    <t>297/.09/0511</t>
  </si>
  <si>
    <t>BP163 .A347 2013</t>
  </si>
  <si>
    <t>'1,2,202,203,204,205,206,207,208'</t>
  </si>
  <si>
    <t>'76,78'</t>
  </si>
  <si>
    <t>'1,3,6,20,21,22,23,24,27'</t>
  </si>
  <si>
    <t>Data Visualization, Volume II : Uncovering the Hidden Pattern in Data Using Basic and New Quality Tools</t>
  </si>
  <si>
    <t>General Works/Reference; Computer Science/IT</t>
  </si>
  <si>
    <t>QA76.9.I52 .S243 2017</t>
  </si>
  <si>
    <t>Why Muslims Lagged Behind and Others Progressed</t>
  </si>
  <si>
    <t>Austin Macauley Publishers</t>
  </si>
  <si>
    <t>DS36.85 .Q74 2021</t>
  </si>
  <si>
    <t>'1,2,57,58,59,69'</t>
  </si>
  <si>
    <t>Islam's Predicament with Modernity : Religious Reform and Cultural Change</t>
  </si>
  <si>
    <t>297.2/7</t>
  </si>
  <si>
    <t>BP161.3 -- .T53 2009eb</t>
  </si>
  <si>
    <t>'1,2,52,52,28,52,52,,1,2,195,196,197,198,199'</t>
  </si>
  <si>
    <t>Workability and Quality Control of Concrete</t>
  </si>
  <si>
    <t>620.1/360287</t>
  </si>
  <si>
    <t>TA440 -- .T27 1991eb</t>
  </si>
  <si>
    <t>'1,6,7,8,169,170,167,168,165,190,191,193,195,196,208,207,206,204,203,202,201,200,199,197,190,189'</t>
  </si>
  <si>
    <t>'190'</t>
  </si>
  <si>
    <t>Politics, Law, and Community in Islamic Thought : The Taymiyyan Moment</t>
  </si>
  <si>
    <t>JC49 .A755 2012</t>
  </si>
  <si>
    <t>'1,9,10,113,113,142,114'</t>
  </si>
  <si>
    <t>Cultures and / of Globalization</t>
  </si>
  <si>
    <t>HM621 -- .C85 2011eb</t>
  </si>
  <si>
    <t>'1,1,1,4'</t>
  </si>
  <si>
    <t>'76,76,75,77,78,79,81,82,83,84,73,72,74,71,70,68,35,36,38,40,41,42,43,44,45,46,47,48,49,50,51,53,52,54,55,80'</t>
  </si>
  <si>
    <t>'1,1,5,16,15,17,18,19,20'</t>
  </si>
  <si>
    <t>Women, Islam and Education in Iran</t>
  </si>
  <si>
    <t>NON000000</t>
  </si>
  <si>
    <t>'1,18,19,20,21,22'</t>
  </si>
  <si>
    <t>Unruly Women : Race, Neocolonialism, and the Hijab</t>
  </si>
  <si>
    <t>305.48/697073</t>
  </si>
  <si>
    <t>HQ1170 .S548 2022</t>
  </si>
  <si>
    <t>'1,49,29,28,27,26,25,24,23,16,17,17,18'</t>
  </si>
  <si>
    <t>'1,62,61,63,64,65,65,65,80,65,65,65,69,69,69,69,69,69,69,69,70,68,67,66,65,108'</t>
  </si>
  <si>
    <t>'1,4,73,74,73,50,74,74,74,91,74,74,74,74,74,74,77,29,30,33,49,50,51,52,53,54,55,56,73,72'</t>
  </si>
  <si>
    <t>'1,38,39,40,41,42,43,44,45,47,49,49,49,49,50,51,52,53,54,55,56,57,58,59,60,61,62,63,64,65,66,67,68,70,71,72,73,74,22,24,26,27,28,30,31,32,33,34,35'</t>
  </si>
  <si>
    <t>Bargaining for Women's Rights : Activism in an Aspiring Muslim Democracy</t>
  </si>
  <si>
    <t>HQ1236.5.I74 -- .K364 2015eb</t>
  </si>
  <si>
    <t>'1,,1,168,169,,169'</t>
  </si>
  <si>
    <t>The United States, International Law, and the Struggle Against Terrorism : International Vigilante?</t>
  </si>
  <si>
    <t>344.05/325</t>
  </si>
  <si>
    <t>K5256 -- .M36 2010eb</t>
  </si>
  <si>
    <t>'1,2,39'</t>
  </si>
  <si>
    <t>'1,3,4,5,6,7,8,9,10,32,22,23,24,25,26,30,31'</t>
  </si>
  <si>
    <t>'76,77,78,79,80,81,82,74,75'</t>
  </si>
  <si>
    <t>'1,142,143,144,144,144,145,225,225,226,227,228,229,230,232,233,235,237,239,240,241,243,245,247,248,249,250,252,253,255,257,259,261,260,262'</t>
  </si>
  <si>
    <t>In Their Time : A History of Feminism in Western Society</t>
  </si>
  <si>
    <t>305.42/09</t>
  </si>
  <si>
    <t>HQ1121 -- .L43 2001eb</t>
  </si>
  <si>
    <t>'1,,,,,208,248,209,210'</t>
  </si>
  <si>
    <t>'12,13,14,15,16,17,18,19,20,21,22,23,24,25,26,27,28,29,30,31,32,33,34,35,36,37,,66,67,68,69,70,71,72,73,74,75,76,77,78,79,80,81,82,83,84,85,86,87,88,89,90,91,92,93,,94,95,96,97,98,99,100,101,102,103,104,105,106,107,108,109,110,111,112,113,114,115,116,117,118,119,120,121,122,123,124,125,126,127,128,129,130,131'</t>
  </si>
  <si>
    <t>Historical Dictionary of the Lesbian and Gay Liberation Movements : Historical Dictionaries of Religions, Philosophies, and Movements Series</t>
  </si>
  <si>
    <t>HQ76.5 -- .M944 2013eb</t>
  </si>
  <si>
    <t>Sisters in the Mirror : A History of Muslim Women and the Global Politics of Feminism</t>
  </si>
  <si>
    <t>'1,2,3,5,6,7,7,265,266,268,271,273,275,277,278,280,282,284,286,287,,1,7,298,299,300,301,302'</t>
  </si>
  <si>
    <t>'1,2,3,8,9,10,10,10,10,11,11,11,12,13,14,15,17,18,19,20,21,22,23,24,25,25,25,25,25,25,26,27,28,29,30,31,32,33,34,35,36'</t>
  </si>
  <si>
    <t>'8,9,10,11'</t>
  </si>
  <si>
    <t>'96,97,98,99,100,101,102,103,104,105,106,107,109,110,111,112,113,114,115,116,117,118,119,120,121,,121,121,121,121,121,122,123,124,125,,125,124,123,122,121,121,118,117,116,113,110,109,108,107,105,104,103,101,102,106,112,114,115,119,120,121,121'</t>
  </si>
  <si>
    <t>Order and Compromise: Government Practices in Turkey from the Late Ottoman Empire to the Early 21st Century : Government Practices in Turkey from the Late Ottoman Empire to the Early 21st Century</t>
  </si>
  <si>
    <t>DR576.O74 2015</t>
  </si>
  <si>
    <t>'1,2,3,4,5,6,7,8,10,13,17,18,19,16,15,20,21,22,23,24,25,26,27,11,14,18,19,117,117,117'</t>
  </si>
  <si>
    <t>'1,64,63,65,66'</t>
  </si>
  <si>
    <t>'1,8,36,37,37,37,53,52'</t>
  </si>
  <si>
    <t>'36,37,38,39,40,41,42,43,44,45,46,47,48,49,50,51,52'</t>
  </si>
  <si>
    <t>Modern Islamic Political Thought : The Response of the Shi'i and Sunni Muslims to the Twentieth Century</t>
  </si>
  <si>
    <t>BP173.7 .I53 2005</t>
  </si>
  <si>
    <t>'1,2,,4'</t>
  </si>
  <si>
    <t>Islamic Political Thought</t>
  </si>
  <si>
    <t>BP173.7 .W388 2007</t>
  </si>
  <si>
    <t>'1,4,26,27,29,28,31,32,33,111,112,113,114,115,116'</t>
  </si>
  <si>
    <t>The History of Islamic Political Thought : From the Prophet to the Present</t>
  </si>
  <si>
    <t>JC49 -- .B58 2011eb</t>
  </si>
  <si>
    <t>'1,214,216,8,9,10,11,205,206,207'</t>
  </si>
  <si>
    <t>'1,144,145,146,161,162,186,187,188,189,190,191'</t>
  </si>
  <si>
    <t>'3,4,62,63,64,42,41,43,44,45,46,202,203,205,206,,206'</t>
  </si>
  <si>
    <t>'1,15,,1,1,63,55,56,56,,56,57,58,59,60,61,62,63,64,64,65,80,81,,81,38,271,271,60,80,81,219,123,91,257,258,259,260,261,262,263,264,265,16,15,17,18,19,19,22,20,21,23,23,23,39,40,41,42,43,44,45,46,47,45,35,46,47,48,49,50,51,53,54,54,,91,5,6,8,10,11,36,42,58,59,60,61,62,64,66,67,68,69,70,71,72,74,76,77,78,79,80,81,82,83,85,86'</t>
  </si>
  <si>
    <t>'263'</t>
  </si>
  <si>
    <t>'1,1,1,1,8,8,8,251,185,208,208,,44,20,21,214,215,,1,2,3,4,5,7,9,8,216,217,218,220,,220,27,51,53,53,54,54,65,,65,,65,67,68,69,70,71,72,128,129,130'</t>
  </si>
  <si>
    <t>Rise of Political Islam in Turkey</t>
  </si>
  <si>
    <t>RAND Corporation, The</t>
  </si>
  <si>
    <t>322/.109561</t>
  </si>
  <si>
    <t>BP63.T8 -- R33 2008eb</t>
  </si>
  <si>
    <t>'54,54,54'</t>
  </si>
  <si>
    <t>'1,186,144,145,146,147,148'</t>
  </si>
  <si>
    <t>'1,30,31,32,33,34,35,36,37,37,37,37,37,37,38,39,181,182,191,239,240,241,251,252,239,,,240,240,240,19,,19,30,32,32,32,33,34,35,36,37,38,39,40,41,43,44,,44,44,,44,30,116,117,118,119,120,146,147,148,149,150,151,152,153,154,155,156,157,159,330,331,332,333,334,335,336,338,337,339,340,341,342,343,344,345,346,347,348,349,350,351,352,353,354,355,,355,,330,331,332,333,334,335,336,337,338,339,340,341,342,169,170,171,166,165,168,172,173,174'</t>
  </si>
  <si>
    <t>'1,2,3,5,6,8,9,11,264,265,266,267,269,270,272,274,276,277,278,275'</t>
  </si>
  <si>
    <t>'264,264,264,264,265'</t>
  </si>
  <si>
    <t>'1,1,,1'</t>
  </si>
  <si>
    <t>'1,1,2,3,6,7,10,9,11,12,13,14,16,18,,,20,19,60,59,61,,61,62,63'</t>
  </si>
  <si>
    <t>Islamic Political Identity in Turkey</t>
  </si>
  <si>
    <t>320.5/5/09561</t>
  </si>
  <si>
    <t>BP173.7.Y375 2003</t>
  </si>
  <si>
    <t>'1,12,11,74,75,76,77,78,79,80,,77,,1'</t>
  </si>
  <si>
    <t>'1,10'</t>
  </si>
  <si>
    <t>'1,52,54,53,53,54,54,54,56,55,53,53,53,53,53,54,,54'</t>
  </si>
  <si>
    <t>'1,10,11,12,12,11,13,14,15,16,28,29,29,30,30,30,30,29,28,31,32,33,34,34,35,36,37,38,48,49,70,75,76,77,110,111,112,113,114,115,212,213,214,215,216,217,218,219,220,,221,221,214,260,272,274,10,13,23,25,11,,1,1,2,212,213,214,215,216,110,112,111,113,114,115,116,,117,33,33,36,34,35,212,214,215,215,216,217,218,219,220,221,223,224,227,228,230,232,110,112,111,113,33,28,,28,28,35,,28,212,215,110,111,113,112,115,116,116,62,62,91,90,89,86,87,88,85,84,83,81,74,71,70,48,48,48,11,12,13,14,15,17,18,19,20,21,22'</t>
  </si>
  <si>
    <t>'1,2,3,4,4,20,21,22,23,24,25,26,27,28,29,30,59,60,61,62,82,83,84,85,86,87,88,89,90,91,92,93,94,95,96,97,98,99,100,101,102,103,111,112,113,114,115,116,117,118,403,404,405'</t>
  </si>
  <si>
    <t>'1,2,3,16'</t>
  </si>
  <si>
    <t>'35,36,37'</t>
  </si>
  <si>
    <t>Women, Leadership, and Mosques : Changes in Contemporary Islamic Authority</t>
  </si>
  <si>
    <t>HQ1170.W598 2012</t>
  </si>
  <si>
    <t>'1,19,19,12,20,20,19,22,30,345,525,525,4,19,253,526,,526,1,197,5,1,139,140,219,220,232,232,232,232'</t>
  </si>
  <si>
    <t>Women's Writing and Muslim Societies : The Search for Dialogue, 1920 - Present</t>
  </si>
  <si>
    <t>University of Wales Press</t>
  </si>
  <si>
    <t>Social Science; Literature</t>
  </si>
  <si>
    <t>PN471</t>
  </si>
  <si>
    <t>'1,94,155,156,157,158,15,16,17,18,19,19'</t>
  </si>
  <si>
    <t>'1,8,9,7,11,12,13,14,15,16,10,17,19,20,21,22,23,24,25,26,27,28,30,31,32,33'</t>
  </si>
  <si>
    <t>'1,3,4,5,6,7,8,35,36,37,38,40,41,42,44,45,46,19,17,15,14,13,12,11,9,138,139,140,141,143,144,145,146,147,148'</t>
  </si>
  <si>
    <t>'1,52,54,55,56,55,55'</t>
  </si>
  <si>
    <t>Islam in the Era of Globalization : Muslim Attitudes Towards Modernity and Identity</t>
  </si>
  <si>
    <t>BP163 -- .I7525 2002eb</t>
  </si>
  <si>
    <t>'6,6,6,,6,7'</t>
  </si>
  <si>
    <t>'1,19,19,19'</t>
  </si>
  <si>
    <t>'96,96,96,,96,96,94,96,96,116,96,,96,96,80,97,125,98,99,100,101,102,103,104,105,101,101,100,102,103,104,105,106,107,108,109,110,111,112,113,114,115,116,118,119,121'</t>
  </si>
  <si>
    <t>'96,,96,96,102,101,101,118'</t>
  </si>
  <si>
    <t>Renewable Hydrogen Technologies : Production, Purification, Storage, Applications and Safety</t>
  </si>
  <si>
    <t>TP359.H8R46 2013</t>
  </si>
  <si>
    <t>'122,125,131,128,,1,98,122,97'</t>
  </si>
  <si>
    <t>'122,123,124,125,126,127,128,129,130,131,132,133,134,135,136,137,138,139,140,141,142,143,144,145'</t>
  </si>
  <si>
    <t>Lean Six Sigma for Higher Education</t>
  </si>
  <si>
    <t>HD56$b.L436 2019</t>
  </si>
  <si>
    <t>'1,2,3,4,5,7,28,54,55'</t>
  </si>
  <si>
    <t>Mozilla/5.0 (Macintosh; Intel Mac OS X 10_15_5) AppleWebKit/537.36 (KHTML, like Gecko) Chrome/105.0.0.0 Safari/537.36</t>
  </si>
  <si>
    <t>'2,3,4,5'</t>
  </si>
  <si>
    <t>'1,52,53,53,53,53,53,53,52,53,53,54,53,54,54,54,54,54,54,54,54,67,54,54,54,54'</t>
  </si>
  <si>
    <t>Waste : A Handbook for Management</t>
  </si>
  <si>
    <t>363.72/8</t>
  </si>
  <si>
    <t>TD897 -- .W3178 2011eb</t>
  </si>
  <si>
    <t>'1,282,282,1,2,4,4,11,16,15,122'</t>
  </si>
  <si>
    <t>Trajectories of Education in the Arab World : Legacies and Challenges</t>
  </si>
  <si>
    <t>370.17/4927</t>
  </si>
  <si>
    <t>LA1491 -- .T73 2010eb</t>
  </si>
  <si>
    <t>'1,4,6,,9,10,11,20,19,18,21,22'</t>
  </si>
  <si>
    <t>'1,2,12,74,75,76,77,79,80,81,83,84,85,86,87,88,89,90,91,92,93,94,95,96'</t>
  </si>
  <si>
    <t>'1,,1,1,1,1,1,52,53,54,55,56'</t>
  </si>
  <si>
    <t>'1,52,72,53,53,53,,1,1,52,53,54,56,53,53,53,53,54,56,55'</t>
  </si>
  <si>
    <t>'176,584,585,586,587'</t>
  </si>
  <si>
    <t>Qusayr 'Amra : Art and the Umayyad Elite in Late Antique Syria</t>
  </si>
  <si>
    <t>751.7/3/0956959</t>
  </si>
  <si>
    <t>'1,12,13,15,34,37'</t>
  </si>
  <si>
    <t>A Political and Economic Dictionary of Latin America</t>
  </si>
  <si>
    <t>JL951.A25 -- C34 2004eb</t>
  </si>
  <si>
    <t>'1,2,3,5,6,7,8,9,10,11,12,13,14,15,16,17,18,19,20,21,22,23,24,25,26,27,28,29,30,31,32'</t>
  </si>
  <si>
    <t>'234,235,236,237,238,239,240,241,242,243,244,245,246,247,248,249,250,251,252,253,254,255'</t>
  </si>
  <si>
    <t>'1,2,3,3,4,5,6,7,8,9,22,23'</t>
  </si>
  <si>
    <t>Ernst Herzfeld and the Development of near Eastern Studies 1900-1950</t>
  </si>
  <si>
    <t>956/.0072/02</t>
  </si>
  <si>
    <t>DS61.7.H47 -- E76 2005eb</t>
  </si>
  <si>
    <t>'1,2,3,4,5,6,7,8,14,68'</t>
  </si>
  <si>
    <t>'1,52,53'</t>
  </si>
  <si>
    <t>Facts and Fantasies : Images of Istanbul Women in the 1920s</t>
  </si>
  <si>
    <t>HQ1726.7.Z75 .T384 2015</t>
  </si>
  <si>
    <t>'1,2,3,5,1'</t>
  </si>
  <si>
    <t>Mozilla/5.0 (Macintosh; Intel Mac OS X 10_15_6) AppleWebKit/605.1.15 (KHTML, like Gecko) Version/15.2 Safari/605.1.15</t>
  </si>
  <si>
    <t>'1,98,97,99,100,101,102,122'</t>
  </si>
  <si>
    <t>'98,99,100,101,102,103,104,105,106,107,108,109,110,111,112,113,114,115,116,117,118,119,120,121'</t>
  </si>
  <si>
    <t>'1,3,47'</t>
  </si>
  <si>
    <t>English Poetry and Modern Arabic Verse : Translation and Modernity</t>
  </si>
  <si>
    <t>PR508.T75 .I853 2021</t>
  </si>
  <si>
    <t>'1,18'</t>
  </si>
  <si>
    <t>Kemalism in Turkish Politics : The Republican People's Party, Secularism and Nationalism</t>
  </si>
  <si>
    <t>324.2561/072</t>
  </si>
  <si>
    <t>DR590 -- .C53 2009eb</t>
  </si>
  <si>
    <t>'1,1,1,1,1,2,2,2,1,3,4,5,6,2,2,2,2,2,2,1,3,4,5,6,7,8,9,10,11,12,13,14,,14'</t>
  </si>
  <si>
    <t>The Making of Modern Turkey</t>
  </si>
  <si>
    <t>'1,2,3,4,5,5,5,,5,4,7,17,16,14,13,12,11,10,15,8'</t>
  </si>
  <si>
    <t>'1,2,4,12,14,22,21,21,21,22,23,23,23'</t>
  </si>
  <si>
    <t>Biofuel Production Using Anaerobic Digestion</t>
  </si>
  <si>
    <t>Mozilla/5.0 (Windows NT 6.3; Win64; x64) AppleWebKit/537.36 (KHTML, like Gecko) Chrome/104.0.5112.102 Safari/537.36</t>
  </si>
  <si>
    <t>Dictionary of Chemistry</t>
  </si>
  <si>
    <t>QD5 .H85 2014</t>
  </si>
  <si>
    <t>'369,371'</t>
  </si>
  <si>
    <t>'8,9,10,11,12,13,14,15,16,17,18,19,20,21,22,23,24,25,26,27,28,29,30,31,32,33,34,35,36,37,38,39,40,41,42,43,44,45,46,47,48,49,50,51,52,53,54,55,56,,57,58,59,60,61,62,63,64,65,66,67,68,69,70,71,72,73,74,75,,114,115,116,117,118,119,120,121,122,123,124,125,126,127,,170,171,172,173,174,175,176,177,178,179,180'</t>
  </si>
  <si>
    <t>'1,3,4,5,6,8,7,9,10,11,12,13'</t>
  </si>
  <si>
    <t>'1,1,3,5,6,7,8,9,11,12,13,14,15,16,17,103,101,96,82,68,52,47,41,26,27,28,29,29,29,26,29,33,30,31,32,34,35,36,37,38,39,40,41'</t>
  </si>
  <si>
    <t>'1,1,6,7,7,7,7,6,7,6,53,54,55,56,52,8,28,29,30,31,32,34,36,52,53'</t>
  </si>
  <si>
    <t>IMuslims : Rewiring the House of Islam</t>
  </si>
  <si>
    <t>University of North Carolina Press</t>
  </si>
  <si>
    <t>297.0285/4678</t>
  </si>
  <si>
    <t>BP40.5 -- .B857 2009eb</t>
  </si>
  <si>
    <t>'292,293,293,45,21,22,108'</t>
  </si>
  <si>
    <t>Islamicate Societies : A Case Study of Egypt and Muslim India Modernization, Colonial Rule, and the Aftermath</t>
  </si>
  <si>
    <t>Social Science; Geography/Travel</t>
  </si>
  <si>
    <t>HN786.A8 -- K37 2012eb</t>
  </si>
  <si>
    <t>'1,2,3,4,5,6,7,,,1,,1,2,4,3,,6,7,8,9,10'</t>
  </si>
  <si>
    <t>'7,8,9,10,11,12,13,14,15,16,17,18,19,20,21,22,23,,,1'</t>
  </si>
  <si>
    <t>Fundamentals of Light Microscopy and Electronic Imaging</t>
  </si>
  <si>
    <t>502/.8/2</t>
  </si>
  <si>
    <t>QH205.2 -- .M87 2012eb</t>
  </si>
  <si>
    <t>'1,,1,17,18,19,20,21,5,69,7,6,8,37,38,39,40,41,42,43,24,23,25,44,45,46,47'</t>
  </si>
  <si>
    <t>'1,10,9,11,12,13,14,15,16,17,18,19,20,167,166'</t>
  </si>
  <si>
    <t>'1,2,3,4,5,6,7,7,8,6,3,1,2'</t>
  </si>
  <si>
    <t>'387,369,372,374,376,377,379,378,382,381,385,384'</t>
  </si>
  <si>
    <t>'378,379,380,381,382,383,384,385,386,387,388,389,390,391,392,393,394,395,396,397,398,399,400,401,402,403,404,405,406,407,408,409,410,411,412,413,414,415,416,417,418,419,420,421'</t>
  </si>
  <si>
    <t>'1,19,35,32,450,426,,426'</t>
  </si>
  <si>
    <t>Newnes Electrical Power Engineer's Handbook</t>
  </si>
  <si>
    <t>TK147 .N56 2005eb</t>
  </si>
  <si>
    <t>'1,2,5,4,6,7,7,8,9,10,11,6,39,463,457,51,26,18,19,5,14,21,22,23,32,37,41,43,45,46,48,49,53,55,56,58,60,62,64,66,67,68,71,72,74,76,78,80,81,82,83,85,86,88,89,90,92,94,96,98,100,101,103,105,99,107,111,109,114,118,119,121,122,124,126,128,130,132,134,136,138,140,142,144,145,147,149,151,152,154,155,157,159,161,163,165,167,166,164,162,160,158,156'</t>
  </si>
  <si>
    <t>'1,3,20,21,21,21,21,21'</t>
  </si>
  <si>
    <t>'1,2,3,4,5,6,7,8,9,10,12,13,14,18,19,20,21,22,23,24,24,24,26,30,31,33,34,35,36,37,1,,1'</t>
  </si>
  <si>
    <t>'1,1,140,,140,140,138,133,129'</t>
  </si>
  <si>
    <t>Stroke</t>
  </si>
  <si>
    <t>616.8/1</t>
  </si>
  <si>
    <t>RC388.5 -- .S77 2013eb</t>
  </si>
  <si>
    <t>'1,49'</t>
  </si>
  <si>
    <t>'1,1,,1,1,20,21'</t>
  </si>
  <si>
    <t>The Internet of Women - Accelerating Culture Change : Accelerating Culture Change</t>
  </si>
  <si>
    <t>River Publishers</t>
  </si>
  <si>
    <t>HQ1155</t>
  </si>
  <si>
    <t>'1,2,3,4,5,6,7,8,12,15,107,106,35,40,48,51,54,55,56,57,58,59,60,62,63,64,65,66'</t>
  </si>
  <si>
    <t>Families and Social Change in the Gulf Region</t>
  </si>
  <si>
    <t>HM831 .F365 2021</t>
  </si>
  <si>
    <t>'91,92,93,94,95,96'</t>
  </si>
  <si>
    <t>Public Relations in the Gulf Cooperation Council Countries : An Arab Perspective</t>
  </si>
  <si>
    <t>HM1221 .P835 2019</t>
  </si>
  <si>
    <t>'1,2,3,4,5,6,7,7,154,149,147,145,136,133,131,130,129,132,134,135'</t>
  </si>
  <si>
    <t>Industrialization in the Gulf : A Socioeconomic Revolution</t>
  </si>
  <si>
    <t>HC415.3 -- .I53 2010eb</t>
  </si>
  <si>
    <t>'6,6,146,147,148,149,150,151,152,154,155,157,159,160,162,165,164,166,167,168,169,170,171,172,,6,1,,6,7,1,,6'</t>
  </si>
  <si>
    <t>Mozilla/5.0 (iPad; CPU OS 15_5 like Mac OS X) AppleWebKit/605.1.15 (KHTML, like Gecko) CriOS/105.0.5195.129 Mobile/15E148 Safari/604.1</t>
  </si>
  <si>
    <t>'6,7,8,9,176,178,178,179,179,180,181,162,165,167,164,163,161,158,158,157,156,155,176,178,179,180,181,174,172,170,169,168,167,166,165,164'</t>
  </si>
  <si>
    <t>'1,2,3,4,5,6,7,8,9,10,10,11,9,7,4,3,3,5,6,7,8,9,9'</t>
  </si>
  <si>
    <t>Frontiers in Advanced Materials</t>
  </si>
  <si>
    <t>'1,2,90,,1,2,4,5'</t>
  </si>
  <si>
    <t>State of Knowledge of the Use of Sorption Technologies for Nutrient Recovery from Municipal Wastewaters Nutrients</t>
  </si>
  <si>
    <t>TD745 -- .G739 2015eb</t>
  </si>
  <si>
    <t>'1,3,2,5,,9,12,14,17,2,12,60,61'</t>
  </si>
  <si>
    <t>Mozilla/5.0 (Macintosh; Intel Mac OS X 10_14_6) AppleWebKit/605.1.15 (KHTML, like Gecko) Version/13.1.1 Safari/605.1.15</t>
  </si>
  <si>
    <t>'1,20,13,3,4,5,6,7,,1,2,3,20,21'</t>
  </si>
  <si>
    <t>Stroke Recovery and Rehabilitation</t>
  </si>
  <si>
    <t>616.8/106</t>
  </si>
  <si>
    <t>RC388.5.S8543 2009</t>
  </si>
  <si>
    <t>'1,1,2,4,6,26,5,7,8,9,10,10,10,10,11,11,12,11,20,10,10,11,19,20,21,22,49,50,51,52,63,64,65,66,67,68'</t>
  </si>
  <si>
    <t>'10,64,64,64,64,65'</t>
  </si>
  <si>
    <t>'1,1,1,3'</t>
  </si>
  <si>
    <t>Agendas for 21st Century Engineers</t>
  </si>
  <si>
    <t>TA7 -- .A34 2013eb</t>
  </si>
  <si>
    <t>'1,2,11,12,113'</t>
  </si>
  <si>
    <t>'88,88,88,89,89'</t>
  </si>
  <si>
    <t>'87,88,89,90,91,92,93,94,95,96,97,98,99,100,101,102,103'</t>
  </si>
  <si>
    <t>'1,46,36,18,19,20,21,22,23,119,62,76,87,88,,88'</t>
  </si>
  <si>
    <t>Applied Techniques to Integrated Oil and Gas Reservoir Characterization : A Problem-Solution Discussion with Geoscience Experts</t>
  </si>
  <si>
    <t>TN870.57 .A675 2021</t>
  </si>
  <si>
    <t>'1,90,91,92,93,93,93'</t>
  </si>
  <si>
    <t>'1,,1,1,26,28,38,42,4,6,7,8,9,10,11,13'</t>
  </si>
  <si>
    <t>'48,49,50,51,52,53,54,55,56,57,58,59,60,61,62,,1,2,3,4,5,,6,7,,8,9,10,11,,12,,13,14,15,16,17,18,19,20,,48,49,50,51,52,53,54,55,56,57,58,59,60,61,62'</t>
  </si>
  <si>
    <t>'1,1,3,5,7,6,9,13,26,27,28,29,30'</t>
  </si>
  <si>
    <t>'26,26'</t>
  </si>
  <si>
    <t>'72'</t>
  </si>
  <si>
    <t>'1,1,74,72'</t>
  </si>
  <si>
    <t>'1,1,10,72,73,74,75,77,78,76,72,72,73,75,76'</t>
  </si>
  <si>
    <t>'1,1,72,71,74,75,1,1,72,,1,1,72,71'</t>
  </si>
  <si>
    <t>'1,1,72,73,74,75,77,78'</t>
  </si>
  <si>
    <t>'1,1,2,72,71,73,75,74,52'</t>
  </si>
  <si>
    <t>'1,4,5,6,75,77,78'</t>
  </si>
  <si>
    <t>'1,1,72,74,73,75,77,78,76'</t>
  </si>
  <si>
    <t>'1,1,1,72,72,48,73,74,75,77'</t>
  </si>
  <si>
    <t>'1,1,20,19,32,29,28,25,77,73,78,76,74,72,75,257,255,256,253,251,79'</t>
  </si>
  <si>
    <t>'1,1,72,74,73,75,77'</t>
  </si>
  <si>
    <t>'1,3,5,4'</t>
  </si>
  <si>
    <t>'182,183,184,185,186,187,188,189,190,191,192,193,194,195,196,197,198,199,200,201,202,203,204,205,206,207,208,209,210,211,212,213,214,215'</t>
  </si>
  <si>
    <t>'1,54,90'</t>
  </si>
  <si>
    <t>'54,74,90,91,92,93,94'</t>
  </si>
  <si>
    <t>'1,1,2,3,5,72,,72,72,72'</t>
  </si>
  <si>
    <t>'1,2,3,4,5,6,7,9,10,19,22,24,29,30,28,27,26,25,21,20,18,17,18,18,18,18'</t>
  </si>
  <si>
    <t>'17,17'</t>
  </si>
  <si>
    <t>Reinforced Plastics Handbook</t>
  </si>
  <si>
    <t>TP1177.R68 2004</t>
  </si>
  <si>
    <t>'1,38,34,34,16,14,17,8,9,10,5,4,6,7,11,12,13,997,996,1024,1039,1037,1036,1041,1042,1043,1044,1045'</t>
  </si>
  <si>
    <t>Comparing Religions Through Law : Judaism and Islam</t>
  </si>
  <si>
    <t>BM520.3 -- .N48 1999eb</t>
  </si>
  <si>
    <t>'1,33,33,34,35,36,38,40,41'</t>
  </si>
  <si>
    <t>The Politics of Turkish Democracy : Ismet Inonu and the Formation of the Multi-Party System, 1938-1950</t>
  </si>
  <si>
    <t>320.9561/09/044</t>
  </si>
  <si>
    <t>DR592.I5 -- V36 2005eb</t>
  </si>
  <si>
    <t>'1,2,3,4,5,6,7,7,7,8,9,10,11,12'</t>
  </si>
  <si>
    <t>The Richest Man in Babylon  (Original Classic Edition)</t>
  </si>
  <si>
    <t>G&amp;D Media</t>
  </si>
  <si>
    <t>HG179 .C537 2019</t>
  </si>
  <si>
    <t>'1,1,441,423,473,472,471,466,2,3,4,5,8,9,11,12,13,14,15,16,300,268,269,270,271,272,274,276,277,278,278,278,276,275,275'</t>
  </si>
  <si>
    <t>'275,276,277,278,279,280,281,282,283,284,285,286,287,288,289,290,291'</t>
  </si>
  <si>
    <t>'170'</t>
  </si>
  <si>
    <t>Arabs in History</t>
  </si>
  <si>
    <t>DS36.7 -- .L49 1993eb</t>
  </si>
  <si>
    <t>'1,2,26,27,28,29,30,31,32,95,43,44'</t>
  </si>
  <si>
    <t>'1,1,2,2'</t>
  </si>
  <si>
    <t>Machinability of Fibre-Reinforced Plastics</t>
  </si>
  <si>
    <t>TA418.9.C6 .B384 2015</t>
  </si>
  <si>
    <t>'1,11,4,6,8,5,3,2,2'</t>
  </si>
  <si>
    <t>'1,1,74,75'</t>
  </si>
  <si>
    <t>'1,31,31,31,32,33,34,35,36,37,38,39,40,41,42,43,44'</t>
  </si>
  <si>
    <t>'1,1,2,3,17'</t>
  </si>
  <si>
    <t>'1,1,2,3,18,18,18,18,18,18,18,19,4,5,6,7,8,26,1,1,,1,1,2,26'</t>
  </si>
  <si>
    <t>Routledge Handbook of Political Islam</t>
  </si>
  <si>
    <t>320.5/57</t>
  </si>
  <si>
    <t>DS63.1 -- .R68 2012eb</t>
  </si>
  <si>
    <t>'1,2,3,4,5,6,7,8,9,10,11,12,152,153,105,104,129,130,131,132,133,134,135,136,137,138,141,142,143,144,145,146,147,148,149,150,151,154,155,156,157,158'</t>
  </si>
  <si>
    <t>'1,1,2,3,4,5,6,7,8,9,10,135,136,137,138'</t>
  </si>
  <si>
    <t>Turkey, Islam, Nationalism, and Modernity : A History</t>
  </si>
  <si>
    <t>DR557 -- .F56 2010eb</t>
  </si>
  <si>
    <t>Microgrid Technologies</t>
  </si>
  <si>
    <t>TK3106 .S537 2021</t>
  </si>
  <si>
    <t>'1,2,3,4,5,28,29,30,31,32'</t>
  </si>
  <si>
    <t>Carbonate Reservoirs : Porosity and Diagenesis in a Sequence Stratigraphic Framework</t>
  </si>
  <si>
    <t>QE471.15.C3.M667 20</t>
  </si>
  <si>
    <t>'1,348,349,350,351,352,353,354,64,6,10,3,7,13,18,28,36,39,38,39,39,39,39,39,38,38,38,38,22,38,39,40,41,42,43'</t>
  </si>
  <si>
    <t>Advanced Electrical Installation Work, 6th Ed</t>
  </si>
  <si>
    <t>TK452 -- .L56 2011eb</t>
  </si>
  <si>
    <t>'7,9,,,,,10,12,6,89,91,93,95,97,98,99,100,101,103'</t>
  </si>
  <si>
    <t>'1,2,3,,4,,6,,,9,,10,11,12,13,14,15,16,17,18,19,20,21,22,23,24,25,26,27,28,29,30,31,32,33,34,35,36,37,38,39,40,41,,42,43,44,45,46,47,48,49,50,51,52,53,54,55'</t>
  </si>
  <si>
    <t>Advanced Electrical Installation Work : City and Guilds Edition</t>
  </si>
  <si>
    <t>621.319/24</t>
  </si>
  <si>
    <t>TK452 .L567 2020</t>
  </si>
  <si>
    <t>'1,1,2,990,991,1000,1001,999,1031,1023,1018,1017,1016,1016,29,91,96,97,114,113,198,197,990,991,992,993,994,995,996,997,998,1000,1001,1008,1014,1013,1012,1011,1010,1009,1007'</t>
  </si>
  <si>
    <t>'1,1,21,36,36,36,,1,1,36,37,40,41,42,43,44,45,46,2'</t>
  </si>
  <si>
    <t>'1,2,3,4,5,5,5,5,6,7,8,8,8,8,8,9,11,12,13,14,15,16,17,19,20'</t>
  </si>
  <si>
    <t>'1,1,15,15,19,32,,32,23,21,21,47,45,44,43,42,41,40,,1,1,2,3,4,4,7,8,9,10,11,13,14,16,18,18,19,20,22,24,26,28,29,30,31,32,33,34,35,36,37,38,39,40,41,42,43,44,45,46,47,48,49,50,51,52,53,54,55,57,58,60,61,62,63,64,65,66,67,68,69,70,71,72'</t>
  </si>
  <si>
    <t>Lung Cancer Screening</t>
  </si>
  <si>
    <t>616.99/424075</t>
  </si>
  <si>
    <t>RC280.L8 .L864 2018</t>
  </si>
  <si>
    <t>'3,3,,,3,3,3'</t>
  </si>
  <si>
    <t>'1,1,2,3,9,10,,3,3'</t>
  </si>
  <si>
    <t>Nanotechnology in Water and Wastewater Treatment : Theory and Applications</t>
  </si>
  <si>
    <t>TD442.5 .N36 2019</t>
  </si>
  <si>
    <t>'1,1,72,74,75,77,76,76'</t>
  </si>
  <si>
    <t>'1,1,2,3,4,5'</t>
  </si>
  <si>
    <t>'1,1,2,3,92,93,94,95,96,97,98,99,100,101'</t>
  </si>
  <si>
    <t>New Perspectives in Philosophy of Education : Ethics, Politics and Religion</t>
  </si>
  <si>
    <t>LB14.7+ -- .N497 2014eb</t>
  </si>
  <si>
    <t>Re-Imagining Relationships in Education : Ethics, Politics and Practices</t>
  </si>
  <si>
    <t>371.102/3</t>
  </si>
  <si>
    <t>LB1025.3 .G384 2014</t>
  </si>
  <si>
    <t>'250'</t>
  </si>
  <si>
    <t>Mozilla/5.0 (X11; Linux x86_64) AppleWebKit/537.36 (KHTML, like Gecko) Chrome/105.0.0.0 Safari/537.36</t>
  </si>
  <si>
    <t>'1,1,142,2,3,5,6,7,143,144,145,146,147,148'</t>
  </si>
  <si>
    <t>Mastering Python for Finance : Implement Advanced State-Of-the-art Financial Statistical Applications Using Python</t>
  </si>
  <si>
    <t>QA76.73.P98 .W456 2019</t>
  </si>
  <si>
    <t>'1,3,5,23,24,25,81,82,83,84,335,336,337,338'</t>
  </si>
  <si>
    <t>Geology of the Oman Mountains, Eastern Arabia</t>
  </si>
  <si>
    <t>QE1-996.5</t>
  </si>
  <si>
    <t>'1,1,164'</t>
  </si>
  <si>
    <t>Mozilla/5.0 (iPhone; CPU iPhone OS 15_7 like Mac OS X) AppleWebKit/605.1.15 (KHTML, like Gecko) Version/15.6,2 Mobile/15E148 Safari/604.1</t>
  </si>
  <si>
    <t>Mozilla/5.0 (Linux; Android 12; SM-T870) AppleWebKit/537.36 (KHTML, like Gecko) Chrome/105.0.0.0 Safari/537.36</t>
  </si>
  <si>
    <t>Renewable Integrated Power System Stability and Control</t>
  </si>
  <si>
    <t>TK1001 .G657 2021</t>
  </si>
  <si>
    <t>'127,128,129,130,131,132,133,134,135,136,137,138,139,140,141,142,143,144,145,146,147,148,149,150,151,152,153,154,155,156,157,158,159,160,161,162,163,164,165,166,167,168'</t>
  </si>
  <si>
    <t>'1,1,2,142,141,143,144,145'</t>
  </si>
  <si>
    <t>'144'</t>
  </si>
  <si>
    <t>Mozilla/5.0 (iPad; CPU OS 15_7 like Mac OS X) AppleWebKit/605.1.15 (KHTML, like Gecko) CriOS/105.0.5195.129 Mobile/15E148 Safari/604.1</t>
  </si>
  <si>
    <t>Biomaterials Science : An Introduction to Materials in Medicine</t>
  </si>
  <si>
    <t>R857.M3 -- B56 2013eb</t>
  </si>
  <si>
    <t>'1,2,3,49,95,96'</t>
  </si>
  <si>
    <t>Mechanical Properties of Polymers and Composites</t>
  </si>
  <si>
    <t>620.1/9204292</t>
  </si>
  <si>
    <t>TA455.P58 -- .N545 1993eb</t>
  </si>
  <si>
    <t>'484,485,486,487,488,489,490,491,492,493,494,495,496,497,498,499,500,501,502,503,504,505,506,507,508,509,510,511,512,513,514,515,516,517,518,519,520,521,522,523,524,525,526,527,528,529,530,531,532,533,534,535,536,537,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'</t>
  </si>
  <si>
    <t>'286,287,288,289,290,291,292,293,294,295,296,297,298,299,300,301,302,303,304,305,306,307,308,309,310,311,312,313,,256,257,258,259,260,261,262,263,264,265,266,267,268,269,270,271,272,273,274,275,276,277,278,279,280,281,282,283,284,285'</t>
  </si>
  <si>
    <t>Probability for Dummies</t>
  </si>
  <si>
    <t>QA273.15R86 2006</t>
  </si>
  <si>
    <t>'1,1,4,74,76,78'</t>
  </si>
  <si>
    <t>'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,360,361,362,363,364,365,366,367,368,369,370,371,372,373,374,375,376,377,378,379,380,381,382,383,384,385,386,387,388,389,390,391,392,393,394,395,396,397,398,399'</t>
  </si>
  <si>
    <t>'286,287,288,289,290,291,292,293,294,295,296,297,298,299,300,301,302,303,304,305,306,310,311,313'</t>
  </si>
  <si>
    <t>'178,179,180,181,182,183,184,185,186,187,188,189,190,191,192,193,194,195,196,197,198,199,200,201,202,203,204,205,,206,207,208,209,210,211,212,213,214,215,216,217,218,219,220,221,222,223,224,225,226,227,228,229,230,231,232,233,,314,315,316,317,318,319,320'</t>
  </si>
  <si>
    <t>Folklore and Folklife in the United Arab Emirates</t>
  </si>
  <si>
    <t>GR268.A73 H87 2013</t>
  </si>
  <si>
    <t>'1,1,2,103,104,105,106,107,108,109,110,111,112'</t>
  </si>
  <si>
    <t>Modern Literature of the United Arab Emirates</t>
  </si>
  <si>
    <t>Jagiellonian University Press</t>
  </si>
  <si>
    <t>PJ8006 -- .M53 2012eb</t>
  </si>
  <si>
    <t>'1,1,104,105,106'</t>
  </si>
  <si>
    <t>United Arab Emirates</t>
  </si>
  <si>
    <t>International Monetary Fund</t>
  </si>
  <si>
    <t>HG229</t>
  </si>
  <si>
    <t>'1,1,10,9,11,12,13,14'</t>
  </si>
  <si>
    <t>The Economy of the Gulf States</t>
  </si>
  <si>
    <t>Agenda Publishing</t>
  </si>
  <si>
    <t>HC415.3 .G739 2019</t>
  </si>
  <si>
    <t>'1,1,2,4,5,6,7,126,127,128,129,130,131,132,133,134,136,137,138,139'</t>
  </si>
  <si>
    <t>United Arab Emirates 1975/76-2018</t>
  </si>
  <si>
    <t>'1,1,435,434,338,337,339,340,341,342,343'</t>
  </si>
  <si>
    <t>'49,50,51,52,53,54,55,56,57,58,59,60,61,62,63,64,65,66,68,69,70,71,72,95,96,97,98,99,100,101,102,103,104,105'</t>
  </si>
  <si>
    <t>Corrosion Engineering : Principles and Solved Problems</t>
  </si>
  <si>
    <t>TA462 -- .P676 2015eb</t>
  </si>
  <si>
    <t>'1,1,49,50,51,52,53,54,55,56,57,59'</t>
  </si>
  <si>
    <t>Mozilla/5.0 (Macintosh; Intel Mac OS X 10_15_7) AppleWebKit/605.1.15 (KHTML, like Gecko) Version/15.0 Safari/605.1.15</t>
  </si>
  <si>
    <t>'1,,1,1,36,39,38,40,41,41,41,36,35,35'</t>
  </si>
  <si>
    <t>Mozilla/5.0 (Windows NT 10.0; WOW64) AppleWebKit/537.36 (KHTML, like Gecko) Chrome/104.0.0.0 Safari/537.36</t>
  </si>
  <si>
    <t>'1,2,17,13,13,7,7,13,14,15,12,11,9,17,18,16,20,17,17,18,18,18,18,17,18,17'</t>
  </si>
  <si>
    <t>Effective Scientific Communication : The Other Half of Science</t>
  </si>
  <si>
    <t>Q223 .H364 2020</t>
  </si>
  <si>
    <t>'32,33,34,35,36,37,38,39,40,41,42,43,44,45,46,47,48,49,50,51,52,53,54'</t>
  </si>
  <si>
    <t>'1,1,72'</t>
  </si>
  <si>
    <t>'72,74,76,78,,72,72'</t>
  </si>
  <si>
    <t>Mozilla/5.0 (Linux; Android 12; SM-M315F) AppleWebKit/537.36 (KHTML, like Gecko) Chrome/105.0.0.0 Mobile Safari/537.36</t>
  </si>
  <si>
    <t>'1,1,72,73,75,74,77'</t>
  </si>
  <si>
    <t>Mozilla/5.0 (Macintosh; Intel Mac OS X 10_15_7) AppleWebKit/537.36 (KHTML, like Gecko) Chrome/103.0.0.0 Safari/537.36</t>
  </si>
  <si>
    <t>'1,1,8,72,73,74,75,77,78,76,74'</t>
  </si>
  <si>
    <t>Mozilla/5.0 (Macintosh; Intel Mac OS X 10_15_7) AppleWebKit/537.36 (KHTML, like Gecko) Chrome/102.0.0.0 Safari/537.36</t>
  </si>
  <si>
    <t>'1,1,72,20,20,1,1,72,75,76,77,74,74,79,78,73,74,74'</t>
  </si>
  <si>
    <t>'1,1,72,74,75,76,78'</t>
  </si>
  <si>
    <t>'1,1,72,71,73,74,75,76,76,76,75,74,72,70,71,73,77,78'</t>
  </si>
  <si>
    <t>'1,1,5,72,73,74,76,78,79,80,82,75'</t>
  </si>
  <si>
    <t>'1,1,4,2,3,5,7,11,9,8,72,68,73,74,75,75'</t>
  </si>
  <si>
    <t>'1,1,2,72,71,73,75,77,78,74'</t>
  </si>
  <si>
    <t>'1,1,2,72,71,73,74,75,76,77,78'</t>
  </si>
  <si>
    <t>'1,1,2,72,74,75,77,76,78,73,,1,1,2,4,5,72,74,75'</t>
  </si>
  <si>
    <t>'1,1,72,73,74,75'</t>
  </si>
  <si>
    <t>Mozilla/5.0 (iPad; CPU OS 15_5 like Mac OS X) AppleWebKit/605.1.15 (KHTML, like Gecko) CriOS/105.0.5195.100 Mobile/15E148 Safari/604.1</t>
  </si>
  <si>
    <t>'1,1,72,74,75,77,78'</t>
  </si>
  <si>
    <t>'1,1,17,16,72,74,75'</t>
  </si>
  <si>
    <t>'72,74,76,78,75,73,77'</t>
  </si>
  <si>
    <t>'1,1,72,71,73,74,75,76,77,78,79,77'</t>
  </si>
  <si>
    <t>'1,1,72,74,75,72,74,75'</t>
  </si>
  <si>
    <t>'1,1,72,71,73,74,75,76,77,78'</t>
  </si>
  <si>
    <t>11th Hour : Introduction to Neuroscience</t>
  </si>
  <si>
    <t>612.8/0076</t>
  </si>
  <si>
    <t>QP356 -- .M34 2000eb</t>
  </si>
  <si>
    <t>'45,45'</t>
  </si>
  <si>
    <t>'16,17,18,19,20,21,22,23,24,25,26,27,28,29,,32,33,34,35,36,37,38,39,40,41,42,43,44,45,46,47,48,49,50,51,52,53,54,,55,56,57,58,59,60,61,62,63,64,65,66,67,68,69,70,71,72,73,74,75,76,77'</t>
  </si>
  <si>
    <t>'132'</t>
  </si>
  <si>
    <t>'32,33,34,35,36,37,38,39,40,41'</t>
  </si>
  <si>
    <t>Scientific and Technical Communication : Theory, Practice, and Policy</t>
  </si>
  <si>
    <t>Q223.S248 1997eb</t>
  </si>
  <si>
    <t>'20,21,22,23,24,25,26,27,28,29,30,31,32,33,34,35,36,37,38,39,40,41,42,43,44,45,46,47,48,49,50,51,52,53,54'</t>
  </si>
  <si>
    <t>'18,19,20,21'</t>
  </si>
  <si>
    <t>'132,132,132'</t>
  </si>
  <si>
    <t>'132,133,134,135,136,137,138,139,140,141,142,143,144,145,146,147,148,149,150,151,152,153,154,155,156,157,158,159,160,161,162,163,164,165,166,167,168,169,170,171,172,173,174,175,176,177,178,179,180,181,182,183,184,185,186,187,,,132,133,134,135,136,137,138,139,140,141,142,143,144,145,146,147,148,149,150,151,152,153,154,155,156,157,158,159,160,161,162,163,164,165,166,167,168,169,170,171,172,173,174,175,176,177,178,179,180,181,182,183,184,185,186,187,,132,133,134,135,136,137,138,139,140,141,142,143,144,145,146,147,148,149,150,151,152,153,154,155,156,157,158,159,160,161,162,163,164,165,166,167,168,169,170,171,172,173,174,175,176,177,178,179,180,181,182,183,184,185,186,187'</t>
  </si>
  <si>
    <t>Planning Middle Eastern Cities : An Urban Kaleidoscope</t>
  </si>
  <si>
    <t>HT169.M628 -- P58 2004eb</t>
  </si>
  <si>
    <t>Islam and the Politics of Secularism : The Caliphate and Middle Eastern Modernization in the Early 20th Century</t>
  </si>
  <si>
    <t>297.2/72095609041</t>
  </si>
  <si>
    <t>BP166.9 .A73 2012</t>
  </si>
  <si>
    <t>'1,2,3,,1'</t>
  </si>
  <si>
    <t>Fundamentals of Power Electronics</t>
  </si>
  <si>
    <t>'1,1,2,3,4,5,7,,1,1,1'</t>
  </si>
  <si>
    <t>Handbook of Industrial Crystallization</t>
  </si>
  <si>
    <t>TP156.C7H36 2002</t>
  </si>
  <si>
    <t>'1,1,72,71,73,74,75,76,77,78,1,1,1,1,1,1,72,74,75,77,78'</t>
  </si>
  <si>
    <t>Atlas of the Gulf States</t>
  </si>
  <si>
    <t>G2245.C33 2013eb</t>
  </si>
  <si>
    <t>'66,67,68,69'</t>
  </si>
  <si>
    <t>'66,67,,58,59,60,,94,95'</t>
  </si>
  <si>
    <t>'1,1,2,3,5,6,36,37,38,39,40,41,42,43,44,45,46,47,48,270,291,291,36,54,55'</t>
  </si>
  <si>
    <t>'36,37,38,39,40,41,42,43,44,45,46,47,48,49,50,51,52,53,54,55,56,57,58,59,60,61,62,63,64,65,66,67,68,69,70,71,72,73,74,75,76,77,78,79,80,81,82,83,84,85'</t>
  </si>
  <si>
    <t>Mozilla/5.0 (Windows NT 10.0; Win64; x64) AppleWebKit/537.36 (KHTML, like Gecko) Chrome/105.0.0.0 Safari/537.36 Edg/105.0.1343.33</t>
  </si>
  <si>
    <t>'1,1,2,,1,1,,1,1'</t>
  </si>
  <si>
    <t>'296'</t>
  </si>
  <si>
    <t>'1,1,3,127,128,128'</t>
  </si>
  <si>
    <t>Stability of Time-Delay Systems</t>
  </si>
  <si>
    <t>Springer Basel AG</t>
  </si>
  <si>
    <t>Materials Modelling Using Density Functional Theory : Properties and Predictions</t>
  </si>
  <si>
    <t>TA403.6.G587 2014eb</t>
  </si>
  <si>
    <t>'1,2,3,5,83,85,86,87,88,89,275,276,68,20,13'</t>
  </si>
  <si>
    <t>Mozilla/5.0 (Macintosh; Intel Mac OS X 10.11; rv:78.0) Gecko/20100101 Firefox/78.0</t>
  </si>
  <si>
    <t>Light Alloys : From Traditional Alloys to Nanocrystals</t>
  </si>
  <si>
    <t>Engineering: Chemical; Engineering; Engineering: Mining</t>
  </si>
  <si>
    <t>669/.72</t>
  </si>
  <si>
    <t>TN773.P64 2006</t>
  </si>
  <si>
    <t>Mozilla/5.0 (Windows NT 10.0; Win64; x64) AppleWebKit/537.36 (KHTML, like Gecko) Chrome/105.0.0.0 Safari/537.36 Edg/105.0.1343.27</t>
  </si>
  <si>
    <t>Fundamentals of Aluminium Metallurgy : Production, Processing and Applications</t>
  </si>
  <si>
    <t>Engineering: Mining; Engineering: Chemical; Engineering</t>
  </si>
  <si>
    <t>TN775 -- .F86 2011eb</t>
  </si>
  <si>
    <t>'324'</t>
  </si>
  <si>
    <t>'20,21,22,23,24,25,26,27,28,29,30,31,32,33,34,35,36,37,38,39'</t>
  </si>
  <si>
    <t>Qualitative Research : A Guide to Design and Implementation</t>
  </si>
  <si>
    <t>LB1028 .M477 2016</t>
  </si>
  <si>
    <t>Handbook of Collaborative Management Research</t>
  </si>
  <si>
    <t>HD30.4 .H348 2008</t>
  </si>
  <si>
    <t>Research Methods in Human Resource Management : Toward Valid Research-Based Inferences</t>
  </si>
  <si>
    <t>Research in Personnel and Human Resources Management</t>
  </si>
  <si>
    <t>HF5549 -- .R47 2008eb</t>
  </si>
  <si>
    <t>Historical Muscat : An Illustrated Guide and Gazetteer</t>
  </si>
  <si>
    <t>DS247.4.M87 -- P48 2007eb</t>
  </si>
  <si>
    <t>'1,1,35,35,35,36,37,38,39,40,41,42,43,43,43,44,21'</t>
  </si>
  <si>
    <t>'1,1,10,9,11,18,20,21,22,23,24,25,26,27,28,29,30,31,32,33,37,3,4,5,6'</t>
  </si>
  <si>
    <t>IPhone Unlocked</t>
  </si>
  <si>
    <t>Simon &amp; Schuster</t>
  </si>
  <si>
    <t>QA76.8.I64 .P648 2021</t>
  </si>
  <si>
    <t>The Geologic Time Scale 2012</t>
  </si>
  <si>
    <t>QE508 -- .G3956 2012eb</t>
  </si>
  <si>
    <t>'823'</t>
  </si>
  <si>
    <t>'823,824,825,826,827,828,829,830,831,832,833,834,835,836,837,838,839,840,841,842,843,844,845,846,847,848,849,850,851,852,853,854,855,856,857,858,859,860,861,862,863,864,865,866,867,868,869,870,871,872,873,874,875,876,877,878,879,880,881,882,883,884,,823,824,825,826,827,828,829,830,831,832,833,834,835,836,837,838,839,840,841,842,843,844,845,846,847,848,849,850,851,852,853,854,855,856,857,858,859,860,861,862,863,864,865,866,867,868,869,870,871,872,873,874,875,876,877,878,879,880,881,882,883,884,,823,824,825,826,827,828,829,830,831,832,833,834,835,836,837,838,839,840,841,842,843,844,845,846,847,848,849,850,851,852,853,854,855,856,857,858,859,860,861,862,863,864,865,866,867,868,869,870,871,872,873,874,875,876,877,878,879,880,881,882,883,884'</t>
  </si>
  <si>
    <t>'1,1,35,35,35,36,37'</t>
  </si>
  <si>
    <t>Mozilla/5.0 (Linux; Android 11; EB2103) AppleWebKit/537.36 (KHTML, like Gecko) Chrome/105.0.0.0 Mobile Safari/537.36</t>
  </si>
  <si>
    <t>Security in the Gulf : Local Militaries Before British Withdrawal</t>
  </si>
  <si>
    <t>UA832$b.R677 2020</t>
  </si>
  <si>
    <t>'1,2,,13,14,15,16,17,,18,19,20,21,22,23,24,25,26,27,28,29,30,31,32,33,34,,1,2'</t>
  </si>
  <si>
    <t>Mozilla/5.0 (Windows NT 6.1; WOW64) AppleWebKit/537.36 (KHTML, like Gecko) Chrome/105.0.0.0 Safari/537.36</t>
  </si>
  <si>
    <t>Fundamentals of Human Anatomy [Vol. I]</t>
  </si>
  <si>
    <t>Science: Anatomy/Physiology; Science</t>
  </si>
  <si>
    <t>QM23.2 .F863 2020</t>
  </si>
  <si>
    <t>'98,100,100,34,100,100,100,99,98,16,18,19,20,21,23,40,39,38,37,35,34,33,32,31,30,29,28,27,26,24,44,45,46,47,48,49,50,51,52,53,54,54,55,56,57,58,59,60,61,62,102,103,104,105,480,481,482'</t>
  </si>
  <si>
    <t>'1,1,1,1,2,5,14,26,28,29,30,28,28,28,29,30,30,30,30,29,29,29,29,29,29,29,29,30,31,32,32,32,33,33,34,35,36,37,38,39,36,36,36,36,36'</t>
  </si>
  <si>
    <t>Cracking Anatomy</t>
  </si>
  <si>
    <t>RC78 -- .P377 2014eb</t>
  </si>
  <si>
    <t>'1,1,3'</t>
  </si>
  <si>
    <t>Tropical Cyclones : Their Evolution, Structure and Effects</t>
  </si>
  <si>
    <t>American Meteorological Society</t>
  </si>
  <si>
    <t>Science: Physics; Science; Social Science</t>
  </si>
  <si>
    <t>QC945 .A584 1982</t>
  </si>
  <si>
    <t>'76,77,78,79,80,81,82,83,84,85,86,87,88,89,90,91,92,93,94,95,96,97,98,99,100,,101,102,103,104,105,106,107,108,109,110,111,112,113,114,115,116,117,118,119,120,121,122,123,124,125'</t>
  </si>
  <si>
    <t>Advanced Numerical Modeling and Data Assimilation Techniques for Tropical Cyclone Predictions</t>
  </si>
  <si>
    <t>QC851-999</t>
  </si>
  <si>
    <t>'1,3,4,5,6,7,8,9,,7,,11,12,13,10,,7,8,9,10,11,6,5,4'</t>
  </si>
  <si>
    <t>'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,,,,,7,8,9,10'</t>
  </si>
  <si>
    <t>Hardware Accelerator Systems for Artificial Intelligence and Machine Learning</t>
  </si>
  <si>
    <t>Q325.5 .H37 2021</t>
  </si>
  <si>
    <t>Expert C++ : Become a Proficient Programmer by Learning Coding Best Practices with C++17 and C++20's Latest Features</t>
  </si>
  <si>
    <t>QA76.73.C153$b.G754 2020</t>
  </si>
  <si>
    <t>'1,2,3,4,5,8,9,10,11,12,13'</t>
  </si>
  <si>
    <t>'210,211'</t>
  </si>
  <si>
    <t>Practical Heat Treating: Basic Prinicples</t>
  </si>
  <si>
    <t>Engineering: Mining; Engineering: Manufacturing; Engineering</t>
  </si>
  <si>
    <t>TN672</t>
  </si>
  <si>
    <t>'363,364,365,366,367,368,369,370,371,372,373,374,375,376,377,378,379,380,381,382,383,384,385,386,387,388,389,390,391,392,393,394,395,396,397,398,399,,13,14,15,16,17,18,19,20,21,22,23,24,25,26,27,28,29,30,31,32,33,34,35,36,37,38'</t>
  </si>
  <si>
    <t>Engineering the CMOS Library : Enhancing Digital Design Kits for Competitive Silicon</t>
  </si>
  <si>
    <t>TK7874.65 -- .D66 2012eb</t>
  </si>
  <si>
    <t>'1,68,69,70,71,72,73,74,75'</t>
  </si>
  <si>
    <t>'1,1,28,30,31,32,33,34,35,36,37,37,38,37,36,39,40,41,42,43,44,45,46,46,46,44,38,40,40,42,41'</t>
  </si>
  <si>
    <t>Teaching Ethics Through Literature : The Significance of Ethical Criticism in a Global Age</t>
  </si>
  <si>
    <t>370.11/4</t>
  </si>
  <si>
    <t>LC268 .C466 2021</t>
  </si>
  <si>
    <t>The Ethics of Teaching : A Casebook</t>
  </si>
  <si>
    <t>Education; Philosophy</t>
  </si>
  <si>
    <t>174/.9372</t>
  </si>
  <si>
    <t>LB1779 -- .E76 2002eb</t>
  </si>
  <si>
    <t>'1,1,26,35,35,35,36,37,38,39,40'</t>
  </si>
  <si>
    <t>'33,33,34,35,36'</t>
  </si>
  <si>
    <t>'33,33'</t>
  </si>
  <si>
    <t>'1,1,27,6,2,4,18,19,17,29,,29,29,1,2,3,4,5,6,8,7,9,,29,,29,1,1'</t>
  </si>
  <si>
    <t>Mozilla/5.0 (Linux; Android 11; SM-A125F) AppleWebKit/537.36 (KHTML, like Gecko) Chrome/105.0.0.0 Mobile Safari/537.36</t>
  </si>
  <si>
    <t>'1,1,1,5,4,27,26,29,30,31,32,33,34,35,36,37'</t>
  </si>
  <si>
    <t>'1,1,2,6,18,19,20,21,22,23'</t>
  </si>
  <si>
    <t>40 Algorithms Every Programmer Should Know : Hone Your Problem-Solving Skills by Learning Different Algorithms and Their Implementation in Python</t>
  </si>
  <si>
    <t>QA76.9.A43$b.A363 2020</t>
  </si>
  <si>
    <t>'260,261,262,263,264,265,266,267,271,274,275,276,277,278,279,280,281,285,287'</t>
  </si>
  <si>
    <t>Mozilla/5.0 (Macintosh; Intel Mac OS X 10_15_7) AppleWebKit/537.36 (KHTML, like Gecko) Chrome/100.0.4896.75 Safari/537.36</t>
  </si>
  <si>
    <t>'1,1,1,1,1,4,5,7,10,11,12,13,15,16,20,22,23,24,29,26,27,28,30'</t>
  </si>
  <si>
    <t>Big Data Science in Finance</t>
  </si>
  <si>
    <t>Economics; Computer Science/IT</t>
  </si>
  <si>
    <t>QA76.9.B45 .A437 2021</t>
  </si>
  <si>
    <t>Python for Finance Cookbook : Over 50 Recipes for Applying Modern Python Libraries to Financial Data Analysis</t>
  </si>
  <si>
    <t>HG106$b.L495 2020</t>
  </si>
  <si>
    <t>Machine Learning for Algorithmic Trading : Predictive Models to Extract Signals from Market and Alternative Data for Systematic Trading Strategies with Python, 2nd Edition</t>
  </si>
  <si>
    <t>Advanced Python Programming : Build High Performance, Concurrent, and Multi-Threaded Apps with Python Using Proven Design Patterns</t>
  </si>
  <si>
    <t>QA76.73.P98 .L363 2019</t>
  </si>
  <si>
    <t>'154,155,156,157,158,159,160,161,162,164,165,163,1,2,3,4,5,6,7,10,12,14,16,17,18,19,21,22,23,24,25,26,27,28,30,31,32,33,34,35,37,38,39,,133,134,135,136,137,138'</t>
  </si>
  <si>
    <t>'1,1,1,2,3,3,27,28,30,31,32,33,34,35,36,37,29'</t>
  </si>
  <si>
    <t>'50,51,52,53,54,55,56,57,58,59,60,61,62,63,64,65,66,67,68,69,70,71,72,73,74,75,76,77,78,79,80,81,82,83,84,85,86,87,88,89,90,91,92,93,94,95,96,97,98,99,100,101,102,103,104,105,106,107,108,109,110,111,112,113,114,115,116,117,118,119,120,121,122,123,124,125,126,127,128,129,130,131,,50,51,52,53,54,55,56,57,58,59,60,61,62,63,64,65,66,67,68,69,70,71,72,73,74,75,76,77,78,79,80,81,82,83,84,85,86,87,88,89,90,91,92,93,94,95,96,97,98,99,100,101,102,103,104,105,106,107,108,109,110,111,112,113,114,115,116,117,118,119,120,121,122,123,124,125,126,127,128,129,130,131'</t>
  </si>
  <si>
    <t>Directions in Technical Writing and Communication</t>
  </si>
  <si>
    <t>Engineering; Literature; Engineering: General</t>
  </si>
  <si>
    <t>T11 -- .D54 1978eb</t>
  </si>
  <si>
    <t>'8,9,10,11,12,13,14,15,16,17'</t>
  </si>
  <si>
    <t>From Grassroots Activism to Disinformation : Social Media in Southeast Asia</t>
  </si>
  <si>
    <t>DS526.7 .F766 2021</t>
  </si>
  <si>
    <t>'27,28,29,30,1,31,32,33,34,35,36,37,38'</t>
  </si>
  <si>
    <t>Wireless Broadband Networks</t>
  </si>
  <si>
    <t>TK5103.2 -- .W557 2009eb</t>
  </si>
  <si>
    <t>'9,10,11,12,13,14,,1,1,2,3,4,357,358,359,19,20,21,22,24'</t>
  </si>
  <si>
    <t>An Introduction to Quantum Communication</t>
  </si>
  <si>
    <t>Science: Physics; Engineering: Electrical</t>
  </si>
  <si>
    <t>'70,71,72,73,74,75,76,77,78,79'</t>
  </si>
  <si>
    <t>'1,2,3,4,5,6,7,8,,1'</t>
  </si>
  <si>
    <t>Mozilla/5.0 (Windows NT 10.0; Win64; x64) AppleWebKit/537.36 (KHTML, like Gecko) Chrome/104.0.5112.102 Safari/537.36</t>
  </si>
  <si>
    <t>Fischer's Mastery of Surgery</t>
  </si>
  <si>
    <t>Wolters Kluwer Health</t>
  </si>
  <si>
    <t>RD32 -- .F57 2012eb</t>
  </si>
  <si>
    <t>Acute Care Surgery</t>
  </si>
  <si>
    <t>RD93 -- .A28 2012eb</t>
  </si>
  <si>
    <t>Puzzles in General Surgery : A Study Guide</t>
  </si>
  <si>
    <t>Salem Author Services</t>
  </si>
  <si>
    <t>RD37.B854 2013eb</t>
  </si>
  <si>
    <t>Innovations in Biomedical Engineering</t>
  </si>
  <si>
    <t>R856 .I566 2022</t>
  </si>
  <si>
    <t>'1,21'</t>
  </si>
  <si>
    <t>'70,71,69,,70,71'</t>
  </si>
  <si>
    <t>'34,35,36,37,38,39,40,41,42,43,44,45,46,47,48,49,50,51,,62,63,64,65,66,67,68,69,,62,63,64,65,66,67,68,69'</t>
  </si>
  <si>
    <t>'18,19,20,21,22,23,,24,25,26,27,28,29,30,31,32,33,,52,53,54,55,56,57,58,59,60,61'</t>
  </si>
  <si>
    <t>TikTok Boom : China's Dynamite App and the Superpower Race for Social Media</t>
  </si>
  <si>
    <t>Canbury Press Ltd</t>
  </si>
  <si>
    <t>HM742 .S765 2021</t>
  </si>
  <si>
    <t>'51,52,53,54,55,56,50,57'</t>
  </si>
  <si>
    <t>The Social Media Reader</t>
  </si>
  <si>
    <t>302.23/1</t>
  </si>
  <si>
    <t>HM742.S6284 2012</t>
  </si>
  <si>
    <t>'12,,12,253,254'</t>
  </si>
  <si>
    <t>Muslim Laws, Politics and Society in Modern Nation States : Dynamic Legal Pluralisms in England, Turkey and Pakistan</t>
  </si>
  <si>
    <t>KBP173.25.Y556 2016</t>
  </si>
  <si>
    <t>'1,1,2,4,3,5,6,7,8,9,10,15,76,60,59,58,57,54,53,55,56,64,107,106,1,1'</t>
  </si>
  <si>
    <t>'1,1,4,5,5,5,5,10,5,,5,5,5,5,5,5,,1,1'</t>
  </si>
  <si>
    <t>'1,1,4,2,3'</t>
  </si>
  <si>
    <t>Mozilla/5.0 (Windows NT 6.1; Win64; x64) AppleWebKit/537.36 (KHTML, like Gecko) Chrome/104.0.0.0 Safari/537.36</t>
  </si>
  <si>
    <t>'12,13,22,24,25,26,27,82,83,84,85,86,87,88,131,132,133,134'</t>
  </si>
  <si>
    <t>Media Studies: the Basics</t>
  </si>
  <si>
    <t>P91.25 .M336 2020</t>
  </si>
  <si>
    <t>'122,123,,160,161,162,163,164,165,166,167,168,169'</t>
  </si>
  <si>
    <t>Foundation Calculus</t>
  </si>
  <si>
    <t>QA299.6-433</t>
  </si>
  <si>
    <t>'1,1,5,6,12,12,12,12'</t>
  </si>
  <si>
    <t>Vector Calculus</t>
  </si>
  <si>
    <t>Springer London, Limited</t>
  </si>
  <si>
    <t>Engineering; Mathematics; Engineering: General</t>
  </si>
  <si>
    <t>515/.63</t>
  </si>
  <si>
    <t>T57-57.97</t>
  </si>
  <si>
    <t>'1,1,4,6'</t>
  </si>
  <si>
    <t>'1,1,3,3,3,,3,3,22,23,24,25,194,6,7,8'</t>
  </si>
  <si>
    <t>The Theory of Ecology</t>
  </si>
  <si>
    <t>QH540</t>
  </si>
  <si>
    <t>'8,8,8,8,8,9'</t>
  </si>
  <si>
    <t>The Theory of Island Biogeography Revisited</t>
  </si>
  <si>
    <t>578.75/2</t>
  </si>
  <si>
    <t>QH85.T44 2010</t>
  </si>
  <si>
    <t>'5,5,3,5,5,5,4,6'</t>
  </si>
  <si>
    <t>'8,11'</t>
  </si>
  <si>
    <t>'50,51,52,53,54,55,56'</t>
  </si>
  <si>
    <t>'15,16,17,18,19,20,21,22,23,24,25,26,27,28,29,30,31,32,33,34,35,36,37,38,39,40,41,42'</t>
  </si>
  <si>
    <t>Dynamical Modeling And Analysis Of Epidemics</t>
  </si>
  <si>
    <t>Social Science; Medicine; Health</t>
  </si>
  <si>
    <t>RA652.2.M3D95 2009</t>
  </si>
  <si>
    <t>'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,484,485,486,487,488,489,490,491,492,493,494,495,496,497,498,499,500,501,502,503,504,505,506,507,,6,7'</t>
  </si>
  <si>
    <t>'216,,,216,,,,,,,484,484,344,484,484,484'</t>
  </si>
  <si>
    <t>'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,,,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,386,387,388,389,390,391,392,393,394,395,396,397,398,399,400,401,402,403,404,405,406,407,408,409,410,411,412,413,414,415,416,417,418,419,420,421,422,423,424,425,426,427,428,429,,430,431,432,433,434,435,436,437,438,439,440,441,442,443,444,445,446,447,448,449,450,451,452,453,454,455,456,457,458,459,460,461,462,463,464,465,466,467,468,469,470,471,472,473,474,475,476,477,478,479,480,481,482,483,,10,,1,2,3,4,5,6,7,8,9,,8,9,10,11,12,13,14,15,,,508,509,510,511,512,513,,288,289,290,291,292,293,294,295,296'</t>
  </si>
  <si>
    <t>Oxford Shakespeare : Richard II</t>
  </si>
  <si>
    <t>PR2820.A2 -- D39 2011eb</t>
  </si>
  <si>
    <t>'1,1,6,3,7,5,9'</t>
  </si>
  <si>
    <t>Theoretical Foundations of Digital Imaging Using MATLAB</t>
  </si>
  <si>
    <t>Engineering; Engineering: Electrical; Engineering: Civil</t>
  </si>
  <si>
    <t>TA1637 .I224 2015</t>
  </si>
  <si>
    <t>Transforms and Applications Handbook</t>
  </si>
  <si>
    <t>QA601.T73 2010</t>
  </si>
  <si>
    <t>Discrete Wavelet Transform : A Signal Processing Approach</t>
  </si>
  <si>
    <t>515/.2433</t>
  </si>
  <si>
    <t>QA403.3 -- .S863 2015eb</t>
  </si>
  <si>
    <t>Essential Korean Grammar : Your Essential Guide to Speaking and Writing Korean Fluently!</t>
  </si>
  <si>
    <t>PL921</t>
  </si>
  <si>
    <t>'1,1,2,3,6,9,,9,9,11,12,13,2'</t>
  </si>
  <si>
    <t>Future Studies in Marketing</t>
  </si>
  <si>
    <t>HF5415 .F888 2019</t>
  </si>
  <si>
    <t>'129,130,131,132'</t>
  </si>
  <si>
    <t>Readings in the Philosophy of Technology</t>
  </si>
  <si>
    <t>T14 -- .R39 2009eb</t>
  </si>
  <si>
    <t>'370,371'</t>
  </si>
  <si>
    <t>U. S. Energy R and d Policy : The Role of Economics</t>
  </si>
  <si>
    <t>Business/Management; Economics; Environmental Studies</t>
  </si>
  <si>
    <t>HD9502.U52 -- .T558 2015eb</t>
  </si>
  <si>
    <t>'112,113,114,115'</t>
  </si>
  <si>
    <t>Handbook of Energy Economics and Policy : Fundamentals and Applications for Engineers and Energy Planners</t>
  </si>
  <si>
    <t>Business/Management; Political Science</t>
  </si>
  <si>
    <t>'675,676,677,678,679,680,681,682,683'</t>
  </si>
  <si>
    <t>Introduction to Aircraft Aeroelasticity and Loads</t>
  </si>
  <si>
    <t>629.132/362</t>
  </si>
  <si>
    <t>TL574.A37 -- W75 2015eb</t>
  </si>
  <si>
    <t>Advanced Aircraft Design : Conceptual Design, Analysis andOptimization of Subsonic Civil Airplanes</t>
  </si>
  <si>
    <t>TL671.2 -- .T668 2013eb</t>
  </si>
  <si>
    <t>'1,1,6,7,8,12'</t>
  </si>
  <si>
    <t>'1,96,95,97,98,99,100,101,102'</t>
  </si>
  <si>
    <t>'96,97,98,99,100,101,102,103,104,105'</t>
  </si>
  <si>
    <t>Mozilla/5.0 (Windows NT 10.0; Win64; x64) AppleWebKit/537.36 (KHTML, like Gecko) Chrome/105.0.0.0 Safari/537.36 Edg/105.0.1343.25</t>
  </si>
  <si>
    <t>The Age of Algorithms</t>
  </si>
  <si>
    <t>QA9.58$b.A258 2020</t>
  </si>
  <si>
    <t>'13,14,15'</t>
  </si>
  <si>
    <t>Making It Personal : Algorithmic Personalization, Identity, and Everyday Life</t>
  </si>
  <si>
    <t>QA76.9.H85$b.K368 2020</t>
  </si>
  <si>
    <t>'71,72,73,74,,41,42,43,44,45,46,47,48'</t>
  </si>
  <si>
    <t>Streaming Culture : Subscription Platforms and the Unending Consumption of Culture</t>
  </si>
  <si>
    <t>H1-99</t>
  </si>
  <si>
    <t>'12,13,14,15,16,17,18,19,20,21,22,23,24,25,26,27,28,29,30,,,134,135,136'</t>
  </si>
  <si>
    <t>'29,30,,12,13,14,15,16,17,18,19,20,21,22,23,24,25,26,27,28,29,30,31,32,33,,,134,135,136,137,138,139,140,141,142,143,144,145,146,147,148,149,150,151'</t>
  </si>
  <si>
    <t>The Discursive Power of Memes in Digital Culture : Ideology, Semiotics, and Intertextuality</t>
  </si>
  <si>
    <t>HM626 .W544 2019</t>
  </si>
  <si>
    <t>'54,55,56,57'</t>
  </si>
  <si>
    <t>'1,2,3,4,5,6,7,8,9,10,11,12,13,14,15,16,17,18,19,20,,21,22,23,24,,25,,2,3,4,5,6,7,8,9,10,11,12,13,14,15,16,17,18,19,20,21,22,23,24,25,26'</t>
  </si>
  <si>
    <t>Aircraft Structures for Engineering Students</t>
  </si>
  <si>
    <t>629.134/31</t>
  </si>
  <si>
    <t>TL671.6.M36 2007</t>
  </si>
  <si>
    <t>Food Waste to Valuable Resources : Applications and Management</t>
  </si>
  <si>
    <t>TD899.F585$b.F663 2020</t>
  </si>
  <si>
    <t>'292,293,294,295,296,297'</t>
  </si>
  <si>
    <t>Artificial Intelligence Hardware Design : Challenges and Solutions</t>
  </si>
  <si>
    <t>QA76.87 .L58 2021</t>
  </si>
  <si>
    <t>'1,2,25,26,27,28,26,26,26,27'</t>
  </si>
  <si>
    <t>'1,2,3,5,6,7,8'</t>
  </si>
  <si>
    <t>'1,3,18,19,20,21,22,23,24,25,26,28,29,31,32,33,34,35,36,37,38,39,40,41,42,44,45,46,47,49,50,51,53,55,56,57,58,59,60,61,62,64,86,87,88,89,90,91,92,93,94,95,96,97,98,99,30'</t>
  </si>
  <si>
    <t>'1,1,42,41,42,32,31,44,45,46,48,,1,1,1,32,31,48,49,49,61,61,40,39,46'</t>
  </si>
  <si>
    <t>'44,47,47,,48,47,46'</t>
  </si>
  <si>
    <t>'86,87,88,89,90,91,92,93,94,95,96,97,98,99,100,101,102,103,104,105,106,107,108,109,110,111,112,113,114,115'</t>
  </si>
  <si>
    <t>Contemporary Urban Design Thinking : The Australian Approach</t>
  </si>
  <si>
    <t>GF</t>
  </si>
  <si>
    <t>'14,15,,1'</t>
  </si>
  <si>
    <t>Mozilla/5.0 (Windows NT 10.0; Win64; x64) AppleWebKit/537.36 (KHTML, like Gecko) Chrome/104.0.5112.102 Safari/537.36 Edg/104.0.1293.70</t>
  </si>
  <si>
    <t>Rethinking Urbanism : Lessons from Postcolonialism and the Global South</t>
  </si>
  <si>
    <t>Bristol University Press</t>
  </si>
  <si>
    <t>HT151$b.M947 2020</t>
  </si>
  <si>
    <t>Hardware Security : A Hands-On Learning Approach</t>
  </si>
  <si>
    <t>QA76.9.A25 .B486 2019</t>
  </si>
  <si>
    <t>Inorganic Chemistry for Dummies</t>
  </si>
  <si>
    <t>QD151 -- .M38eb</t>
  </si>
  <si>
    <t>'29,30,32,33,34,35,36,37,38,40,39,387,353,352,351,103,104,105,106,107,108,357,359,360,361,362,363,364,335,337,338,339'</t>
  </si>
  <si>
    <t>Supergrid and Superblock : Lessons in Urban Structure from China and Japan</t>
  </si>
  <si>
    <t>Architecture; Fine Arts</t>
  </si>
  <si>
    <t>NA9053.B58 C44 2023</t>
  </si>
  <si>
    <t>'231'</t>
  </si>
  <si>
    <t>'128,129,130,131,132,133,134,135,136,137,138,139,140,141,142,143,144,145,146,147,148,149,150,151,152,153,154,155,156,157,158,159,160,161,162,163,164,165,166,167,168,169,170'</t>
  </si>
  <si>
    <t>'2,,3,,4,,5,,6,7,,8,9,,10,11,,12,13,14,15,16,17,18,19,20,21,22,23,24,25,26,27,28,29,30,31,32,33,34,35,,231,232,,233,234,235,236,237,238,,239,240,241,242,243,244,245,246,247,248,249,250,251,252,,253,254,255,256,257'</t>
  </si>
  <si>
    <t>'1,3,2,17,30,24,25,27,28,29,26,31'</t>
  </si>
  <si>
    <t>Teaching Professional and Technical Communication : A Practicum in a Book</t>
  </si>
  <si>
    <t>Center for Literary Publishing, Colorado State University</t>
  </si>
  <si>
    <t>T10</t>
  </si>
  <si>
    <t>'231,232,230,233,234,235,236,2,239,237,238,,231'</t>
  </si>
  <si>
    <t>'1,26,27,28,29,30,31,32,33,34,35,36,37,40,42,43,44,45,46,47,48,49,52,134,137,138'</t>
  </si>
  <si>
    <t>'171'</t>
  </si>
  <si>
    <t>'100,101,102,103,104,105,106,107,108,109,110,111,112,113,114,115,116,117,118,119,120,121,122,123,124,125,126,127,,,215,216,217,218,219,220,221,222,223,224,225,226,227,228,229,230,,,,129,130,131,132,133,134,,,135,136,137,138,139,140,141,142,,,161,162,163,164,165,166,167'</t>
  </si>
  <si>
    <t>'171,172,173,174,175,176,177,178,179,180,181,182,183,184,185,186,187,188,189,190,191,192,193,194,195,196,197,198,199,200,201,202,203,204,205,206,207,208,209,210,211,212,213,214,,144,145,146,147,148,149,150,151,,152,153,154,155,156,157,158,159,160,,168,169,170,,1'</t>
  </si>
  <si>
    <t>'36,37,38,39,40,41,42,43,44,45,46,,47,48,49,50,51,52,53,54,55,56,57,58,59,60,61,62,63,64,65,66,67,68,69,70,,71,72,73,74,75,76,77,78,79,80,81,82,83,84,85,86,87,88,89,90,91,92,93,94,95,96,97,98,99,,143,,143,,47,48,49,50,51,52,53,54,55,56,57,58,59,60,61,62,63,64,65,66,67,68,69,70'</t>
  </si>
  <si>
    <t>Transforming Cities with Transit : Transit and Land-Use Integration for Sustainable Urban Development</t>
  </si>
  <si>
    <t>HT166 -- .S96 2013eb</t>
  </si>
  <si>
    <t>'1,1,4,5,5,,1,1,2,3,4,4'</t>
  </si>
  <si>
    <t>'1,8,4'</t>
  </si>
  <si>
    <t>Physical Metallurgy and Advanced Materials</t>
  </si>
  <si>
    <t>TN690.S63 2007</t>
  </si>
  <si>
    <t>'118,119,121,123,124'</t>
  </si>
  <si>
    <t>'1,2,3,,4,,5,,5,,6,7,8,9,10,11,12,13,,14,15,,16,,17,,18,19,20,21,22,23,,24,25,26,27,28,29,30,31,32,33,34,35,36,37,38,39,40,41,42,43,44,45,46,47,48,49,50,51,52,53,54,55,56,57,58,59,,60,61,62,63,64,65,66,67,68,69,70,71,72,73,74,75,76,77,78,79,80,81,82,83,84,85,86,87,88,89,90,91,92,93,94,95,96,97,98,99,100,101,102,103,104,105,106,107,108,109,110,111,112,113,114,115,116,117'</t>
  </si>
  <si>
    <t>'1,1,42,41,43,44,45,46,47,48,49'</t>
  </si>
  <si>
    <t>'1,2,5,6,7,8,9,10'</t>
  </si>
  <si>
    <t>'1,3,2,7,26,27'</t>
  </si>
  <si>
    <t>Identity of Cities and City of Identities</t>
  </si>
  <si>
    <t>'1,7,9,10,12,14,14,14,15,16,17,18,19,20'</t>
  </si>
  <si>
    <t>'1,4,2,3,5,7,6'</t>
  </si>
  <si>
    <t>Cultural Urban Heritage : Development, Learning and Landscape Strategies</t>
  </si>
  <si>
    <t>HT101-395</t>
  </si>
  <si>
    <t>'1,6,8,9,29'</t>
  </si>
  <si>
    <t>'1,3,5,6,9'</t>
  </si>
  <si>
    <t>Adam Smith Reconsidered : History, Liberty, and the Foundations of Modern Politics</t>
  </si>
  <si>
    <t>JA84.G7 S243 2022</t>
  </si>
  <si>
    <t>'1,16,17,17,17,,1,4,25'</t>
  </si>
  <si>
    <t>'16,17,18,19,20,21,22,23,24'</t>
  </si>
  <si>
    <t>Mozilla/5.0 (Macintosh; Intel Mac OS X 10.13; rv:103.0) Gecko/20100101 Firefox/103.0</t>
  </si>
  <si>
    <t>'1,2,3,4,6,7,8,9'</t>
  </si>
  <si>
    <t>Ethics in Engineering Practice and Research</t>
  </si>
  <si>
    <t>Engineering; Engineering: Civil; Philosophy</t>
  </si>
  <si>
    <t>174/.962</t>
  </si>
  <si>
    <t>TA157 .W47 2011</t>
  </si>
  <si>
    <t>Heterogeneous Catalysis : A Versatile Tool for the Synthesis of Bioactive Heterocycles</t>
  </si>
  <si>
    <t>547/.215</t>
  </si>
  <si>
    <t>QD505 -- .H462 2015eb</t>
  </si>
  <si>
    <t>The Psychology of Written Composition</t>
  </si>
  <si>
    <t>808/.001/9</t>
  </si>
  <si>
    <t>P301.5.P75 -- B47 1987eb</t>
  </si>
  <si>
    <t>Mozilla/5.0 (Windows NT 10.0; Win64; x64; rv:103.0) Gecko/20100101 Firefox/103.0</t>
  </si>
  <si>
    <t>'10,11,12,13,14,15,16,17,18,19,20,21,22,23,24,25,26,27,28,29,,130,131,132,133,134,135,136,137,138,139,140,141,142,143,144,145,,290,291,292,293,294,295,296,297'</t>
  </si>
  <si>
    <t>Posthumanism and the Digital University : Texts, Bodies and Materialities</t>
  </si>
  <si>
    <t>378.1/7344678</t>
  </si>
  <si>
    <t>BD161 .G687 2021</t>
  </si>
  <si>
    <t>LB2395.7 .G687 2021</t>
  </si>
  <si>
    <t>Rhetorics and Technologies : New Directions in Writing and Communication</t>
  </si>
  <si>
    <t>University of South Carolina Press</t>
  </si>
  <si>
    <t>808/.042028</t>
  </si>
  <si>
    <t>PE1408 .R54 2010</t>
  </si>
  <si>
    <t>Running, Thinking, Writing : Embodied Cognition in Composition</t>
  </si>
  <si>
    <t>Parlor Press</t>
  </si>
  <si>
    <t>Psychology; Sport &amp;amp; Recreation; Language/Linguistics</t>
  </si>
  <si>
    <t>'61,62,63,64,65,66,67'</t>
  </si>
  <si>
    <t>'6,7,,14,15,16,17,18,19,20,,21,22,23,24,25,26,27,28,29,30,31,32,33,34,35,,36,37,38,39,40,41,42,43,44,45,46,47,48,49,,,61,62,63,64,65,66,67,68,69,70,71,72,73,74,75'</t>
  </si>
  <si>
    <t>Writing Posthumanism, Posthuman Writing</t>
  </si>
  <si>
    <t>808/.0420711</t>
  </si>
  <si>
    <t>PE1404.W7294 2014</t>
  </si>
  <si>
    <t>'261,262,263,264,63,63,64,65'</t>
  </si>
  <si>
    <t>Pedagogical Perspectives on Cognition and Writing</t>
  </si>
  <si>
    <t>801/.92</t>
  </si>
  <si>
    <t>P301.5.P75</t>
  </si>
  <si>
    <t>'1,1,3,4,4,5,6,7,7'</t>
  </si>
  <si>
    <t>'6,7,,8,9,10,11,12,13,14,15,16,17,18,19,20,21,22,23,24,25,26,27,28,29,30,31,,32,33,34,35,36,37,38,39,40,41,42,43,44,45,46,47,48,49,50,51,52,53,54,55,56,57,58,59,60,61,62,63,64,65,66,67,68,69,70,71,72,73,74,75,76,77,78,79,80,81,82,83,84,85,86,87,,90,91,92,93,94,95,96,97,98,99,100,101,102,103,104,105,106,107,108,109,110,111,112,113,114,115,116,117,118,119,120,,121,122,123,124,125,126,127,128,129,130,131,132,133,134,135,136,137,138,139,140,141,142,143,144,145,146'</t>
  </si>
  <si>
    <t>Education and Mind in the Knowledge Age</t>
  </si>
  <si>
    <t>370.15/23</t>
  </si>
  <si>
    <t>LB1057 -- .B47 2002eb</t>
  </si>
  <si>
    <t>The Animal Who Writes : A Posthumanist Composition</t>
  </si>
  <si>
    <t>University of Pittsburgh Press</t>
  </si>
  <si>
    <t>P211</t>
  </si>
  <si>
    <t>Still Life with Rhetoric : A New Materialist Approach for Visual Rhetorics</t>
  </si>
  <si>
    <t>302.2/2</t>
  </si>
  <si>
    <t>P93</t>
  </si>
  <si>
    <t>The Mind on Paper : Reading, Consciousness and Rationality</t>
  </si>
  <si>
    <t>Language/Linguistics; Psychology</t>
  </si>
  <si>
    <t>BF456.R2O57 2016</t>
  </si>
  <si>
    <t>How Learning Happens : Seminal Works in Educational Psychology and What They Mean in Practice</t>
  </si>
  <si>
    <t>LB1060$b.K577 2020</t>
  </si>
  <si>
    <t>The Matter of Practice : Exploring New Materialisms in the Research and Teaching of Languages and Literacies</t>
  </si>
  <si>
    <t>P118.2 .M298 2020</t>
  </si>
  <si>
    <t>Like What We Imagine : Writing and the University</t>
  </si>
  <si>
    <t>Composition and Big Data</t>
  </si>
  <si>
    <t>808/.0420285</t>
  </si>
  <si>
    <t>PE1404</t>
  </si>
  <si>
    <t>Invisible Effects : Rethinking Writing Through Emergence</t>
  </si>
  <si>
    <t>Peter Lang Publishing, Incorporated</t>
  </si>
  <si>
    <t>P53.27</t>
  </si>
  <si>
    <t>The Expanding Universe of Writing Studies : Higher Education Writing Research</t>
  </si>
  <si>
    <t>Teaching Mindful Writers</t>
  </si>
  <si>
    <t>808/.042071</t>
  </si>
  <si>
    <t>PE1408</t>
  </si>
  <si>
    <t>Design Thinking in Technical Communication : Solving Problems Through Making and Collaboration</t>
  </si>
  <si>
    <t>T10.5 .T436 2021</t>
  </si>
  <si>
    <t>Writing STEAM : Composition, STEM, and a New Humanities</t>
  </si>
  <si>
    <t>P53.293 .W758 2022</t>
  </si>
  <si>
    <t>Designing Technical and Professional Communication : Strategies for the Global Community</t>
  </si>
  <si>
    <t>T10.5 .A537 2022</t>
  </si>
  <si>
    <t>Understanding Young People's Writing Development : Identity, Disciplinarity, and Education</t>
  </si>
  <si>
    <t>'1,1,42,41'</t>
  </si>
  <si>
    <t>Heterogeneous Catalysis : Fundamentals, Engineering and Characterizations (with Accompanying Presentation Slides and Instructor's Manual)</t>
  </si>
  <si>
    <t>TP156.C35 .P356 2022</t>
  </si>
  <si>
    <t>'1,2,9,8,7,6,11,12,13,14,15,16,17,18,19,20,21,22,23,24,25,26,27,28,29,30,31,32,33,34,35,36,37,38,39,40,41,42,43,44,45,46,47,48,49,50,50,57,58,59,60,61,185,186,187,188,193,194,195,196,197,198,199,317,318'</t>
  </si>
  <si>
    <t>Kant and the Culture of Enlightenment</t>
  </si>
  <si>
    <t>190/.9/033</t>
  </si>
  <si>
    <t>B2798 -- .D50 2005eb</t>
  </si>
  <si>
    <t>'1,1,68,67,69,70,71,72,73,74,75,76,77,78,79,80,81,82,83,84,85,112,111'</t>
  </si>
  <si>
    <t>'68'</t>
  </si>
  <si>
    <t>'1,1,28,27,45,44,43,42'</t>
  </si>
  <si>
    <t>'256,,,,256'</t>
  </si>
  <si>
    <t>'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,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,,360,361,362,363,364,365,366,367,368,369,370,371,372,373,374,375,376,377,378,379,380,381,382,383,384,385,386,387,388,389,390,391,392,393,394,395,396,397,398,399'</t>
  </si>
  <si>
    <t>'92,93,94,95,96,97,98,99,100,101,102,103,104,105,106,107,108,109,110,111,112,113,114,115,116,117,118,119,120,121,122,123,124,125,126,127,128,129,,158,159,160,161,162,163,164,165,166,167,168,169,170,171,172,173,174,175,176,177,,158,159,160,161,162,163,164,165,166,167,168,169,170,171,172,173,174,175,176,177'</t>
  </si>
  <si>
    <t>'62,63,64,65,66,67,68,69,70,71,72,73,74,75,76,77,78,79,80,81,82,83,84,85,86,87,88,89,90,91,,130,131,132,133,134,135,136,137,138,139,140,141,142,143,144,145,146,147,148,149,150,151,152,153,154,155,156,157'</t>
  </si>
  <si>
    <t>'154,155,156,157,158,159,161'</t>
  </si>
  <si>
    <t>'24,25,26,27,28,29,30,31,32,33,34,35,36,37,38,39,40,41,42,43,44,45,46,47,48,49,50,51,52,53,54,55,,56,57,58,59,60,61,62,63,64,65,66,67,68,69,70,71,72,73,74,75,76,77,78,79,80,81,82,83,84,85,,86,87,88,89,90,91,92,93,94,95,96,97,98,99,100,101,102,103,104,105,106,107,108,109,110,111,112,113,114,115,116,117,118,119,120,121,122,123,124,125,126,127,128,129,130,131,132,133,134,135,136,137,138,139,140,141,142,143,144,145,146,147,148,149,150,151,152,153'</t>
  </si>
  <si>
    <t>'1,1,2,26,25,28,27,29,49,30,31,33,35,36,37,38,39,40,41,42,43,3,4,5,45,47,48,,1,1,42,41,43,44,45,47,48,49'</t>
  </si>
  <si>
    <t>Nietzsche and Other Buddhas : Philosophy after Comparative Philosophy</t>
  </si>
  <si>
    <t>625.26/1097309041</t>
  </si>
  <si>
    <t>TJ603.2.W58 2019</t>
  </si>
  <si>
    <t>'1,1,1,22,23'</t>
  </si>
  <si>
    <t>Handbook of Public Policy Analysis : Theory, Politics, and Methods</t>
  </si>
  <si>
    <t>H97 -- .H3583 2007eb</t>
  </si>
  <si>
    <t>'1,1,2,3,4,6,16,17'</t>
  </si>
  <si>
    <t>'16,17,18,19'</t>
  </si>
  <si>
    <t>Public Policy</t>
  </si>
  <si>
    <t>Karolinum Press</t>
  </si>
  <si>
    <t>JF1525.P6 .P688 2017</t>
  </si>
  <si>
    <t>'1,1,2,3,4,5,6,7,8,9,10,11,12,13,14,15,16,17,18,19'</t>
  </si>
  <si>
    <t>Public Policy and Governance Frontiers in New Zealand</t>
  </si>
  <si>
    <t>JF799-1177</t>
  </si>
  <si>
    <t>'1,1,6,5,7'</t>
  </si>
  <si>
    <t>Fundamental Concepts in Heterogeneous Catalysis</t>
  </si>
  <si>
    <t>QD505 .N674 2014</t>
  </si>
  <si>
    <t>'1,1,1,18,22,23,60,77,80,81,82,83,84,85,86,87,88,89,90,92,93,94,95,96,97,97,97,59,60,61,62,63,64,65,66,126,146,207,208,38,37,71,73,79,85,86,87,80,81'</t>
  </si>
  <si>
    <t>'81,82,83,84,85,80,81,82,83,84,85,86,87,88,89,90,91,92,93,94,95,96'</t>
  </si>
  <si>
    <t>Heterogeneous Catalysts for Clean Technology : Spectroscopy, Design, and Monitoring</t>
  </si>
  <si>
    <t>QD505.H48 2014eb</t>
  </si>
  <si>
    <t>'1,4,4,4,6,8,9,10,11,11,12,12'</t>
  </si>
  <si>
    <t>'19,20,21,22,23,24,25,26,27,28,29,30,31,32,33,34,35,36,37,38,,39,40,41,42,43,44,45,46,47,48,49,50,51,52,53,54,55,56,57,58,59,60,61,62,63,64,65,66,67,68,69,70,71,72,73,74,75,76,77,78,79,80,81,82,83,84,85,86,87,88'</t>
  </si>
  <si>
    <t>'28,29,30,31,32,33,34,35,36,37,38,39,40,41,42,43,44,45,46,47,48,49,50,51,,52,53,54,55,56,57,58,59,60,61,62,63,64,65,66,67,68,69,70,71,72,73,74,75,76,,77,78,79,80,81,82,83,84,85,86,87,88,89,90,91,92,93,94,95,96,97,98,99,100,101,102,103,104'</t>
  </si>
  <si>
    <t>Fundamentals of Sustainable Urban Design</t>
  </si>
  <si>
    <t>Social Science; Architecture</t>
  </si>
  <si>
    <t>NA2542.36</t>
  </si>
  <si>
    <t>Designing Suburban Futures : New Models from Build a Better Burb</t>
  </si>
  <si>
    <t>HT352</t>
  </si>
  <si>
    <t>'23,24,25,26,27,28,29,30,31,32,33,34,35,36,37,38,39,40,41,42,43,44,45,46,47,48,49,50,51,52,53,54,55,56,57,58,59,60,61,62,63,64,65,66,67,68,69,70,,142,143,144,145,146,,13,14,15,16,17,18,19,20,21,22,,142,143,144,145,146'</t>
  </si>
  <si>
    <t>Statistical and Adaptive Signal Processing : Spectral Estimation, Signal Modeling, Adaptive Filtering and Array Processing</t>
  </si>
  <si>
    <t>621.382/2</t>
  </si>
  <si>
    <t>TK5102.9 -- .M36 2005eb</t>
  </si>
  <si>
    <t>'1,1,3,16,18,19,20,21,22,23,24,25,27,28,29,30,31'</t>
  </si>
  <si>
    <t>Mozilla/5.0 (Windows NT 10.0; Win64; x64) AppleWebKit/537.36 (KHTML, like Gecko) Chrome/104.0.5112.81 Safari/537.36 Edg/104.0.1293.54</t>
  </si>
  <si>
    <t>'1,1,2,3,5,6,7,8,9,10,11'</t>
  </si>
  <si>
    <t>The Logic of Law Making in Islam : Women and Prayer in the Legal Tradition</t>
  </si>
  <si>
    <t>297.3/82082</t>
  </si>
  <si>
    <t>KBP144 .S227 2013</t>
  </si>
  <si>
    <t>'1,74,73,73,74,75,76,77,78,152,153'</t>
  </si>
  <si>
    <t>'1,2,3,3,3,3,5,6,7,8,9,10,12,13,14,15,16,17,18,19,21,23,24,25,26,27,28'</t>
  </si>
  <si>
    <t>American Urban Form : A Representative History</t>
  </si>
  <si>
    <t>'19,20,21,22,23,24,25,26,27,28,29,30'</t>
  </si>
  <si>
    <t>Sustainable Transportation Planning : Tools for Creating Vibrant, Healthy, and Resilient Communities</t>
  </si>
  <si>
    <t>HE151 -- .T86 2011eb</t>
  </si>
  <si>
    <t>'19,20,21,22,23,24,25,26,27,28,29,30,31,32,33,34,,57,58,59,60,61,62,,63,64,65,66,67,68,69,70,71,72,73,74,75,76,77,78,79,80,81,82,83,84'</t>
  </si>
  <si>
    <t>The Conspiracy of Life : Meditations on Schelling and His Time</t>
  </si>
  <si>
    <t>B2898 -- .W57 2003eb</t>
  </si>
  <si>
    <t>'1,1,1,109,116,137,138,256'</t>
  </si>
  <si>
    <t>'26,27,28,29,30,31,32,33,34,35,36,37,38,39,,40,41,42,43,44,45,46,47,48,49,50,51,52,53,54,55,56,57,58,59,60,61,62,63,64,65,66,67,68,69,70,71,72,73,74,75,76,77,,78,79,80,81,82,83,84,85,86,87,88,89,90,91,92,93,94,95,96,97,98,99,100,101'</t>
  </si>
  <si>
    <t>Urban Design: Method and Techniques</t>
  </si>
  <si>
    <t>NA9031 .U69</t>
  </si>
  <si>
    <t>'12,13,14,15,16,17,18,19,20,21,22,23,24,25,,26,27,28,29,30,31,32,33,34,35,36,37,38,39,40,41,42,43,,162,163,164,165,166,167,168,169,170,171,172,173,,26,27,28,29,30,31,32,33,34,35,36,37,38,39,40,41,42,43,,162,163,164,165,166,167,168,169,170,171,172,173,,12,13,14,15,16,17,18,19,20,21,22,23,24,25'</t>
  </si>
  <si>
    <t>'22,23,24,25,26,27,28,29,30,31,32,33,34,35,36,37,38,39,40,41,42,43,44,45,46,47,48,49,50,51,52,53,54,55,56,57,58,59,60,61,62,63,64,65,66,67,68,69,70,71,72,73,74,75,76,77,78,79,,80,81,82,83,84,85,86,87,88,89,90,91,92,93,94,95,96,97,98,99,100,101,102,103,104,105,106,107,108,109,110,111,112,113,114,115,116,117,118,119,120,121,122,123,124,125,126,127,128,129,130,131,,132,133,134,135,136,137,138,139,140,141,142,143,144,145,146,147,148,149,150,151,152,153,154,155,156,157,158,159,160,161,162,163,164,165,166,167,168,169,170,171,172,173'</t>
  </si>
  <si>
    <t>Using MPI : Portable Parallel Programming with the Message Passing Interface</t>
  </si>
  <si>
    <t>QA76.642 -- .G76 1999eb</t>
  </si>
  <si>
    <t>'1,38,39,39,40,41,42'</t>
  </si>
  <si>
    <t>Survival Analysis with Python</t>
  </si>
  <si>
    <t>TA645 .N34 2021</t>
  </si>
  <si>
    <t>'19,20,21,22,23,24,25,26,27,28,29,30,31,32,33,34,35,36,37,38,39,40,41,42,43,44,45,,46,47,48,49,50,51,52,53,54,55,56,57,58,59,60,61,62,63,64,65,66,67,68,69,70,71,72,73,74,75,76,77,78,79,80,81,82,83,84,85,86,87,88,89,90,91,92,93,94,95,96,97,98,99,100,101,102,103,104,105,106,107,108'</t>
  </si>
  <si>
    <t>Mozilla/5.0 (Windows NT 10.0; Win64; x64) AppleWebKit/537.36 (KHTML, like Gecko) Chrome/104.0.5112.102 Safari/537.36 Edg/104.0.1293.63</t>
  </si>
  <si>
    <t>HT166.H349 2014eb</t>
  </si>
  <si>
    <t>'220'</t>
  </si>
  <si>
    <t>'108,109,110,111,112,113,114,115,116,117,118,119,120,121,122,123,124,125,126,127,128,129,130,131,132,133,134,135,136,137,138,139,140,141,142,143,144,145,146,147,148,149,150,151,152,153,154,155,156,157,158,159,160,161,162,163,164,165,166,,167,168,169,170,171,172,173,174,175,176,177,178,179,180,181,182,183,184,185,186,187,188,189,190,191,192,193,194,195,196,197,198,199,200,201,202,203,204,205,206,207,208,209,210,211,212,213,214,215,216,217,218,219,,,19,20,21,22,23,24,25,26,27,28,29'</t>
  </si>
  <si>
    <t>Rebuilding Urban Neighborhoods : Achievements, Opportunities, and Limits</t>
  </si>
  <si>
    <t>307.3/416/0973</t>
  </si>
  <si>
    <t>HT175 -- .R425 1999eb</t>
  </si>
  <si>
    <t>'19,20'</t>
  </si>
  <si>
    <t>'1,1,1,45,46,47,50,49,51,55,85,86,16,15,36,35,34,33,32,31,17'</t>
  </si>
  <si>
    <t>'1,1,1,6,5'</t>
  </si>
  <si>
    <t>'1,1,112,112,137,138,8,9,10,11,12,13,14,1,3,4,5,7,6,276,277,278,279,280,281,282,283,284,285,286,287,288'</t>
  </si>
  <si>
    <t>'137'</t>
  </si>
  <si>
    <t>'1,1,2,7,9,10,11,12,13,14,16,17,18,19,20,21,22,23,24,25,26,27,28,29,30,31,32'</t>
  </si>
  <si>
    <t>'11,10,22,22,23,26,26'</t>
  </si>
  <si>
    <t>'1,1,2,3,4,5,6,8,16,15,17,18,19,20,21,22'</t>
  </si>
  <si>
    <t>'1,1,112,114,125,126,125,119,120,121,83,126,127,128,129,142,141,140,139,130,131,132,133,134,135,136,137,137,122,123,135,136,138,139,140,141,230,231,232,233,234,235,236,237,238,239,246,245,244,240,241,242,243'</t>
  </si>
  <si>
    <t>'126,128,129,131,131,135'</t>
  </si>
  <si>
    <t>'1,1,246,247,248,249,250,251,252,253,254,255,256,257,258,259,260,114,115,3,4,5,7,8,9,10,11,12,116,117,118,119,120,121,122,123,124,125'</t>
  </si>
  <si>
    <t>'115,12,117,122,122'</t>
  </si>
  <si>
    <t>'1,1,112,113'</t>
  </si>
  <si>
    <t>'1,1,2,3,4,5,6,7,8,112,113,114,115,116,117,119,142,141,140,139,138,246,248,120,121'</t>
  </si>
  <si>
    <t>'116,118'</t>
  </si>
  <si>
    <t>Handbook of Toxicology of Chemical Warfare Agents</t>
  </si>
  <si>
    <t>Military Science; Medicine</t>
  </si>
  <si>
    <t>UG447 .H365 2015</t>
  </si>
  <si>
    <t>'22,23,24,25,,250,251,252,253,254,255,256,257,258,259,260,261'</t>
  </si>
  <si>
    <t>Mozilla/5.0 (X11; Linux x86_64) AppleWebKit/537.36 (KHTML, like Gecko) Chrome/104.0.0.0 Safari/537.36</t>
  </si>
  <si>
    <t>The New Henry Giroux Reader : The Role of the Public Intellectual in a Time of Tyranny</t>
  </si>
  <si>
    <t>Myers Education Press</t>
  </si>
  <si>
    <t>306.20973/0905</t>
  </si>
  <si>
    <t>E912.G5695 2019</t>
  </si>
  <si>
    <t>'1,1,2,2,180,225,226,227,228,229,230,241'</t>
  </si>
  <si>
    <t>'1072,1073'</t>
  </si>
  <si>
    <t>'1072,1073,1074,1075,1076,1077,1078,1079,1080,1081,1082,1083,1084,1085'</t>
  </si>
  <si>
    <t>'992,1072,1073,1074'</t>
  </si>
  <si>
    <t>'1,2,5,19,25,27,26'</t>
  </si>
  <si>
    <t>'4,,178,179,180,181,182,183,184,185,186,187,188,189,190,191,192,193,194,195,196,197,198,199,200,201,202,203,204,205,206,207,208,209'</t>
  </si>
  <si>
    <t>'30,32,29,20,22,21,23'</t>
  </si>
  <si>
    <t>'1,178,177,179,180,181,182,183,184,185,186,187,188,189,190,191,192,193,194,195,196,197,198,199,200,478,477,475,474,473,486,415,416,351,354,361,385,400,421,436,446,462,469,201,202,203,204,367,406,428,443,447,451,454,453,452,452,452,178,185,217,216,213,209,208,207,210,179,181,180,257,203,204,205,205,205,206,207,204,203,202,201,200,199,198'</t>
  </si>
  <si>
    <t>'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178,179,180,181,182,183,184,185,186,187,188,189,190,191,192,193,194,195,196,197,198,199,200,201,202,203,204'</t>
  </si>
  <si>
    <t>Improved Crop Productivity for Africa’s Drylands</t>
  </si>
  <si>
    <t>630.915/40967</t>
  </si>
  <si>
    <t>S616.A357.W35 2016</t>
  </si>
  <si>
    <t>Solid Acid Catalysis : From Fundamentals to Applications</t>
  </si>
  <si>
    <t>QD477 -- .H388 2015eb</t>
  </si>
  <si>
    <t>'158,159,160,161,162,163,164,165,166,167,168,169,170,171,172,173,174,175,176,177,178,179,180,181,182,183,184,185,186,187'</t>
  </si>
  <si>
    <t>Advances in Catalysis</t>
  </si>
  <si>
    <t>QD505 .A383 2020</t>
  </si>
  <si>
    <t>'12,13,17,15,16,18,19,20,21,22,23,24,25,26,27,28,29'</t>
  </si>
  <si>
    <t>'58,59,60,61,62,63,64,65,66,67,68,69,70,71,178,177,179,180,181,182,183,184,185,186,187,189,190,191,192,193,194,195,196,197,198,199,200,201'</t>
  </si>
  <si>
    <t>'1,5,3,2'</t>
  </si>
  <si>
    <t>'98,98,95,97,99,100,101,102,103,104,105,106,107,108,109,110,111,112,113,114,115,116,117,118,119,121,122,123,124,125,127,126,128,130'</t>
  </si>
  <si>
    <t>'40,41,42,43,44,45,46,47,48,49,50,51,52,53,54,55,56,57,58,59,60,61,62,63,64,65,66,67,68,69,70,71,72,73,74,75,76,77,78,79,80,81,82,83,84,85,86,87,88,89,90,91,92,93,94,95,96,97'</t>
  </si>
  <si>
    <t>Austen's Emma</t>
  </si>
  <si>
    <t>PR4034.E52H43 2008</t>
  </si>
  <si>
    <t>Graphene-Based Nanomaterial Catalysis</t>
  </si>
  <si>
    <t>TA418.9.N35 G737 2022</t>
  </si>
  <si>
    <t>'144,145,144,144,145,146,147,148,149,150,154,160,173,172,171,141,140,139,138,137,136,135,133,132,131,130,129,128,126,125,123,118,117,116,1,2,3,4,5,7,15'</t>
  </si>
  <si>
    <t>'12,13,12,13,12,13,13,14,15,16,17'</t>
  </si>
  <si>
    <t>Fundamentals and Prospects of Catalysis</t>
  </si>
  <si>
    <t>QD505 .F863 2020</t>
  </si>
  <si>
    <t>'77,78,79,80,81,82,83,84,85,86,87,88,89,90,91,92,93,94,95,96,97,98,99,100,101,102,103'</t>
  </si>
  <si>
    <t>Infinite Powers : The Story of Calculus - The Language of the Universe</t>
  </si>
  <si>
    <t>Atlantic Books Ltd</t>
  </si>
  <si>
    <t>'1,2,3,4,5,6,7,8,8,45,113,226,227,229,287,288,289,290,291,291,45,205,226,237,237,193,226,226,59,78,102,103,138,138,78'</t>
  </si>
  <si>
    <t>Military Advisors</t>
  </si>
  <si>
    <t>355/.0320973</t>
  </si>
  <si>
    <t>U133 -- .M46 2009eb</t>
  </si>
  <si>
    <t>'1,2,3,5,6,7,8,9,10,11,12,13,15,16'</t>
  </si>
  <si>
    <t>The Will to Win : American Military Advisors in Korea, 1946-1953</t>
  </si>
  <si>
    <t>University of Alabama Press</t>
  </si>
  <si>
    <t>951.904/24</t>
  </si>
  <si>
    <t>DS919</t>
  </si>
  <si>
    <t>'22,23,24,25,25,26,311'</t>
  </si>
  <si>
    <t>Creating Military Power : The Sources of Military Effectiveness</t>
  </si>
  <si>
    <t>UA10</t>
  </si>
  <si>
    <t>'1,5,6,238,237,239,240,241,242,243'</t>
  </si>
  <si>
    <t>'238,239,240,241,242,243,244,245,246,247,248,,65,66,67,68,69,70,71,72,73,74,75,76,77,78,79,80,81,82,83,84,85,86,87,88,89'</t>
  </si>
  <si>
    <t>'1,,2,,3,,4,,5,,6,7,,8,9,,10,11,,12,13,14,15,16,17,18,19,20,21,22,23,24,25,26,27,28,29,30,31,32,33,34,35,,36,37,38,39,40,41,42,43,44,45,46,,36,37,38,39,40,41,42,43,44,45,46,,215,216,217,218,219,220,221,222,223,224,225,226,227,228,229,230,,231,232'</t>
  </si>
  <si>
    <t>Mozilla/5.0 (Windows NT 10.0; Win64; x64) AppleWebKit/537.36 (KHTML, like Gecko) Chrome/104.0.5112.81 Safari/537.36 Edg/104.0.1293.47</t>
  </si>
  <si>
    <t>The Essence of Truth : On Plato's Cave Allegory and Theaetetus</t>
  </si>
  <si>
    <t>B3279.H47E513 2013</t>
  </si>
  <si>
    <t>'1,1,2,3,5,6,7,7,26,98,174,230,20,21,22,138,140,141,142,143,144,145,146,147,148,149,150'</t>
  </si>
  <si>
    <t>The Unity of Oneness and Plurality in Plato's Theaetetus</t>
  </si>
  <si>
    <t>B386 .B56 2015</t>
  </si>
  <si>
    <t>'1,1,3,4,5,6,7'</t>
  </si>
  <si>
    <t>Theaetetus</t>
  </si>
  <si>
    <t>Infomotions, Inc.</t>
  </si>
  <si>
    <t>B386.A5 -- J69 2001eb</t>
  </si>
  <si>
    <t>'1,1,2,,1,1,1,14,20,21,22'</t>
  </si>
  <si>
    <t>'1,4,2,3,5,6'</t>
  </si>
  <si>
    <t>Mozilla/5.0 (Linux; Android 11; Redmi Note 8 Pro) AppleWebKit/537.36 (KHTML, like Gecko) SamsungBrowser/17.0 Chrome/96.0.4664.104 Mobile Safari/537.36</t>
  </si>
  <si>
    <t>An Introduction to MATLAB® Programming and Numerical Methods for Engineers</t>
  </si>
  <si>
    <t>518.0285/53</t>
  </si>
  <si>
    <t>QA297 .S538 2015</t>
  </si>
  <si>
    <t>'1,1,3,6,2,8,8,9,10,11'</t>
  </si>
  <si>
    <t>The Limits of U. S. Military Capability : Lessons from Vietnam and Iraq</t>
  </si>
  <si>
    <t>355/.033273</t>
  </si>
  <si>
    <t>'14,15,16,17,18,19,20,21,22,23,24,25,26,27,28,29,30,31,32,33,34,35'</t>
  </si>
  <si>
    <t>The Diffusion of Military Power : Causes and Consequences for International Politics</t>
  </si>
  <si>
    <t>355/.07</t>
  </si>
  <si>
    <t>U42 -- .H67 2010eb</t>
  </si>
  <si>
    <t>'1,,9,10,11,12,13,14,15,16,17,18,19,20,21,22,23'</t>
  </si>
  <si>
    <t>'11,12,13,14,15,16,17,18,19,20,21,22,23,24,25,26,27,28,29,30,31,32,33,34,35,36'</t>
  </si>
  <si>
    <t>Fundamental Principles of Reservoir Engineering</t>
  </si>
  <si>
    <t>TN871.T68 2002</t>
  </si>
  <si>
    <t>'112,113,114,115,116,117,118,119,120,121,122,123,124,125,,86,87,88,89,90,91,92,93,94,95,96,97,98,99'</t>
  </si>
  <si>
    <t>Mozilla/5.0 (Windows NT 10.0; Win64; x64) AppleWebKit/537.36 (KHTML, like Gecko) Chrome/103.0.5060.134 Safari/537.36</t>
  </si>
  <si>
    <t>Statistics for Scientists and Engineers</t>
  </si>
  <si>
    <t>QA37</t>
  </si>
  <si>
    <t>'1,1,9,15,12,34'</t>
  </si>
  <si>
    <t>The View from Nowhere</t>
  </si>
  <si>
    <t>121/.4</t>
  </si>
  <si>
    <t>BD220.N344 1986</t>
  </si>
  <si>
    <t>'1,1,75,74,76,76,237,238,252,251,67,73,1,2,3,4,5,6,7,8,9,10,11,80,79,,1,1,67,68,69,70,71,72,73,74,75,76,77,78,79'</t>
  </si>
  <si>
    <t>'75'</t>
  </si>
  <si>
    <t>Design for Additive Manufacturing</t>
  </si>
  <si>
    <t>'178,183,179,180,181,182,184,185,186,187,188,189,190,191,192,193,194,195,196,197,198,199,202'</t>
  </si>
  <si>
    <t>Mozilla/5.0 (Windows NT 10.0; Win64; x64) AppleWebKit/537.36 (KHTML, like Gecko) Chrome/103.0.5060.134 Safari/537.36 Edg/103.0.1264.77</t>
  </si>
  <si>
    <t>'14,15,16,17,18,19,20,21,22,23'</t>
  </si>
  <si>
    <t>Nanotechnology : The Whole Story</t>
  </si>
  <si>
    <t>T174.7 -- .R64 2013eb</t>
  </si>
  <si>
    <t>'1,1,3,,1,1,1,1,3,5,7,2,351,369,368,370,372,385,385'</t>
  </si>
  <si>
    <t>'1,2,3,4,5,6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'</t>
  </si>
  <si>
    <t>'1,1,9,3,5,6'</t>
  </si>
  <si>
    <t>'1,1,8'</t>
  </si>
  <si>
    <t>'603,604,605,606,607,608,670,10,8,1,2,3,4,5'</t>
  </si>
  <si>
    <t>'101'</t>
  </si>
  <si>
    <t>'76,51,79,101'</t>
  </si>
  <si>
    <t>'15,16,17,18,19,20,21,22,23,24,25,26,27,28,29,30,31,32,33,34,35,36,37,38,39,40,41,42,43,44,45,46,47,48,49,50,51,52,53,54,55,56,57,58,59,60,61,62,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'</t>
  </si>
  <si>
    <t>'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'</t>
  </si>
  <si>
    <t>Density Functional Theory : A Practical Introduction</t>
  </si>
  <si>
    <t>530.14/4</t>
  </si>
  <si>
    <t>QC20.7.D43 -- S55 2009eb</t>
  </si>
  <si>
    <t>'13,14,15,16,12'</t>
  </si>
  <si>
    <t>'1,2,3,4,5,6,7,8,,15,16,19,252,251'</t>
  </si>
  <si>
    <t>The End of Ice : Bearing Witness and Finding Meaning in the Path of Climate Disruption</t>
  </si>
  <si>
    <t>New Press, The</t>
  </si>
  <si>
    <t>Science; Science: Physics; Science: Geology</t>
  </si>
  <si>
    <t>QC981.8.C5$b.J363 2020</t>
  </si>
  <si>
    <t>'1,1,1,60,101,143,150,175,217,229,245,245,15,14,16,17,18,,,17,17,17,17,1,2,4,5,6,7,8,9,10,12,13,3'</t>
  </si>
  <si>
    <t>Psychology and Religion</t>
  </si>
  <si>
    <t>200/.1/9</t>
  </si>
  <si>
    <t>BL53 -- .J8 1992eb</t>
  </si>
  <si>
    <t>'1,1,,1,1,4,5,6,7,8,9'</t>
  </si>
  <si>
    <t>Mozilla/5.0 (Windows NT 10.0; Win64; x64) AppleWebKit/537.36 (KHTML, like Gecko) Chrome/103.0.5060.134 Safari/537.36 Edg/103.0.1264.71</t>
  </si>
  <si>
    <t>'1,4,5,7,10,9,8,6,11,12,15,16,17,18,19,20,21,23,25,27,28,29'</t>
  </si>
  <si>
    <t>Hendee's Physics of Medical Imaging</t>
  </si>
  <si>
    <t>R895 .S264 2019</t>
  </si>
  <si>
    <t>Pilot to Profit : Navigating Modern Entrepreneurship to Build Your Business Using Online Marketing, Social Media, Content Marketing and Sales</t>
  </si>
  <si>
    <t>HF5415.1265 .L378 2016</t>
  </si>
  <si>
    <t>'61,62,63,64,65,66,67,68,69,70,71,72,73,74,75,76,77,78,79,80,81,82,83,,123,124,125,126,127,128,,129'</t>
  </si>
  <si>
    <t>'1,2,,,,,,,,20,29,,29,30,24,25,22'</t>
  </si>
  <si>
    <t>'1,2,3,4,5,6,7,8,9,10,11,,12,,13,14,15,,16,17,,123,124,125,126,127,128,,129'</t>
  </si>
  <si>
    <t>Empirical Paradox, Complexity Thinking and Generating New Kinds of Knowledge</t>
  </si>
  <si>
    <t>Philosophy; Psychology</t>
  </si>
  <si>
    <t>BC199.P2 .W478 2019</t>
  </si>
  <si>
    <t>Cryptocurrency Mining for Dummies</t>
  </si>
  <si>
    <t>332.1/78</t>
  </si>
  <si>
    <t>HG1710 .K468 2020</t>
  </si>
  <si>
    <t>'1,2,4,5,6,7,8,9,11,13,14,15'</t>
  </si>
  <si>
    <t>'1,3,5,7,9'</t>
  </si>
  <si>
    <t>Mozilla/5.0 (Linux; Android 10; SAMSUNG SM-G965F) AppleWebKit/537.36 (KHTML, like Gecko) SamsungBrowser/17.0 Chrome/96.0.4664.104 Mobile Safari/537.36</t>
  </si>
  <si>
    <t>Crucial Events: Why Are Catastrophes Never Expected?</t>
  </si>
  <si>
    <t>003/.75</t>
  </si>
  <si>
    <t>QA267.7 .W478 2021</t>
  </si>
  <si>
    <t>'320,14,13,17,18'</t>
  </si>
  <si>
    <t>Mozilla/5.0 (Windows NT 10.0; Win64; x64) AppleWebKit/537.36 (KHTML, like Gecko) Chrome/103.0.5060.114 Safari/537.36 Edg/103.0.1264.62</t>
  </si>
  <si>
    <t>'320'</t>
  </si>
  <si>
    <t>'320,321,322,323,324,325,326,327,328,329,330,331,332,333,334,335,336,337,338,339,340,341,342,343,344,345,346,347,348,349,350,351,352,353,354,355,356,357,358,359,360,361'</t>
  </si>
  <si>
    <t>'202,68,67,30,14,10,11,12,13,6,1,320,362,361,322,329,345,349,351,356,357,358'</t>
  </si>
  <si>
    <t>'63,64,65,66,67,68,69,70,71,72,73,74,75,76,77,78,79,80,81,82,83,84,85,86,87,88,89,90,91,92,93,94,95,96,97,98,99,100,101,102,103,104,105,106,107,108,109,110,111,112,113,114,115,116,117,30,31,32,33,34,35,36,37,38,39,40,41,42,43,44,45,46,47,48,49,50,51,52,53,54,55,56,57,58,59,60,61,62,63,64,65,66,67,14,15,16,17,18,19,20,21,22,23,24,25,26,27,28,29,10,11,12,13,6,7,8,9,1,2,3,4,5,362,363,364,365,366,367,368,369,370,371,372'</t>
  </si>
  <si>
    <t>'202'</t>
  </si>
  <si>
    <t>'180,181,182,183,184,185,186,187,188,189,190,191,192,193,194,195,196,197,198,199,200,201,202,203,204,205,206,207,208,209,210,211,212,213,214,215,216,217,218,219,220,221,222,223,,15,16'</t>
  </si>
  <si>
    <t>Machine Learning Guide for Oil and Gas Using Python : A Step-By-Step Breakdown with Data, Algorithms, Codes, and Applications</t>
  </si>
  <si>
    <t>TN871 .B459 2021</t>
  </si>
  <si>
    <t>Enterprise Risk Management : Today's Leading Research and Best Practices for Tomorrow's Executives</t>
  </si>
  <si>
    <t>HD61 .F737 2021</t>
  </si>
  <si>
    <t>'1,3,4,,,151,,365,366'</t>
  </si>
  <si>
    <t>'151,,,21,941,,151'</t>
  </si>
  <si>
    <t>'1,2,3,4,5,6,7,8,,9,,10,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'</t>
  </si>
  <si>
    <t>Synthesis, Modelling and Characterization of 2D Materials and Their Heterostructures</t>
  </si>
  <si>
    <t>TA403 .S968 2020</t>
  </si>
  <si>
    <t>'1,1,3,4,5,7,6,9,11,,11,11,14,16,26,25,24,23,28,30,32,34,35,36,37,38'</t>
  </si>
  <si>
    <t>Solar-Driven Water Treatment : Re-Engineering and Accelerating Nature's Water Cycle</t>
  </si>
  <si>
    <t>TD430 .S653 2022</t>
  </si>
  <si>
    <t>'1,33,34,34,34,34,35'</t>
  </si>
  <si>
    <t>'1,202,206,207,204,143,144,148,149,150,151,203'</t>
  </si>
  <si>
    <t>'202,146,145,147'</t>
  </si>
  <si>
    <t>'202,203,204,205,206,207,208,209,210,211,212,213,214,215,216,217,218,219,220,221,146,147,148,149,150,151,152,153,154,155,156,157,158,159,160,161,162,163,164,165,166,167,168,169,170,171,172,173,174,175,176,177,178,179,180,181,182,183,184,185,186,187,188,189,190,191,192,193,194,195,196,197,198,199,200,201'</t>
  </si>
  <si>
    <t>'1,202,201,222,221'</t>
  </si>
  <si>
    <t>'197,198,199,200,201'</t>
  </si>
  <si>
    <t>'1,22,22,23,24,26,27,28,29,30,31,32,33,34,35,34'</t>
  </si>
  <si>
    <t>'1,22,33,34,35,34,34,35,34'</t>
  </si>
  <si>
    <t>'1,1,3,5,6,7,8,9,10,11,12,13,14,16,17,18,19,20,22,22,23,24,,35,35,34,33,32,31,25,4,5,6,8,7,11,10,12,13,14,15,18,20,22,24,26,28'</t>
  </si>
  <si>
    <t>'1,132,133,134,135,136,137,143,80,14,144,145,145,145,145,144,22,33,34,35,36,38,44,45,47,23,37,34'</t>
  </si>
  <si>
    <t>'205,205,134,145,146,148,149,147,143,150,151,154,155,156,157,163'</t>
  </si>
  <si>
    <t>'205,143,163,164,165,166,144,145,146'</t>
  </si>
  <si>
    <t>'1,202,201,146,145,118,144'</t>
  </si>
  <si>
    <t>'197,198,199,200,201,197,198,199,200,201,141,142,143,144,145,118,119,120,121,122,123,124,125,126,127,128,129,130,131,132,133,134,135,136,137,138,139,140,141,142,143,144,145'</t>
  </si>
  <si>
    <t>'1,202,201,201,201,222,222,222,254,254,254,298,297,297,297,254,255,256,254,254,298,298,298,299,300,302,301,302,302,304,306,307,308,308,308,315,316,318,319,320,321,362,202,201,201,201,202,146,145'</t>
  </si>
  <si>
    <t>'197,198,199,200,20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5,296,297,254,255,256,257,258,259,260,261,262,263,264,265,266,267,268,269,270,271,272,273,274,275,276,277,278,279,280,281,282,283,284,285,286,287,288,289,290,291,292,293,294,295,296,297,298,299,300,301,302,303,304,305,306,307,308,309,310,311,312,313,314,315,316,317,318,319,197,198,199,200,201'</t>
  </si>
  <si>
    <t>'205'</t>
  </si>
  <si>
    <t>'205,204,202,203,206,205'</t>
  </si>
  <si>
    <t>'1,202,203,204,205,206,,205'</t>
  </si>
  <si>
    <t>'1,3,151,153,154,,21,22,23,24,363,569,619,620,618,617'</t>
  </si>
  <si>
    <t>Albert Camus’s The Stranger : Critical Essays</t>
  </si>
  <si>
    <t>PQ2605.A3734 -- .A434 2014eb</t>
  </si>
  <si>
    <t>'1,3,7,15'</t>
  </si>
  <si>
    <t>Effective Teacher Hiring : A Guide to Getting the Best</t>
  </si>
  <si>
    <t>Economics; Education</t>
  </si>
  <si>
    <t>331.7/6113711/00973</t>
  </si>
  <si>
    <t>LB2835.25 -- .P48 2002eb</t>
  </si>
  <si>
    <t>'1,3,4,6,9,10,11,14,15,16,19,21,22,25,27,28,29,30,26'</t>
  </si>
  <si>
    <t>'1,254,253,14,13'</t>
  </si>
  <si>
    <t>Recruitment and Selection Revised Edition : Management Extra</t>
  </si>
  <si>
    <t>HF5549.5.R44 -- R43 2009eb</t>
  </si>
  <si>
    <t>'3,6,8'</t>
  </si>
  <si>
    <t>Mozilla/5.0 (Macintosh; Intel Mac OS X 10_14_6) AppleWebKit/537.36 (KHTML, like Gecko) Chrome/101.0.4951.64 Safari/537.36</t>
  </si>
  <si>
    <t>Physics: a Short History from Quintessence to Quarks</t>
  </si>
  <si>
    <t>QC7</t>
  </si>
  <si>
    <t>'1,1,2,33,34,35,36,37,38,39,40,41,42,43,44,45,46,47,48,49,50,51,52,53,54,56,55,57,59,60,60,143,143,144,146,147,148,149,150,152,153,154,155,156,157,158,162,163,166,167,168,169,170,171,172,173,174,202,203,204,205,206'</t>
  </si>
  <si>
    <t>'1,22,23,33,34,34,34,35,35,35,35,35'</t>
  </si>
  <si>
    <t>'3,90,89,91,93,94,88,87,96,98,99,100,101,103,105,106,107,108,110,112,113,114,116,117,115,118,119,121,122,124,127,129,126,104,65,35,26,30,4,6,9,12,13,14,16,17,18,19,20,22,123,128,125'</t>
  </si>
  <si>
    <t>'116,116,116,20'</t>
  </si>
  <si>
    <t>'3,4,16,19,20,18,14,1,6,7,21,22,27,62,61,63,59,58,52,53,50,49,47,48,51,54,55,57,60,64,65,66,67,68,69,70,71,72,73,74,75,76,78,79,80,81,82,83,84,86,87,88'</t>
  </si>
  <si>
    <t>'66,66,66,66'</t>
  </si>
  <si>
    <t>'1,1,132,133,134,135,136,137,138,139,140,141,22,24,26,28,23,29'</t>
  </si>
  <si>
    <t>'3,18,17,19,20,21,22,22,23,24,25,26,27,28'</t>
  </si>
  <si>
    <t>Fundamentals of Ionic Liquids : From Chemistry to Applications</t>
  </si>
  <si>
    <t>QD561.M334 2017</t>
  </si>
  <si>
    <t>'13,14,15,17,13,,,1,2,3,4,5'</t>
  </si>
  <si>
    <t>'161,162,163,164,165,166,167,168,169,170,171,172,173,174,175,176,177,178,179,180,181,182,183,184,185,186,187,188'</t>
  </si>
  <si>
    <t>Write Great Essays</t>
  </si>
  <si>
    <t>Real Writing : Modernizing the Old School Essay</t>
  </si>
  <si>
    <t>PE1404.R435 2016</t>
  </si>
  <si>
    <t>The Expert Witness in Construction</t>
  </si>
  <si>
    <t>K5485 -- .H67 2013eb</t>
  </si>
  <si>
    <t>'1,1,12,11,19,20'</t>
  </si>
  <si>
    <t>Mozilla/5.0 (Windows NT 10.0; Win64; x64) AppleWebKit/537.36 (KHTML, like Gecko) Chrome/103.0.5060.114 Safari/537.36 Edg/103.0.1264.49</t>
  </si>
  <si>
    <t>'51,52,53,54,55,56,57,58,59'</t>
  </si>
  <si>
    <t>'74,75,76,77,78,79,80,81,82,85,84,86,87,88,89,90,91,92,93'</t>
  </si>
  <si>
    <t>Mozilla/5.0 (Linux; Android 12; SM-G986B) AppleWebKit/537.36 (KHTML, like Gecko) Chrome/103.0.0.0 Mobile Safari/537.36</t>
  </si>
  <si>
    <t>Mozilla/5.0 (Linux; Android 11; SAMSUNG SM-A127F) AppleWebKit/537.36 (KHTML, like Gecko) SamsungBrowser/17.0 Chrome/96.0.4664.104 Mobile Safari/537.36</t>
  </si>
  <si>
    <t>'1,163,164,165,166,167,168,169,170,186,185,187,188,189,330,331,332,333,334,143,146,202,203,205,206,206,133,137,136,138,139,140,141,142,143,144,145,146,147,148,149,150,151,152,153,154,155,156,157,158,159,160,161,162,163,164,166,167,168,169,138,133,137,136,142,143,153,210,376,80,81,82,83,84,85,86,87,88,89,90,91,92,93,94,95,96,97,98,100,102,60,61,62,64,65,66,67,68,69,70,74,75,76,74,216,224,34,202,203'</t>
  </si>
  <si>
    <t>'1,143,144,145,145,145,145,144,145,145,145,146,147,148,149,150,151,152,144'</t>
  </si>
  <si>
    <t>'1,187,188,189,190,190,143,191,194,196,197,198,198,140,200,201,197,198,198,198,198,198,198,199,200,199,199,200,201,201,201,201,201,200,198,198,198,198,198'</t>
  </si>
  <si>
    <t>Mozilla/5.0 (Windows NT 10.0; Win64; x64; rv:102.0) Gecko/20100101 Firefox/102.0</t>
  </si>
  <si>
    <t>'1,11'</t>
  </si>
  <si>
    <t>'1,4,5,6,7,8,9,10,11,12,13,14,14,15,16,17,16,16,17,17,16,18,19,20,21,22,23,24,33,33,33,24,33,34,35,36,37,38,39,40,39,40,41,42,43,44,45,46,47,48,49,50,50,52,50,50,60,61,62,63,64,65,66,67,143'</t>
  </si>
  <si>
    <t>'3,5,6,35,36,38,75,73,65,63,61,59'</t>
  </si>
  <si>
    <t>Geothermal Well Test Analysis : Fundamentals, Applications and Advanced Techniques</t>
  </si>
  <si>
    <t>Engineering; Science; Science: Geology; Engineering: General</t>
  </si>
  <si>
    <t>GB1199.5 .Z377 2019</t>
  </si>
  <si>
    <t>'1,1,4,6,11,12,18,25,27,28,29,31,32,33,34'</t>
  </si>
  <si>
    <t>'187,188,189,190,191,192,193,194,195,196,197,198,199,200'</t>
  </si>
  <si>
    <t>Thermal Design : Heat Sinks, Thermoelectrics, Heat Pipes, Compact Heat Exchangers, and Solar Cells</t>
  </si>
  <si>
    <t>TJ255.5.L44 2010</t>
  </si>
  <si>
    <t>'1,2,3,4,120,122,121,123,124,125,126,127,128,129,132,200,199,581,583,594,593'</t>
  </si>
  <si>
    <t>'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581,582,583,584,585,586,587,588,589,590,591,592,593'</t>
  </si>
  <si>
    <t>Mozilla/5.0 (Windows NT 10.0; Win64; x64) AppleWebKit/537.36 (KHTML, like Gecko) Chrome/102.0.5005.63 Safari/537.36 Edg/102.0.1245.33</t>
  </si>
  <si>
    <t>The Rights of God : Islam, Human Rights, and Comparative Ethics</t>
  </si>
  <si>
    <t>Georgetown University Press</t>
  </si>
  <si>
    <t>BP173.63 -- .O3 2007eb</t>
  </si>
  <si>
    <t>'116,,102,103,104,104,102,101,117,118,118,119,120'</t>
  </si>
  <si>
    <t>'116,117,,,116,117,118,119,120,116,116,117,117,116'</t>
  </si>
  <si>
    <t>'118,119,119,119,120,116,,116'</t>
  </si>
  <si>
    <t>Inverse and Ill-Posed Problems : Theory and Applications</t>
  </si>
  <si>
    <t>QA378.5 -- .K33 2012eb</t>
  </si>
  <si>
    <t>'1,17,17,17,18,19,20,21,22,23'</t>
  </si>
  <si>
    <t>'1,102,103,104,105,106,107,108,109,112,114,116,,116,1,117,118,119'</t>
  </si>
  <si>
    <t>'116,116,116,116,117,118'</t>
  </si>
  <si>
    <t>'1,2,3,4,5,6,8,9,10,11,102'</t>
  </si>
  <si>
    <t>Fluid Dynamics and Transport of Droplets and Sprays</t>
  </si>
  <si>
    <t>660/.294515</t>
  </si>
  <si>
    <t>TP156.S6 -- S57 2010eb</t>
  </si>
  <si>
    <t>'3,131,130'</t>
  </si>
  <si>
    <t>'130'</t>
  </si>
  <si>
    <t>The Spirit of Tolerance in Islam</t>
  </si>
  <si>
    <t>BP171.5 -- .S45 2012eb</t>
  </si>
  <si>
    <t>'85,111,112,113,114,115,116'</t>
  </si>
  <si>
    <t>Microphysics of Clouds and Precipitation</t>
  </si>
  <si>
    <t>551.57/6</t>
  </si>
  <si>
    <t>'1,1,136,225,268,267,430,429,816,815,736,710,709,641,605,533,518,495,495,33,61,79,78,77,76'</t>
  </si>
  <si>
    <t>The Position of Women in Islam : A Progressive View</t>
  </si>
  <si>
    <t>297/.082</t>
  </si>
  <si>
    <t>BP173.4 -- .A45 2004eb</t>
  </si>
  <si>
    <t>'1,43,3,4,6,8,9,13,15,16,17,18,18,9,19,20,21,22,3,2,5,6,7,118,119,36,37,37'</t>
  </si>
  <si>
    <t>Managing Performance in Organisations</t>
  </si>
  <si>
    <t>Knowres Publishing</t>
  </si>
  <si>
    <t>HF5549.M36 2012</t>
  </si>
  <si>
    <t>'1,3,5,6'</t>
  </si>
  <si>
    <t>'3,6'</t>
  </si>
  <si>
    <t>'1,3,3,4,5,7,6,9,8,10,11,12,13,15,16,17,18,19,21,23,24,25,26,27,28,29,30,32,33,34,36,35,1,36,35,38,39,40,41,42,43,44,21,24,23,10,9,7,6,45'</t>
  </si>
  <si>
    <t>'25,25,25,26,26,26,26,27,28,28,29,29,29,29,30,32,32,33,36,35,36,38,40,41,41,42,42,1,41,41,41,42,42,42,42,42,42,43,43,43,43,43,44,44,44,44,44,44,44,45,45,45'</t>
  </si>
  <si>
    <t>The Wiley Blackwell Handbook of the Psychology of Recruitment, Selection and Employee Retention</t>
  </si>
  <si>
    <t>HF5549.5.S38.W554 2017</t>
  </si>
  <si>
    <t>'44,42,1'</t>
  </si>
  <si>
    <t>'3,42,44,45,45,46,47,49,52,53,54,57,59,60,62,63,64,65,66,70,73,74,75,77,79,78,78,77,76,80,82,83,85,85,86,87,88,88,90,94,94,94,106,97,98,100,101,102,104,107,108,109,110,111,113,115,117,118,119,20,20,,20'</t>
  </si>
  <si>
    <t>'44,44,44,44,44,44,44,45,64,85'</t>
  </si>
  <si>
    <t>'3,40,40,39,37,36,38'</t>
  </si>
  <si>
    <t>'3,4,5,6,40,39,40,39,38,38,38'</t>
  </si>
  <si>
    <t>'187,187,188'</t>
  </si>
  <si>
    <t>'187,187'</t>
  </si>
  <si>
    <t>'3,40,40,39,38,42,44,45,46,47,48,49,50,51,52,53,54,55,58,59,60,61,62,63,64,64,65,66,67,68,69,74,76'</t>
  </si>
  <si>
    <t>'1,187,187,98,187,187,188,189,190'</t>
  </si>
  <si>
    <t>'3,23,23,24,21,22,26,25,16,27,28,29,30,31,32,33,34,35,36,38,39'</t>
  </si>
  <si>
    <t>'23,23,23,23,23,23,23,23,23,23,16,16,25,25,25,26,26,26,29,29,29,29,29,29,31,31,34'</t>
  </si>
  <si>
    <t>Designing Learning : From Module Outline to Effective Teaching</t>
  </si>
  <si>
    <t>378.1/99</t>
  </si>
  <si>
    <t>LB2362.G7 .B88 2020</t>
  </si>
  <si>
    <t>'1,1,2,3,4,5,6,8,9,10,12,14,59,60'</t>
  </si>
  <si>
    <t>Encyclopedia of Postmodernism</t>
  </si>
  <si>
    <t>149.9/7/03</t>
  </si>
  <si>
    <t>B831.2 -- .E63 2000eb</t>
  </si>
  <si>
    <t>'1,1,1,228,376,377,378'</t>
  </si>
  <si>
    <t>Mapping Michel Serres</t>
  </si>
  <si>
    <t>Science: General; Science</t>
  </si>
  <si>
    <t>Q175</t>
  </si>
  <si>
    <t>'1,1,12,13,14,15,16'</t>
  </si>
  <si>
    <t>Digital Twin Driven Smart Design</t>
  </si>
  <si>
    <t>TA174$b.D545 2020</t>
  </si>
  <si>
    <t>'222,223,224,225,226,227,228,229,231,232,233,234,236,,236,238,239,240,242,243,245,246,247,249,251,252,253,256,258,259,260,261,262,263,264,265,267,268,269,271,273,274,275,276,277,278,279,280,281,282,283,284,286,287'</t>
  </si>
  <si>
    <t>A Manager's Guide to Building a Successful Business</t>
  </si>
  <si>
    <t>HD30.28 -- .R255 2013</t>
  </si>
  <si>
    <t>'1,1,28,28,28,28,29,29,28'</t>
  </si>
  <si>
    <t>'28,28,28,28,29,29,,29'</t>
  </si>
  <si>
    <t>'1,2,3,4,5,6,8,12,11,14,16,16,16,17,18,19,20,21,22,23,24,25,26,66,67,68,69,70,71,72,73,74,75,79,78,80,81,82,83,84,85,86,87,88,89,90,91,93,94,95,96,97,98,99,100,101,102,103,105,106,107,108,109,110,111,112,113,114,115,116,117,118,119,120,121,92,76,77,67,67,68,69,71,72,73,74,75,76,77,78,79,80,82,83,70,68,69,71,72,73,74,75,76,77,79,80,82,83,84,85,86,86,87,87,87,86,88,89,90,91,92,94,95,96,97,98,99,100,101,102,103,105,106,107,108,109,110,111,112,113,114,115,117,118,119,93,104,116,120'</t>
  </si>
  <si>
    <t>'16,16,16,16,16,21,67,67,67,67,72,76,87,88,88,88,88,90,91,94,112,112,116,119'</t>
  </si>
  <si>
    <t>Recruitment</t>
  </si>
  <si>
    <t>658.3/111;658.3111</t>
  </si>
  <si>
    <t>HF5549.5.R44 -- R43 2007eb</t>
  </si>
  <si>
    <t>'1,2,3,4,6,7,5,8'</t>
  </si>
  <si>
    <t>Performance and Reward in the Employment Relationship</t>
  </si>
  <si>
    <t>302.3/5</t>
  </si>
  <si>
    <t>HD6958.5 -- .E46332 2011eb</t>
  </si>
  <si>
    <t>'3,19,20,20,21,21,19,19,21'</t>
  </si>
  <si>
    <t>'18,18,18,18,18,18'</t>
  </si>
  <si>
    <t>'1,2,22,22,24,25,26,27,28,29,30,26,27,26,27,28,30,31,29,32,33'</t>
  </si>
  <si>
    <t>'24,25,25,26,26,26,30,31,31,31,31,31,32,32,32,32'</t>
  </si>
  <si>
    <t>'3,19,18,19'</t>
  </si>
  <si>
    <t>'18,18,18'</t>
  </si>
  <si>
    <t>'3,5,19,18,18,19'</t>
  </si>
  <si>
    <t>'1,102,103,102,102,102,115,103,104,105,106,107,108,109,110,111,112,113,116,117,118,119,120,121,122,123,124,125,126,127,129,120,92,120,120,120,120,120,121,121,122,123,119,118,118,117,116,115,115,114,113,112,111,109,107,106,105,104,103,101,102,102,102,102,103'</t>
  </si>
  <si>
    <t>'102,103,103,103,103,103,102,102,102,103'</t>
  </si>
  <si>
    <t>Mozilla/5.0 (Macintosh; Intel Mac OS X 10_14_6) AppleWebKit/537.36 (KHTML, like Gecko) Chrome/102.0.0.0 Safari/537.36</t>
  </si>
  <si>
    <t>'85,86,92,97,100,103,114,113,112,112,99,111,110,109,108,113,114,115,116,117,117'</t>
  </si>
  <si>
    <t>'3,17,17,18,19'</t>
  </si>
  <si>
    <t>'3,17,16,18,16,17,19,18,20'</t>
  </si>
  <si>
    <t>'16,16,17'</t>
  </si>
  <si>
    <t>'3,7,8,9,10'</t>
  </si>
  <si>
    <t>'1,1,37,38,39'</t>
  </si>
  <si>
    <t>'3,6,16,15,16,16,16'</t>
  </si>
  <si>
    <t>'16,16'</t>
  </si>
  <si>
    <t>Mozilla/5.0 (Windows NT 10.0; Win64; x64) AppleWebKit/537.36 (KHTML, like Gecko) Chrome/102.0.0.0 Safari/537.36</t>
  </si>
  <si>
    <t>'3,6,7,8,9,16,14,12,13,11,10,17'</t>
  </si>
  <si>
    <t>'1,3,,3,5,6,8,16,16,16,31,30,16,16'</t>
  </si>
  <si>
    <t>Britannica Concise Encyclopedia</t>
  </si>
  <si>
    <t>AG5 -- .B78 2006eb</t>
  </si>
  <si>
    <t>'1,1,2,6,22,820,773,769,447,285,284,283,282,281,278,273,268,186,187,188,190,194'</t>
  </si>
  <si>
    <t>'1,2,4,5,6,7,8,9,10,11,13,14,16,15,17,18,20,21,22,23,24,25,26,27,29,31,32,33,34'</t>
  </si>
  <si>
    <t>'10,10'</t>
  </si>
  <si>
    <t>'1,3,4,6,7,8,11,10,12,13,14,14,15,16,17,18,19,20,21,22,23,24,26,27'</t>
  </si>
  <si>
    <t>'16,16,16'</t>
  </si>
  <si>
    <t>'44,46,47,48,50,52,58,59,60,61,62,63,65,69,68,71,72,75,77,80,79,81,82,83,84,87,88,90,92,94,96,97,98,100,101,101,102,103,104,105,106,107,108,109,110,113,115,116,117,119,121,123,124,125,126,128,131,133,135,137,139,150,153,154,156,158,159,162,161,164,165,174,175,176,177,178,179,178,177,179,180,181,182,183,185,186,187,188,190,192,193,195,194,196,197'</t>
  </si>
  <si>
    <t>'176,178,180,193,193,193,193,194'</t>
  </si>
  <si>
    <t>'46,45,44'</t>
  </si>
  <si>
    <t>'1,1,63,372,1,2,1,2,1,3,145,144,143,142,141,140,138,137,135,133,134,134,134,149,150,,150,150,151,152,154,155,156,153,149,146'</t>
  </si>
  <si>
    <t>'1,2,3,4,5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'</t>
  </si>
  <si>
    <t>'150'</t>
  </si>
  <si>
    <t>'1,2,3,,1,,1'</t>
  </si>
  <si>
    <t>'53,53,54,54,54,54,53,69,67,68,71,76,75,77,78,80,82,84,86,88,90,92,95,96,94,97,99,100,100,100,,101,,102,103'</t>
  </si>
  <si>
    <t>'100,100,100,100'</t>
  </si>
  <si>
    <t>'46,,,46,49,52,53,53,53'</t>
  </si>
  <si>
    <t>Green Urbanism down Under : Learning from Sustainable Communities in Australia</t>
  </si>
  <si>
    <t>307.1/2160994</t>
  </si>
  <si>
    <t>HT243</t>
  </si>
  <si>
    <t>Mechanical Measurements</t>
  </si>
  <si>
    <t>Science; Engineering: General; Engineering; Science: Physics</t>
  </si>
  <si>
    <t>T50</t>
  </si>
  <si>
    <t>'1,2,269,271,270,343,345,346,347,348,349,344,351,351'</t>
  </si>
  <si>
    <t>'344,345,346,347,348,349,350,351'</t>
  </si>
  <si>
    <t>Teaching Strategic Processes in Reading</t>
  </si>
  <si>
    <t>LB1050.42 -- .A44 2012eb</t>
  </si>
  <si>
    <t>Mozilla/5.0 (Macintosh; Intel Mac OS X 10_11_6) AppleWebKit/605.1.15 (KHTML, like Gecko) Version/11.1.2 Safari/605.1.15</t>
  </si>
  <si>
    <t>'1,1,164,165,166,167,168,169,170,171,172,173,174,175,176,177,178'</t>
  </si>
  <si>
    <t>'187,188,189,190,191,192,193,194,195,196,197,198,199,200,201,195,195,,187,188'</t>
  </si>
  <si>
    <t>'195,196,197,198,199,200'</t>
  </si>
  <si>
    <t>'187'</t>
  </si>
  <si>
    <t>'46,46,46,46,,47,48,49,52,56,56,62,74,76,94,95,96,103,114,113,115,116,134,136,137,138,139,140,141,142,144,146,148,150,152,153,154,156,158,159,161,163,164,165,166,167,169,170,172,174,175,176,61,28,47,45,50,53,54,58,65,67,77,78,79,97,98,99,100,101,105,106,107,108,109,110,117,119,121,122,123,125,126,128,129,130,149,180,177,178,179,181,183,185,186,188,191,192,193,195,196,197,202,208,205,206'</t>
  </si>
  <si>
    <t>'46,,46,46,46,53,53,78,95,105,115,139,140,166,166,175,175,176,175'</t>
  </si>
  <si>
    <t>'38,,38,43,43,43,43,43,43,63,43,43,43,43,43,43,44,45,47,46'</t>
  </si>
  <si>
    <t>'43,43,43,44'</t>
  </si>
  <si>
    <t>'38,40,43,41,39,,38,40,42,43'</t>
  </si>
  <si>
    <t>'1,2,22,23,24,25,24,25'</t>
  </si>
  <si>
    <t>'22,22,23,23,23,23,23,23,24,24'</t>
  </si>
  <si>
    <t>Carbon Black: Production, Properties and Uses : Production, Properties and Uses</t>
  </si>
  <si>
    <t>662/.93</t>
  </si>
  <si>
    <t>TP951 -- .C37 2011eb</t>
  </si>
  <si>
    <t>'1,3,4,6,7,8,9,30,31,32'</t>
  </si>
  <si>
    <t>'38,38,39,37,40,43,42,45,47,49,51,53,54,57,56,59,62,64,66,68,69,72,73,75,74,77,78,79,84,41,,44'</t>
  </si>
  <si>
    <t>'38,38,38,38,38,39,39,39,40,40,40,40,40,40,40,41,42,,43,43'</t>
  </si>
  <si>
    <t>'37,37,37,37,38,39'</t>
  </si>
  <si>
    <t>'37,37,37,38'</t>
  </si>
  <si>
    <t>Modeling, Simulation and Control of Electrical Drives</t>
  </si>
  <si>
    <t>Institution of Engineering &amp; Technology</t>
  </si>
  <si>
    <t>Engineering: General; Engineering; Mathematics</t>
  </si>
  <si>
    <t>QA402</t>
  </si>
  <si>
    <t>'1,3,5,6,8,9,10,11,12,13,14,15,16,17,18,19,20,242,221,220,163,162,161,160,130,132,133,136,139,140,142,144,145,146,147'</t>
  </si>
  <si>
    <t>Mozilla/5.0 (Windows NT 10.0; Win64; x64) AppleWebKit/537.36 (KHTML, like Gecko) Chrome/103.0.5060.66 Safari/537.36 Edg/103.0.1264.44</t>
  </si>
  <si>
    <t>'1,7,36,35,37,38,40,39,36,37,38,,37,36,37'</t>
  </si>
  <si>
    <t>'36,36,36,36,36,36,36,,37,37'</t>
  </si>
  <si>
    <t>Mozilla/5.0 (Linux; Android 12; SM-T860) AppleWebKit/537.36 (KHTML, like Gecko) Chrome/103.0.0.0 Safari/537.36</t>
  </si>
  <si>
    <t>'1,1,1,1,36,35'</t>
  </si>
  <si>
    <t>'1,3,22,23,24,25,25,25,26,27,28,29,30,31,32,33,34,35,36,37,38'</t>
  </si>
  <si>
    <t>'1,2,3,5,5,5,6,7,8,9,10,11,12'</t>
  </si>
  <si>
    <t>'1,1,5,31,34,33'</t>
  </si>
  <si>
    <t>Mastering Autodesk Revit 2018</t>
  </si>
  <si>
    <t>NA2728.K57 2017</t>
  </si>
  <si>
    <t>'1,2,40,75'</t>
  </si>
  <si>
    <t>Real-Time Systems Development</t>
  </si>
  <si>
    <t>QA76.54.W55 2006</t>
  </si>
  <si>
    <t>'1,1,44,64,118,173,344,409,410,407,408,411,412'</t>
  </si>
  <si>
    <t>Real-time Systems: Implementation Of Industrial Computerized Process Automation</t>
  </si>
  <si>
    <t>Engineering; Computer Science/IT; Engineering: General</t>
  </si>
  <si>
    <t>QA76.54 -- .H353 1992eb</t>
  </si>
  <si>
    <t>Embedded Systems: : Design, Programming and Applications</t>
  </si>
  <si>
    <t>Engineering; Computer Science/IT; Engineering: Electrical</t>
  </si>
  <si>
    <t>TK7895.E42 .G364 2014</t>
  </si>
  <si>
    <t>'1,1,57'</t>
  </si>
  <si>
    <t>'1,187,189,190,191,193,192,195,197,196,198,200,201,202,203,204,205,206,152,194,199'</t>
  </si>
  <si>
    <t>'1,12,23,22,21,27,33,41,42,39,38,35,40,36,30,29,29,30,31,31'</t>
  </si>
  <si>
    <t>'1,2,3,4,5,6,7,8,9,10,11,13,15,16,18,19,20,21,23,24,25,26,27,27,28,27,27,27,28,28'</t>
  </si>
  <si>
    <t>'7,27,27'</t>
  </si>
  <si>
    <t>'92,93,94,95,96,97,99,100,102,104,105,106,107,108,109,110,112,113,115,116,117,118,119,120,121,122,123,124,125,126,127,128,129,130,131,132,133,134,135,136,138,139,140,141,143,144,146,147,148,149,150,151,152,153,154,155,156,159,160,161,162,163,164,165,167,169,170,172,173,174,175,176,177'</t>
  </si>
  <si>
    <t>'1,2,3,,6,7,8,9,,14,15,16,17,18,19,20,21,22,23,24,25,26,27,28,29,30,31,,32,33,34,35,36,37,38,39,40,41,42,43,44,45,46,47,48,49,50,51,52,53,54,55,56,57,58,59,60,61'</t>
  </si>
  <si>
    <t>Viscoelastic Materials</t>
  </si>
  <si>
    <t>620.1/1232</t>
  </si>
  <si>
    <t>TA418.2 -- .L349 2009eb</t>
  </si>
  <si>
    <t>'1,2,,9,10,11,12,13,14,15,16,17,18,,19,20,,21,22,23,24,25,26,27,28,29,30,31,32,33,,34,35,36,37,38,39,40,41,42,43,44,45,46,47,48,49,50,51,52,53,54,55,56,57,58,59,60,61,62,63,64,65,66,67,68,69,70,71,72,73,74,,75,76,77,78,79,80,81,82,83,84,85,86,87,88,89,90,91,92,93,94,95,96,97,98,99,100,101,102,103,104,105,106,107,108,109,110,,111,112,113,114,115,116,117,118,119,120,121,122,123,124,125,126,127,128,129,130,,131,132,133,134,135,136,137,138,139,140,141,142,143,144,145,146,147,148,149,150,151,152,153,154,155,156,157,158,159,160,161,162,163,164,,461,462,463,464,465,466,467,468,469,470,471,472,473,474,,475,476,,477,478,479,480,481'</t>
  </si>
  <si>
    <t>Polymer Viscoelasticity: Basics, Molecular Theories And Experiments : Basics, Molecular Theories, and Experiments</t>
  </si>
  <si>
    <t>Science; Engineering: General; Science: Chemistry; Engineering</t>
  </si>
  <si>
    <t>QD281.P6L56 2003</t>
  </si>
  <si>
    <t>'1,2,3,4,5,,6,7,8,9,,10,11,12,13,,14,15,16,17,18,19,20,21,22,23,24,25,26,27,28,,29,30,31,32,33,34,35,36,37,38,,39,40,41,42,43,44,45,46,47,48,49,50,51,52,53,54,55,56,57,58,59,60,61,,125,126,127,128,129,130,131,132,133,134,135,136,137,138'</t>
  </si>
  <si>
    <t>'1,114,191,223,236,234,235,237,220,52'</t>
  </si>
  <si>
    <t>Mozilla/5.0 (Windows NT 10.0; Win64; x64) AppleWebKit/537.36 (KHTML, like Gecko) Chrome/103.0.5060.53 Safari/537.36 Edg/103.0.1264.37</t>
  </si>
  <si>
    <t>'1,103,229,228,230,231,232,233'</t>
  </si>
  <si>
    <t>'1,28,29,30,31,44,43,57,51,54'</t>
  </si>
  <si>
    <t>'1,3,4,5,6,7,9,10,11,13,244,150,148,147,146'</t>
  </si>
  <si>
    <t>'1,468,467,163,164,195,211,224,219,220,221,222,223'</t>
  </si>
  <si>
    <t>'1,2,356,366,367,370,369'</t>
  </si>
  <si>
    <t>'1,2,3,20,21,22,23,24,25,26,27,28,29,98,86,87,99'</t>
  </si>
  <si>
    <t>The Essence of Islamist Extremism : Recognition Through Violence, Freedom Through Death</t>
  </si>
  <si>
    <t>BP190.5.V56 -- H35 2012eb</t>
  </si>
  <si>
    <t>Mozilla/5.0 (Linux; Android 12; SAMSUNG SM-A736B) AppleWebKit/537.36 (KHTML, like Gecko) SamsungBrowser/17.0 Chrome/96.0.4664.104 Mobile Safari/537.36</t>
  </si>
  <si>
    <t>Between Feminism and Islam : Human Rights and Sharia Law in Morocco</t>
  </si>
  <si>
    <t>HQ1236.5.M8 -- S25 2011eb</t>
  </si>
  <si>
    <t>'1,1,10,11,19'</t>
  </si>
  <si>
    <t>Mozilla/5.0 (Windows NT 10.0; Win64; x64) AppleWebKit/537.36 (KHTML, like Gecko) Chrome/102.0.5005.124 Safari/537.36 Edg/102.0.1245.44</t>
  </si>
  <si>
    <t>Collective Efficacy : How Educators Beliefs Impact Student Learning</t>
  </si>
  <si>
    <t>LB1025.3 .D666 2017</t>
  </si>
  <si>
    <t>'114,115,116,117,118,119,120,121,122,123,124,125,126,127,128,129,130,131,132,133,134,135,136,137,138'</t>
  </si>
  <si>
    <t>Principles of Medical Professionalism</t>
  </si>
  <si>
    <t>R690 .M475 2021</t>
  </si>
  <si>
    <t>'14,15,16,17,18,19,20,21,22,23,24,25,26,27,28,29,,44,45,46,47,48,49,50,51,52,53,54,55,56,57,58,59,60,61,,192,193,194,195,196,197,198,199,200,201,202,203,204,205,206,207,208,209,,288,289,290,291,292,293,294,295'</t>
  </si>
  <si>
    <t>Graph Design for the Eye and Mind</t>
  </si>
  <si>
    <t>001.4/226</t>
  </si>
  <si>
    <t>QA90 -- .K634 2006eb</t>
  </si>
  <si>
    <t>'1,1,4,5,15,16,17,18,19,20,21,22,23'</t>
  </si>
  <si>
    <t>Mozilla/5.0 (Linux; Android 10; LYA-L29) AppleWebKit/537.36 (KHTML, like Gecko) Chrome/102.0.0.0 Mobile Safari/537.36</t>
  </si>
  <si>
    <t>'1,1,20,19,22,21,23,23,22,21,24,20,47,64,63,65,143,177,178,2,1,3,4,5,6,7,8,108,109,110,111,112,88,87,89,90,91,92,93,94,48,49,50,51,52,53,54,55,56,57'</t>
  </si>
  <si>
    <t>'1,1,20,19'</t>
  </si>
  <si>
    <t>'1,2,3,32,33,34,35,36,37,38,39,41'</t>
  </si>
  <si>
    <t>Women and Islam : Myths, Apologies, and the Limits of Feminist Critique</t>
  </si>
  <si>
    <t>Lexington Books/Fortress Academic</t>
  </si>
  <si>
    <t>BP173.4 -- .B68 2014eb</t>
  </si>
  <si>
    <t>'1,3,14,15,16,17,19,20,21,22,23,24'</t>
  </si>
  <si>
    <t>'1,19,20,48,49,50,51,52,53'</t>
  </si>
  <si>
    <t>'1,1,11,12,20,19,21,22,23,24,25,26,1,1,2'</t>
  </si>
  <si>
    <t>The Islamic State : A Comparative History of Jihadist Warfare</t>
  </si>
  <si>
    <t>'1,1,2,3,4,5,8'</t>
  </si>
  <si>
    <t>The Emergence Of 'Extremism' : Exposing the Violent Discourse and Language Of 'Radicalisation'</t>
  </si>
  <si>
    <t>HN49.R33 W355 2022</t>
  </si>
  <si>
    <t>'1,1,8,7,9,10,156,157,158,159,160'</t>
  </si>
  <si>
    <t>'16,17,18,19,20,21,22,23'</t>
  </si>
  <si>
    <t>'1,4,2,5,7,8,9'</t>
  </si>
  <si>
    <t>'1,2,3,4,6,150,58,57,26,25,27,28,29,30,151,152,153,154,155,156,157,158,178,159,160,1'</t>
  </si>
  <si>
    <t>Islamic Extremism and the War of Ideas : Lessons from Indonesia</t>
  </si>
  <si>
    <t>320.5/5709598</t>
  </si>
  <si>
    <t>BP63.I5 -- H79 2010eb</t>
  </si>
  <si>
    <t>'1,3,5,8,9,10,11,12,14,15,16,17,18,19,20,21,23,24,25,26,27,28,29,30,31,33,34,35,36,37,38,39,40,41,42,43,44,46,47,48,49,50,51,52,53,54,55,56,57,59,60,61,62,63,64,65'</t>
  </si>
  <si>
    <t>'1,2,3,4,5,6,7,8,10'</t>
  </si>
  <si>
    <t>'1,102,103,104,105,106,107,108,109,110,112,121,103,104,105,106,107,108,110,111,112,113,114,115,116,117,118,119,120,121,102'</t>
  </si>
  <si>
    <t>Evidence-Based Education in the Classroom : Examples from Clinical Disciplines</t>
  </si>
  <si>
    <t>SLACK, Incorporated</t>
  </si>
  <si>
    <t>R737</t>
  </si>
  <si>
    <t>'26,27,38,39,46,47,54,64,65,72,73,84,94,95,96,104,105,106,114,115,122'</t>
  </si>
  <si>
    <t>Mozilla/5.0 (Linux; Android 11; M2101K6I) AppleWebKit/537.36 (KHTML, like Gecko) Chrome/102.0.0.0 Mobile Safari/537.36</t>
  </si>
  <si>
    <t>'1,39,40,41,42,44,43,61,62,63'</t>
  </si>
  <si>
    <t>'1,1,26,58,110'</t>
  </si>
  <si>
    <t>From the Laboratory to the Classroom : Translating Science of Learning for Teachers</t>
  </si>
  <si>
    <t>LB1060.F786 2016eb</t>
  </si>
  <si>
    <t>'18,19,20,52,176,202,203,1,2,3,14,15,4,5,6,9,10,12,13,16,17,21,22,23,25,26,64,53,24,11'</t>
  </si>
  <si>
    <t>'1,,20,21,22,23,24,25,26,27,28,29,30,31,32,33'</t>
  </si>
  <si>
    <t>'2'</t>
  </si>
  <si>
    <t>'26,28,29,30,31,32,33,34,35,37,38,39'</t>
  </si>
  <si>
    <t>'1,2,5,6,82,355,8,10'</t>
  </si>
  <si>
    <t>'304,305,306,307,308,309,310,311,312,313'</t>
  </si>
  <si>
    <t>Fundamental Planetary Science : Physics, Chemistry and Habitability</t>
  </si>
  <si>
    <t>Science: Astronomy; Science</t>
  </si>
  <si>
    <t>523.9/8</t>
  </si>
  <si>
    <t>QB361.L57 2013eb</t>
  </si>
  <si>
    <t>'42,43,44,45,46,47,48,49,50,51,52,53,54,55,56,57,58,59,60,61,62,63,64,65,66,67,68,69,70,71,72,73,74,75,76,77,78,79,80,81,,103,104,105,106,107,108,109,110,111,112,113,114,115,116,117,118,119,120,121,122,123,124,125,126,,168,169,170,171,172'</t>
  </si>
  <si>
    <t>Driveline Systems of Ground Vehicles : Theory and Design</t>
  </si>
  <si>
    <t>TL260 -- .A532 2009eb</t>
  </si>
  <si>
    <t>'36,37,38,39,41,41,36,42,43,44,46,47,48,49,50,51,52,53,54,55,56,57,58,59,60,61,62,63,64,65,66,67,68,70,71,72,73,74,75,76,77,78,79,80,81,82,83,84,85,86,87,88,89,90,91,92,93,94,95,96,97,98,99'</t>
  </si>
  <si>
    <t>'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'</t>
  </si>
  <si>
    <t>Modeling and Control of Engines and Drivelines</t>
  </si>
  <si>
    <t>TL260 -- .E65 2014eb</t>
  </si>
  <si>
    <t>'393,394,393,251,394,395,396,397,398,399,401,400,402,403,404,405,406,407,408,409,410,411'</t>
  </si>
  <si>
    <t>Islamic Extremism in Kuwait : From the Muslim Brotherhood to Al-Qaeda and Other Islamic Political Groups</t>
  </si>
  <si>
    <t>322/.1095367</t>
  </si>
  <si>
    <t>BP63.K9 -- A46 2010eb</t>
  </si>
  <si>
    <t>Sufism in Europe and North America</t>
  </si>
  <si>
    <t>BP188.8.E9 -- S84 2004eb</t>
  </si>
  <si>
    <t>'1,59,58,60,61,62,63,64,65,66,67,68,69,70,71,73,75,74'</t>
  </si>
  <si>
    <t>'1,3,61,62'</t>
  </si>
  <si>
    <t>'1,1,110,109,110,95,112,119,120,123,128,138,150,111,113,121,122,124'</t>
  </si>
  <si>
    <t>'1,1,44,43,11'</t>
  </si>
  <si>
    <t>'1,,1,4,8,7'</t>
  </si>
  <si>
    <t>'28,29,30,31,32,33,34,35,36,37,38,39,40,41,42,43,44,45,46,47,48,49,50,51,52,53,54,55,56,57,58,59,60,61,62,63,64,65,66'</t>
  </si>
  <si>
    <t>Materials Science and Engineering</t>
  </si>
  <si>
    <t>TA403 -- .C27 1991eb</t>
  </si>
  <si>
    <t>'1,23,24,25,26,27,,27'</t>
  </si>
  <si>
    <t>Control of Electrical Drives</t>
  </si>
  <si>
    <t>'1,3,2,4,5,7,8,9,10,11,12'</t>
  </si>
  <si>
    <t>'1,6,5,7,8,10,12,49,50,51,52,53,54,55,56,57,58,59,60,61,62,63,65,66,67,68,69,70,71,72,73,75,76'</t>
  </si>
  <si>
    <t>Sufi Aesthetics : Beauty, Love, and the Human Form in the Writings of Ibn 'Arabi And 'Iraqi</t>
  </si>
  <si>
    <t>297.4/167</t>
  </si>
  <si>
    <t>BP189.3 .Z36 2011</t>
  </si>
  <si>
    <t>'1,4,5,5,5,6,104,128,129'</t>
  </si>
  <si>
    <t>Ibn 'Arabi and Modern Thought : The History of Taking Metaphysics Seriously</t>
  </si>
  <si>
    <t>181/.92</t>
  </si>
  <si>
    <t>B753.I24 -- C58 2002eb</t>
  </si>
  <si>
    <t>'146,147,141,142,137,139,140,143,144,145,146,146,,134,,135,136,137,138,139,140,141,142,143,144,145,146,147,148,149,150,151,152,154,153,155,156,157,159,160,161,162,163,164,165,168,169,170,172,174,175,176,178,177,180,181,182,183,184,185,186,134,187,134,173,185'</t>
  </si>
  <si>
    <t>'28,29,30,31,32,33,34,35,36,37,38,39,40,41,42,43,44,45,46,47,48,49,50,51,52,53,54,55,56,57,58,59,60,61,62,63,64'</t>
  </si>
  <si>
    <t>Mozilla/5.0 (Windows NT 10.0; Win64; x64) AppleWebKit/537.36 (KHTML, like Gecko) Chrome/102.0.5005.115 Safari/537.36</t>
  </si>
  <si>
    <t>'1,2,3,4,5,6,7,28,29,30,26,27,25,31,57,56,59,58,54,53,52,33,35,34,32,37,38,40,39,41,42,43,44,45,46,47,48,49,50,51,55,30,30,30,30'</t>
  </si>
  <si>
    <t>'29,30,28,29,30,31,32,33,34,35,36,37,38,39,40,41,42,43,44,45,46,47,48,49,50,51,52,53,54,55,56,57,58,59'</t>
  </si>
  <si>
    <t>'1,11,14,13,15,16,17,18,19,20,21,28,36,38,44,51,56,55,45,46,29,65,63,62,31,34,33,39,40,41,42,37,47,48,49,50,43,52,53,54,57,58,60,61,64'</t>
  </si>
  <si>
    <t>'56,44'</t>
  </si>
  <si>
    <t>Al-Ghazali, Averroes and the Interpretation of the Qur'an : Common Sense and Philosophy in Islam</t>
  </si>
  <si>
    <t>181/.07</t>
  </si>
  <si>
    <t>B753.G34 -- W5413 2010eb</t>
  </si>
  <si>
    <t>'1,24,25,26,27,28,37,36,38,65,66,67,68,69,70,71,72,73,74,75,76,77,78,79,80,81,82,83,84,85,88,90,89,91,92,93,95,97,98,99,100,101,102,103,104,105,107,108,109,110,111,112,113,114,115,116,117,118,119,120,123,124,125,126,122,121'</t>
  </si>
  <si>
    <t>'1,85,84,86,87,88,89,90,91'</t>
  </si>
  <si>
    <t>'1,45,46,47,48,49,50,51,52,53,55,54,56,57,58,59'</t>
  </si>
  <si>
    <t>Mutual Othering : Islam, Modernity, and the Politics of Cross-Cultural Encounters in Pre-Colonial Moroccan and European Travel Writing</t>
  </si>
  <si>
    <t>916.404/3</t>
  </si>
  <si>
    <t>DT309 -- .I48 2013eb</t>
  </si>
  <si>
    <t>'1,34,35,37,32,28,27,29,57,58,59,60,61,31,33,36,38,30'</t>
  </si>
  <si>
    <t>'1,24,25,29,28'</t>
  </si>
  <si>
    <t>Simulation Scenarios for Nursing Educators, Second Edition : Making It Real</t>
  </si>
  <si>
    <t>Nursing</t>
  </si>
  <si>
    <t>610.73071/1</t>
  </si>
  <si>
    <t>WY 18</t>
  </si>
  <si>
    <t>'84'</t>
  </si>
  <si>
    <t>Making Habits, Breaking Habits : Why We Do Things, Why We Don't, and How to Make Any Change Stick</t>
  </si>
  <si>
    <t>Hachette Books</t>
  </si>
  <si>
    <t>Literature; Psychology</t>
  </si>
  <si>
    <t>153.83;153.85;158.1;813.6</t>
  </si>
  <si>
    <t>BF337.B74 -- D43 2013eb</t>
  </si>
  <si>
    <t>Copy</t>
  </si>
  <si>
    <t>Non-Linear</t>
  </si>
  <si>
    <t>Non-Linear Loan</t>
  </si>
  <si>
    <t>'143,144,145,146,147,148,149,150,151,152,153,154,155,156,157,158,159,160,161,141,140,139,142,162,163,164,165,167,169,171,172,174,175,176,177,178,179,180,181,182,183,184,185,187,188,190,191,192,193,194,195,196,197,198,200,201,202,204,239,238,237,236,235,237,237,,143,239,238,237,236,235,139,141,140,142,144,145,146,147,148,149,150,151,152,153,154,155,156,157,158,159,160,161,162,163,163,162,164,165,166,167,168,169,170,171,173,173,175,176,177,178,179,180,171,170,169,168'</t>
  </si>
  <si>
    <t>'236,237,,236,237,141,144,145,154,169,173,173'</t>
  </si>
  <si>
    <t>'1,2,139,140,141,142,143'</t>
  </si>
  <si>
    <t>The 108 Skills of Natural Born Leaders</t>
  </si>
  <si>
    <t>HD57.7.B567 2001</t>
  </si>
  <si>
    <t>'1,3,4,5,6,8,71,72,73,74,75,76,77,78'</t>
  </si>
  <si>
    <t>The Handbook of Health Behavior Change, Third Edition</t>
  </si>
  <si>
    <t>RA776.9.H36 2009</t>
  </si>
  <si>
    <t>'1,2,3,4,7,6,9,12,,1,2,224,225,226,227,228,229'</t>
  </si>
  <si>
    <t>Clinical Simulation : Operations, Engineering and Management</t>
  </si>
  <si>
    <t>R837.S55C55 2008</t>
  </si>
  <si>
    <t>'1,2,3,,25,26,27'</t>
  </si>
  <si>
    <t>'22,24,25,,,,84,84,85,,,84,83,,22,23,24,26,,84'</t>
  </si>
  <si>
    <t>'22,23,24,25,26,27,28,29,30,31,32,33,34,35,36,37,38,39,40,41,42,43,44,45,46,47,48,49,50,51,52,53,54,55,56,57,58,59,60,61,62,63,64,65,66,67,68,69,70,71,72,73,74,75,76,77,78,79,80,81,82,83,,506,507,508,509,510,511,512,513,514,515,516,517,518,519,520,521,522,523,524,525,526,527,528,529,530,531,532,533,534,535,536,537,538,539,540,541,542,543,544,545,546,547,548,549,550,551,552,553,554,555'</t>
  </si>
  <si>
    <t>Born Entrepreneurs, Born Leaders : How Your Genes Affect Your Work Life</t>
  </si>
  <si>
    <t>Science; Psychology; Science: Biology/Natural History</t>
  </si>
  <si>
    <t>QH457.S53 2010</t>
  </si>
  <si>
    <t>'1,1,15,72,106,157,169,170,189,225,226'</t>
  </si>
  <si>
    <t>Mozilla/5.0 (Macintosh; Intel Mac OS X 10_12_6) AppleWebKit/537.36 (KHTML, like Gecko) Chrome/102.0.0.0 Safari/537.36</t>
  </si>
  <si>
    <t>'1,2,2,2,2,2,2,2,2,3,4,5,6,7,8'</t>
  </si>
  <si>
    <t>'1,1,1,1,1,1,2,3,4,6,7,8,9,10,13,12,11,14,15,16,90,91'</t>
  </si>
  <si>
    <t>A Tale of Two Cities</t>
  </si>
  <si>
    <t>Literature; Fine Arts</t>
  </si>
  <si>
    <t>741.5/942</t>
  </si>
  <si>
    <t>PR4571$b.D535 2014</t>
  </si>
  <si>
    <t>'1,7,9,8,11,,1,2,431,432,433'</t>
  </si>
  <si>
    <t>Obstructive Sleep Apnea: Causes, Treatment and Health Implications : Causes, Treatment and Health Implications</t>
  </si>
  <si>
    <t>RC737.5 -- .O27 2012eb</t>
  </si>
  <si>
    <t>'1,2,3,4,5,6,7,8,9,10,11,12,13,14,15,16,3'</t>
  </si>
  <si>
    <t>'1,106,105,,121'</t>
  </si>
  <si>
    <t>'106,107,108,109,110,,111,112,113,114,115,116,,117,118,119,120,,99,100,101,102,103,104,105,,86,87,88,89,90,91,92,93,94,95,96,97,98'</t>
  </si>
  <si>
    <t>'102,103,104,105,106,107,108,109,110,111,112,113,114,115,116,117,118,119,120'</t>
  </si>
  <si>
    <t>'187,188,190,191,192,193'</t>
  </si>
  <si>
    <t>'1,83,84'</t>
  </si>
  <si>
    <t>'21,22,23,24,83,84,85,86,87,88,89,102,101,103,104,105,106'</t>
  </si>
  <si>
    <t>Social and economic issues on money and real economy relations : perspectives from Islamic economics and finance</t>
  </si>
  <si>
    <t>332/.0917/67</t>
  </si>
  <si>
    <t>HB172.5 -- .S63 2006eb</t>
  </si>
  <si>
    <t>Mozilla/5.0 (Linux; Android 11; SAMSUNG SM-N970F) AppleWebKit/537.36 (KHTML, like Gecko) SamsungBrowser/17.0 Chrome/96.0.4664.104 Mobile Safari/537.36</t>
  </si>
  <si>
    <t>Islamic Civilization : Its Foundational Beliefs and Principles</t>
  </si>
  <si>
    <t>BP166.M393 2013</t>
  </si>
  <si>
    <t>'1,2,3,5,6,7,9,8,10,12,11'</t>
  </si>
  <si>
    <t>'1,14,15,19,20,21,30,34'</t>
  </si>
  <si>
    <t>Thermal Management of Electric Vehicle Battery Systems</t>
  </si>
  <si>
    <t>TL220.D563 2017</t>
  </si>
  <si>
    <t>'1,4,2,3,6'</t>
  </si>
  <si>
    <t>Mozilla/5.0 (Windows NT 6.3; Win64; x64) AppleWebKit/537.36 (KHTML, like Gecko) Chrome/102.0.0.0 Safari/537.36</t>
  </si>
  <si>
    <t>Advances in Mechanical Engineering : Selected Contributions from the Conference Modern Engineering: Science and Education , Saint Petersburg, Russia, June 20-21 2013</t>
  </si>
  <si>
    <t>TA1-2040</t>
  </si>
  <si>
    <t>'1,2,8,9'</t>
  </si>
  <si>
    <t>Mozilla/5.0 (Macintosh; Intel Mac OS X 10_15_7) AppleWebKit/537.36 (KHTML, like Gecko) Chrome/103.0.5060.53 Safari/537.36</t>
  </si>
  <si>
    <t>'1,28,37'</t>
  </si>
  <si>
    <t>'1,83,84,82'</t>
  </si>
  <si>
    <t>Mozilla/5.0 (iPhone; CPU iPhone OS 15_4_1 like Mac OS X) AppleWebKit/605.1.15 (KHTML, like Gecko) Version/15.4 Mobile/15E148 Safari/604.1</t>
  </si>
  <si>
    <t>'7,8'</t>
  </si>
  <si>
    <t>'61,62,63'</t>
  </si>
  <si>
    <t>'14,15,16,17,18,19,20,21'</t>
  </si>
  <si>
    <t>'14,15,16,17,18,19,20,21,22,23,24,25,26,27,28,29,30,31,32,33,34,35,36,37,38'</t>
  </si>
  <si>
    <t>Averroès: le Philosophe et la Loi : Édition, Traduction et Commentaire de l'Abrégé du Mustasfa</t>
  </si>
  <si>
    <t>B753.G34 -- .B68 2015eb</t>
  </si>
  <si>
    <t>Islam in the Modern World</t>
  </si>
  <si>
    <t>BP161.3 .I739 2013</t>
  </si>
  <si>
    <t>'1,7,6,5,4,9,11,13,14,16,18,20'</t>
  </si>
  <si>
    <t>Performing Islam : Gender and Ritual in Iran</t>
  </si>
  <si>
    <t>305.48/6970955</t>
  </si>
  <si>
    <t>HQ1735.2.T67 2007</t>
  </si>
  <si>
    <t>Islam: The Way of Revival : The Way of Revival</t>
  </si>
  <si>
    <t>BP161.3 .I78 2015</t>
  </si>
  <si>
    <t>'1,4,5,6,7'</t>
  </si>
  <si>
    <t>Islam Today : An Introduction</t>
  </si>
  <si>
    <t>BP161.3.G4354 2010</t>
  </si>
  <si>
    <t>'1,74,73,75,149,150,153,152'</t>
  </si>
  <si>
    <t>Islam and Business : Cross-Cultural and Cross-National Perspectives</t>
  </si>
  <si>
    <t>297.2/73</t>
  </si>
  <si>
    <t>BP173.75 .I766 2014</t>
  </si>
  <si>
    <t>'1,3,5,6,8,83,102,103,105,106,107,108,110,111,112,104,114,116,118,120,121,108'</t>
  </si>
  <si>
    <t>Human Rights and the Impact of Religion</t>
  </si>
  <si>
    <t>'36,37,38,39,40,41,42'</t>
  </si>
  <si>
    <t>'1,83,102,84,84,84,102,102,102'</t>
  </si>
  <si>
    <t>'83,84,85,86,87,88,89,90,91,92,93,94,95,96,97,98,99,100,101,102,103,104,105,106,107,108,109,110,111,112,113,114,115,116,117,118,119,120'</t>
  </si>
  <si>
    <t>The Imperial Army Project : Britain and the Land Forces of the Dominions and India, 1902-1945</t>
  </si>
  <si>
    <t>'1,1,1,81,80,79,78,77,76,2,3,4,5,6,7,8,,1'</t>
  </si>
  <si>
    <t>'1,2,102,104,103,105,106,107,108,110,111,112,113,114,116,117,121,120,21,22,45,46'</t>
  </si>
  <si>
    <t>Islamic State : Rewriting History</t>
  </si>
  <si>
    <t>DS39.3</t>
  </si>
  <si>
    <t>'1,102,101,103,104,106,108,109,111,112,113,114,107'</t>
  </si>
  <si>
    <t>'1,2,10,11,85,86,88,89,90,92,93,94,95,105,104,91,87,106,107,109,110,111,112,114,115,113'</t>
  </si>
  <si>
    <t>Mozilla/5.0 (Linux; Android 12; SM-T860) AppleWebKit/537.36 (KHTML, like Gecko) Chrome/102.0.0.0 Safari/537.36</t>
  </si>
  <si>
    <t>'1,14,13,15,17,18,39,41'</t>
  </si>
  <si>
    <t>'1,1,12'</t>
  </si>
  <si>
    <t>The Story of Islamic Philosophy : Ibn Tufayl, Ibn Al-'Arabi, and Others on the Limit Between Naturalism and Traditionalism</t>
  </si>
  <si>
    <t>B741 -- .B375 2011eb</t>
  </si>
  <si>
    <t>'1,2,7,8,9,81,82,83,84,85'</t>
  </si>
  <si>
    <t>Islamic Philosophy Aâ âZ</t>
  </si>
  <si>
    <t>B741 -- .G76 2007eb</t>
  </si>
  <si>
    <t>'1,6,8,7,10'</t>
  </si>
  <si>
    <t>'1,7,6,28,31,32,30,29,34,63,62,8,9'</t>
  </si>
  <si>
    <t>'100,111,112,113,114,115,121,122,123,124,120,1,,,85,85'</t>
  </si>
  <si>
    <t>'112'</t>
  </si>
  <si>
    <t>'85,86,99,98,100,,100,100,100'</t>
  </si>
  <si>
    <t>'99,100,101,102,103,104,105'</t>
  </si>
  <si>
    <t>'1,2,3,7,6,8,85,86,87,88,,,85,86,87'</t>
  </si>
  <si>
    <t>Islam, Science, and the Challenge of History</t>
  </si>
  <si>
    <t>297.2/65</t>
  </si>
  <si>
    <t>BP190.5.S3 -- D35 2010eb</t>
  </si>
  <si>
    <t>'125,,125,126'</t>
  </si>
  <si>
    <t>'125,126,127,128,129,130,131,132,133,134,135,136,137,138,139,140,141,142,143,144,145,146,147,148,149,150,151,152,153,154,155,156,157,158,159,160,161,162,163'</t>
  </si>
  <si>
    <t>Islam Encountering Globalisation</t>
  </si>
  <si>
    <t>BP60 .I7844 2012</t>
  </si>
  <si>
    <t>'1,2,16,17,19,20'</t>
  </si>
  <si>
    <t>'16,17,18,19,20,21,22,23,24,25,26,27,28'</t>
  </si>
  <si>
    <t>'125,126,127,128'</t>
  </si>
  <si>
    <t>Islam As Political Religion : The Future of an Imperial Faith</t>
  </si>
  <si>
    <t>BP173.7 -- .A4925 2010eb</t>
  </si>
  <si>
    <t>'22,24,26,,22,94,95,96,97,98,99'</t>
  </si>
  <si>
    <t>Islam : History, Religion, and Politics</t>
  </si>
  <si>
    <t>BP50.S65 2016</t>
  </si>
  <si>
    <t>'43,44,45,46,47,48,49,50,51,52,53,54,55,56,57,58,59,60,61,62,63,64,65,66,67,68,69,70,71,72,73,74'</t>
  </si>
  <si>
    <t>Airborne Doppler Radar : Applications, Theory, and Philosophy</t>
  </si>
  <si>
    <t>TK6592.D6 -- S34 2006eb</t>
  </si>
  <si>
    <t>'1,3,4,7,8'</t>
  </si>
  <si>
    <t>Mozilla/5.0 (Windows NT 10.0; Win64; x64) AppleWebKit/537.36 (KHTML, like Gecko) Chrome/102.0.5005.63 Safari/537.36 Edg/102.0.1245.39</t>
  </si>
  <si>
    <t>Doppler Radar Physiological Sensing</t>
  </si>
  <si>
    <t>R857.P36 -- .D677 2016eb</t>
  </si>
  <si>
    <t>'1,3,5,8,7,10,12,14,16,18,19,20,22,24,27,26,29,31,35,33,37,39,42,44,41,46,47,38,40,43,45,48,49'</t>
  </si>
  <si>
    <t>'1,125,126'</t>
  </si>
  <si>
    <t>Islam and the Challenge of Civilization</t>
  </si>
  <si>
    <t>Fordham University Press</t>
  </si>
  <si>
    <t>297.2/709051</t>
  </si>
  <si>
    <t>BP161.3 -- .M43 2013eb</t>
  </si>
  <si>
    <t>'1,261,26,27,28'</t>
  </si>
  <si>
    <t>Market Orientalism : Cultural Economy and the Arab Gulf States</t>
  </si>
  <si>
    <t>HC415.36.S65 2015</t>
  </si>
  <si>
    <t>After Orientalism : Critical Perspectives on Western Agency and Eastern Re-Appropriations</t>
  </si>
  <si>
    <t>303.48/2182105</t>
  </si>
  <si>
    <t>DS61.85.C6513 2011</t>
  </si>
  <si>
    <t>Understanding Islamic Finance</t>
  </si>
  <si>
    <t>332.0917/67</t>
  </si>
  <si>
    <t>HG3368.A6A98 2007</t>
  </si>
  <si>
    <t>'1,2,35'</t>
  </si>
  <si>
    <t>A Cross-Cultural Dialogue on Health Care Ethics</t>
  </si>
  <si>
    <t>Wilfrid Laurier University Press</t>
  </si>
  <si>
    <t>R724.C76 1999</t>
  </si>
  <si>
    <t>'1,224'</t>
  </si>
  <si>
    <t>'1,3,109,35,36,37,38,39,40,42,43,44,46,47,49,,1,5,6,7,9,10,8,11,35,36'</t>
  </si>
  <si>
    <t>'39,40,41'</t>
  </si>
  <si>
    <t>'36'</t>
  </si>
  <si>
    <t>Islamic Law (RLE Politics of Islam) : Social and Historical Contexts</t>
  </si>
  <si>
    <t>KBP144</t>
  </si>
  <si>
    <t>'1,2,10'</t>
  </si>
  <si>
    <t>'1,4,5,3,6,8,9,10,7,11,12,14,15'</t>
  </si>
  <si>
    <t>Aircraft Control Allocation</t>
  </si>
  <si>
    <t>TL678.D874 2017</t>
  </si>
  <si>
    <t>The Leptonic Magnetic Monopole - Theory and Experiments</t>
  </si>
  <si>
    <t>TK7800</t>
  </si>
  <si>
    <t>'1,3,5,6,8,9,10,11,12,32,33,34,35,36,37,38,39,40,41,204,205,206,207,208,209,210,211,212,213,214,215,216,217,218,219,220,221,222,223,224,225,226,227,228'</t>
  </si>
  <si>
    <t>Mozilla/5.0 (Windows NT 10.0; Win64; x64; rv:101.0) Gecko/20100101 Firefox/101.0</t>
  </si>
  <si>
    <t>'1,2,3,,4,,5,,5,,6,7,8,9,,10,11,12,13'</t>
  </si>
  <si>
    <t>Elementary Linear Algebra</t>
  </si>
  <si>
    <t>QA184 .P737 2012</t>
  </si>
  <si>
    <t>'1,30,31,3,4,5,6,7,8,9,12,13,182'</t>
  </si>
  <si>
    <t>The Listening Leader : Creating the Conditions for Equitable School Transformation</t>
  </si>
  <si>
    <t>LB2806.S323 2017</t>
  </si>
  <si>
    <t>'1,3,4,5,6,7,8,9,10,11,12,13,14,15,16,17,27,28,29,30,29'</t>
  </si>
  <si>
    <t>'29,29'</t>
  </si>
  <si>
    <t>Are Leaders Born or Are They Made? : The Case of Alexander the Great</t>
  </si>
  <si>
    <t>DF234.3 -- .K4813 2004eb</t>
  </si>
  <si>
    <t>'1,1,14,14,14,17,106,140,16,15,14,,1'</t>
  </si>
  <si>
    <t>'1,3,4,5,6,7,2,9,10'</t>
  </si>
  <si>
    <t>'1,2,3,4,5,6,8,10,11,12,13,14,15,16,17,18,19,20,22'</t>
  </si>
  <si>
    <t>'1,1,136'</t>
  </si>
  <si>
    <t>'1,1,80,81,82'</t>
  </si>
  <si>
    <t>'80,80'</t>
  </si>
  <si>
    <t>'1,4,10,11,12,12,12,12'</t>
  </si>
  <si>
    <t>'11,11,11,12,12,12,12,12,12,12'</t>
  </si>
  <si>
    <t>'1,2,5,3,4,6,8,7'</t>
  </si>
  <si>
    <t>Leadership development</t>
  </si>
  <si>
    <t>658.4;658.4092</t>
  </si>
  <si>
    <t>HD57.7 -- .L43 2004eb</t>
  </si>
  <si>
    <t>'1,2,134,135,136,137,138,139,,141,142,143,144,139,179,180,181,182,183,184,195,196,197,198'</t>
  </si>
  <si>
    <t>'135,136,136,136,136,137,137,137,,138,139,195'</t>
  </si>
  <si>
    <t>'1,134,135,136,137'</t>
  </si>
  <si>
    <t>'134,134,134,135,134,135,135'</t>
  </si>
  <si>
    <t>'1,1,6,10,11,191,192,193,194,195,190,188,187,186,185,184,183,182,59,136,137'</t>
  </si>
  <si>
    <t>Starting an Online Business All-In-One for Dummies</t>
  </si>
  <si>
    <t>HD30.37.B454 2017</t>
  </si>
  <si>
    <t>'1,2,3,4,,31,32,33,34,35,36,37,38,39,40,41,42,43,44,45,46,47,48,49,50,51,52,53,54,55,56,57,58,59,60,61,62,63,64,65,66,67,68,69,70,71,72,73,74,75,76,77,78,79,80,81,82,83,84,85,86,87,88,89,90,91,92,93,94,95,96,97,98,99,100,101,102,103,104,105,106,107,108'</t>
  </si>
  <si>
    <t>Mozilla/5.0 (Linux; Android 12; SAMSUNG SM-A315F) AppleWebKit/537.36 (KHTML, like Gecko) SamsungBrowser/16.2 Chrome/92.0.4515.166 Mobile Safari/537.36</t>
  </si>
  <si>
    <t>What is this Thing Called Leadership? : Prominent Australians Tell Their Stories</t>
  </si>
  <si>
    <t>Australian Academic Press</t>
  </si>
  <si>
    <t>658.001;658.4/092;658.4092</t>
  </si>
  <si>
    <t>HD38.2 -- .C73 2007eb</t>
  </si>
  <si>
    <t>Leadership : Learning, Teaching, and Practice</t>
  </si>
  <si>
    <t>'1,2,3,4,5,6,26,25,23,19,19,18,17,16,15,14,13,12,11,151,152,153,150,148,126,127,129,130,129,130,131,132,133,134,135,136,137,138'</t>
  </si>
  <si>
    <t>'1,10,11,12,13,14,15,16,17,18,19,20,21,22,23,24,26'</t>
  </si>
  <si>
    <t>'10,10,11'</t>
  </si>
  <si>
    <t>'1,134,135,136,137,133,135,,1,3,134,136,135,137,138,139,140,141,142,143,144,145,195,196,197,198,199,200,201,202,203,204,205,206,207,209,210,195,174,106,106,180,179,181,180,180,,180,17,18,15,16,14,19,29,29,17,134,134,,135,136,137'</t>
  </si>
  <si>
    <t>'1,2,3,4,5,6,7,8,9,12,12,12,23,14,13,15,16,18,19,20,21,22,24,23,77,77,77,77,77,,1,1,26,27,73,77,77,23,24,30,27,31,30,30,25,101,76,77,78,79,80,81,82,75,83,84,85,86,87,90,94,96,98,102,99,103,104,106,107,108,109,110,111,112,113,114,115,116,117,119,118,120,121,122,123,124,125,126,127,128,129,125,22,23,24,25,26,27,29,30,32,34,36,37,38,41,40,,40,22,23,22,22,45,79,78,78,80'</t>
  </si>
  <si>
    <t>Carbon Footprint Analysis : Concepts, Methods, Implementation, and Case Studies</t>
  </si>
  <si>
    <t>TD885.5.C3 -- F73 2012eb</t>
  </si>
  <si>
    <t>'1,2,21,22,13,21,21,25,21,21,21,22,23,24,25,26,27'</t>
  </si>
  <si>
    <t>Yoga for Pain Relief : A New Approach to an Ancient Practice</t>
  </si>
  <si>
    <t>Dudley Court Press, LLC</t>
  </si>
  <si>
    <t>Medicine; Health</t>
  </si>
  <si>
    <t>RM727.Y64 .A434 2017</t>
  </si>
  <si>
    <t>'2,3,4,5,6,7,8,9,10,11,12,13,14,15,16,17,18,19,21'</t>
  </si>
  <si>
    <t>Conversations about Physics, Volume 1</t>
  </si>
  <si>
    <t>Open Agenda Publishing</t>
  </si>
  <si>
    <t>Science; Language/Linguistics; Science: Physics</t>
  </si>
  <si>
    <t>QC75 .B878 2021</t>
  </si>
  <si>
    <t>'1,1,235,236,237,238,239,240,241,242,243,244,245,246,247,248,255,256,257,258,288,289,290,291,292'</t>
  </si>
  <si>
    <t>'236,237'</t>
  </si>
  <si>
    <t>The Essential Guide to Image Processing</t>
  </si>
  <si>
    <t>Engineering: Electrical; Engineering; Engineering: Civil</t>
  </si>
  <si>
    <t>TA1637.E87 2009</t>
  </si>
  <si>
    <t>Mozilla/5.0 (Windows NT 10.0; Win64; x64) AppleWebKit/537.36 (KHTML, like Gecko) Chrome/102.0.5005.124 Safari/537.36 Edg/102.0.1245.41</t>
  </si>
  <si>
    <t>Micro Energy Harvesting</t>
  </si>
  <si>
    <t>TK2897 -- .M537 2015eb</t>
  </si>
  <si>
    <t>Piezoelectric Energy Harvesting : Methods, Progress, and Challenges</t>
  </si>
  <si>
    <t>Business/Management; Engineering: Electrical</t>
  </si>
  <si>
    <t>'8,9,,44,45,46,47,48,49,50,51,52,53,54,55,56,57,58,59'</t>
  </si>
  <si>
    <t>Piezoelectric Energy Harvesting : Modelling and Application</t>
  </si>
  <si>
    <t>TK7872.P54E78 2011</t>
  </si>
  <si>
    <t>'1,2,3,5,6,7,13,12,11,10,9'</t>
  </si>
  <si>
    <t>Mozilla/5.0 (Windows NT 10.0; Win64; x64) AppleWebKit/537.36 (KHTML, like Gecko) Chrome/102.0.5005.63 Safari/537.36</t>
  </si>
  <si>
    <t>Spin-Crossover Materials : Properties and Applications</t>
  </si>
  <si>
    <t>TK7874.887 -- .S586 2013eb</t>
  </si>
  <si>
    <t>'1,2,4,6,8'</t>
  </si>
  <si>
    <t>Applications of Graphene and Graphene-Oxide Based Nanomaterials</t>
  </si>
  <si>
    <t>Engineering: Civil; Engineering; Science: Chemistry; Science</t>
  </si>
  <si>
    <t>546.6/81</t>
  </si>
  <si>
    <t>TA418.9.N35 -- .R39 2015eb</t>
  </si>
  <si>
    <t>'1,2,3,4,5,6,8,9,10,11,12,13,14,15,16'</t>
  </si>
  <si>
    <t>'1,3,2,4,9,10,11,12,13'</t>
  </si>
  <si>
    <t>Global Navigation Satellite Systems, Inertial Navigation, and Integration</t>
  </si>
  <si>
    <t>Engineering: General; Engineering; Geography/Travel</t>
  </si>
  <si>
    <t>G109.5 -- .G74 2013eb</t>
  </si>
  <si>
    <t>'514,515,516,517,518,519,520,521,522,523,524,525,526,527,528,529,530,531,532,533,534,535,536'</t>
  </si>
  <si>
    <t>'1,1,11,13,52,108,109,123,139,139,372,373,374'</t>
  </si>
  <si>
    <t>Introduction to Computational Contact Mechanics : A Geometrical Approach</t>
  </si>
  <si>
    <t>620.1/05</t>
  </si>
  <si>
    <t>TA353 -- .K669 2015eb</t>
  </si>
  <si>
    <t>'1,2,3,4,5,6,7,8,9,10,11,12,135,134,133,132,131,136,137,138'</t>
  </si>
  <si>
    <t>Calculus : An Active Approach with Projects</t>
  </si>
  <si>
    <t>American Mathematical Society</t>
  </si>
  <si>
    <t>QA303.2 -- .I84 2010eb</t>
  </si>
  <si>
    <t>'1,3,5,4,6,7,8,9,10,12'</t>
  </si>
  <si>
    <t>'1,2,3,4,6,5'</t>
  </si>
  <si>
    <t>#i#ek's Jokes : (Did You Hear the One about Hegel and Negation?)</t>
  </si>
  <si>
    <t>PN6149.P5 -- .Z59 2014eb</t>
  </si>
  <si>
    <t>'1,1,1,29,30,42,49,53,54,55,56,60,62,63,66,67,68,71,72,81,82,100,101,137,138,54,25'</t>
  </si>
  <si>
    <t>'29,54'</t>
  </si>
  <si>
    <t>Wireless Power Transfer for Electric Vehicles and Mobile Devices</t>
  </si>
  <si>
    <t>TK3091.R56 2017</t>
  </si>
  <si>
    <t>Research Priorities for Airborne Particulate Matter : IV. Continuing Research Progress</t>
  </si>
  <si>
    <t>TD883.15.N387 v.4eb</t>
  </si>
  <si>
    <t>'1,1,19,20,143,144,145'</t>
  </si>
  <si>
    <t>The First Generation Student Experience : Implications for Campus Practice, and Strategies for Improving Persistence and Success</t>
  </si>
  <si>
    <t>Stylus Publishing, LLC</t>
  </si>
  <si>
    <t>378.1/982</t>
  </si>
  <si>
    <t>LC148.2.D38 2010</t>
  </si>
  <si>
    <t>'4,4,3,5,6,8,10,11,12,13,14,15,16,17,18,19,20,21,22,23,24,25,26'</t>
  </si>
  <si>
    <t>'19,19,26'</t>
  </si>
  <si>
    <t>'1,1,10,11,12,2,3'</t>
  </si>
  <si>
    <t>'1,1,,1,1,48,47'</t>
  </si>
  <si>
    <t>'1,1,48,47,49,50,51,,51,51,52,53,54,55,56,57,58,59,60,61,62,63,64,65'</t>
  </si>
  <si>
    <t>Visions of Awakening Space and Time : Dōgen and the Lotus Sutra</t>
  </si>
  <si>
    <t>BQ9449.D657L45 2007</t>
  </si>
  <si>
    <t>'1,1,20,19,21,22,23'</t>
  </si>
  <si>
    <t>Thoughts on the East</t>
  </si>
  <si>
    <t>BR128.A77 .M478 1996</t>
  </si>
  <si>
    <t>'1,1,1,13,13,20'</t>
  </si>
  <si>
    <t>'1,1,10,6,11,12,14,15,16,17,18,19,20,21,22,23,24,25,26,27,28,29,30,31,32,33,34,35,36,37,38,39,40,41,42,43,44,45,46,47,48,49,50,51,52,53,54'</t>
  </si>
  <si>
    <t>'1,4,3,5,6,6,6,7,10,17'</t>
  </si>
  <si>
    <t>Introduction to Biomedical Instrumentation : The Technology of Patient Care</t>
  </si>
  <si>
    <t>R856 -- .C52 2009eb</t>
  </si>
  <si>
    <t>'151,149,150,145,143,141,144'</t>
  </si>
  <si>
    <t>Using Geochemical Data : Evaluation, Presentation, Interpretation</t>
  </si>
  <si>
    <t>QE515 .R75 2014</t>
  </si>
  <si>
    <t>Fundamentals of Heat and Mass Transfer</t>
  </si>
  <si>
    <t>621.402;621.402/2;621.4022</t>
  </si>
  <si>
    <t>QC320 -- .K68 2006eb</t>
  </si>
  <si>
    <t>'145,402,403,404,405,406,407,408,409,410,411,411,201,207,216,217,218,202,203,204,219,302,302,402,403,462,502,536,536,700,719,717,716,718,720,722,723,724,725,727,729'</t>
  </si>
  <si>
    <t>'719'</t>
  </si>
  <si>
    <t>Introduction to Nonlinear Aeroelasticity</t>
  </si>
  <si>
    <t>TL574.A37</t>
  </si>
  <si>
    <t>'178'</t>
  </si>
  <si>
    <t>'177,,179,180,181,182,183,184,185,186,187,188,189,190,191,192,193,194,195,196,197,198,199,269,267,266,263,262,261,260,259,258,255,254,253,256,241,171'</t>
  </si>
  <si>
    <t>'81,82,83,84,85,86,87,88,89,90,91,92,93,94,95,96,97,98,99,100,101,102,103,104,105,106,107,108,109,110,111,112,113,114,115,116,117,118,119,120,121,122,123,124,125,126,127,128,129,130,,131,132,133,134,135,136,137,138,139,140,141,142,143,144,145,146,147,148,149,150,151,152,153,154,155,156,157,158,159,160,161,162,163,164,165,166,167,168,169,170,171,172,173,174,175,176'</t>
  </si>
  <si>
    <t>Production and Operations Management</t>
  </si>
  <si>
    <t>TS155.A89 2010</t>
  </si>
  <si>
    <t>The Spectral Analysis of Time Series</t>
  </si>
  <si>
    <t>QA280.K64 1995</t>
  </si>
  <si>
    <t>'83,84,85,86,87,88,89,90,91,92,93,94,95,,18,19,20,21,22,23,24,25,26,27,28,29,30,31,32,33,34,35,36,37,38,39,40,41,42,43,44,45'</t>
  </si>
  <si>
    <t>Treatment Technologies For Groundwater</t>
  </si>
  <si>
    <t>628.1/14</t>
  </si>
  <si>
    <t>TD462 -- .O34 2010eb</t>
  </si>
  <si>
    <t>'1,6,5,7,8,64,63,65,66,67,68,69,70,71,72,73'</t>
  </si>
  <si>
    <t>Mozilla/5.0 (Windows NT 10.0; Win64; x64) AppleWebKit/537.36 (KHTML, like Gecko) Chrome/102.0.5005.63 Safari/537.36 Edg/102.0.1245.30</t>
  </si>
  <si>
    <t>Reasons and Persons</t>
  </si>
  <si>
    <t>BJ1012 -- .P39 1986eb</t>
  </si>
  <si>
    <t>'1,214,216'</t>
  </si>
  <si>
    <t>Fredric Jameson</t>
  </si>
  <si>
    <t>PN75.J36 -- R63 2000eb</t>
  </si>
  <si>
    <t>'1,1,124,125,126,127,128,130,131,132,133,134,135,136,137,138,139,140,141,142,143,144,145,146,147,148'</t>
  </si>
  <si>
    <t>Mozilla/5.0 (Windows NT 10.0; Win64; x64) AppleWebKit/537.36 (KHTML, like Gecko) Chrome/101.0.4951.67 Safari/537.36</t>
  </si>
  <si>
    <t>'1,1,1,216,217'</t>
  </si>
  <si>
    <t>'1,2,214,216,217'</t>
  </si>
  <si>
    <t>Tectonics of Sedimentary Basins : Recent Advances</t>
  </si>
  <si>
    <t>QE615 -- .R43 2011eb</t>
  </si>
  <si>
    <t>Construction Management : New Directions</t>
  </si>
  <si>
    <t>Business/Management; Engineering; Engineering: Civil</t>
  </si>
  <si>
    <t>HD9715.A2.M354 2013</t>
  </si>
  <si>
    <t>'1,2,4,5,6,7'</t>
  </si>
  <si>
    <t>Silicon Carbide Power Devices</t>
  </si>
  <si>
    <t>'23,24,25,26,27,28,29,30,31,32,33,34,35,36,,37,38,39,40,41,42,43,44,45,46,47,48,49,50,51,52,53,54,55,56,57,58,,59,60,61,62,63,64,65,66,67,68,69,70,71,72,73,74,75,76,77,78,79,80,81,82,83,84,85,86,87,88,89,90,91,92'</t>
  </si>
  <si>
    <t>Process Engineering : Addressing the Gap Between Study and Chemical Industry</t>
  </si>
  <si>
    <t>TP155.75.K545 2016</t>
  </si>
  <si>
    <t>'1,2,3,4,5,6,7,9'</t>
  </si>
  <si>
    <t>552/.58</t>
  </si>
  <si>
    <t>QE471.15.C3 -- .J37 2016eb</t>
  </si>
  <si>
    <t>'1,2,,2,1,4,5,6,8'</t>
  </si>
  <si>
    <t>New Literacies : Everyday Practices and Social Learning</t>
  </si>
  <si>
    <t>LC149</t>
  </si>
  <si>
    <t>'1,421,422,422,422,422,422,422,423,424,425,426,427,428,422,424,425,426,427,427'</t>
  </si>
  <si>
    <t>'422,422'</t>
  </si>
  <si>
    <t>'1,2,3,3,8,8,8,7,7,8,307,308,312,314,316,319,319,307,307,307,423,428,423'</t>
  </si>
  <si>
    <t>Biomedical Natural Language Processing</t>
  </si>
  <si>
    <t>John Benjamins Publishing Company</t>
  </si>
  <si>
    <t>Computer Science/IT; Social Science</t>
  </si>
  <si>
    <t>006.3/5</t>
  </si>
  <si>
    <t>P98.5.S83 -- B56 2014eb</t>
  </si>
  <si>
    <t>Mozilla/5.0 (iPhone; CPU iPhone OS 15_3_1 like Mac OS X) AppleWebKit/605.1.15 (KHTML, like Gecko) Version/15.3 Mobile/15E148 Safari/604.1</t>
  </si>
  <si>
    <t>'1,10,20,19,23,27,28,29,30,31,32,33'</t>
  </si>
  <si>
    <t>Mozilla/5.0 (Windows NT 10.0; Win64; x64) AppleWebKit/537.36 (KHTML, like Gecko) Chrome/88.0.4324.150 Safari/537.36</t>
  </si>
  <si>
    <t>'1,2,3,4,5,6,7,8,9,10,11,12,14,14,14,10,10,11,8,7,9,12,13,13,14,15,16,17,18,19,20,21,22,23,24,25,26'</t>
  </si>
  <si>
    <t>Rhetorics of Fantasy</t>
  </si>
  <si>
    <t>Wesleyan University Press</t>
  </si>
  <si>
    <t>813/.0876609</t>
  </si>
  <si>
    <t>PS374.F27 -- M46 2008eb</t>
  </si>
  <si>
    <t>'211,212,,,211,275,276,277,278,279,302,303,304'</t>
  </si>
  <si>
    <t>'14,15,16,17,18,19,20,21,22,23,24,25,26,27,28,29,,,,211,212,213,214,215,216,217,218,219,220,221,222,223,224,225,226,227,228,229,230,231,232,233,234,235,236,237,238,239,240,241,242,243,244,245,246,247,248,249,250,251,252,253,254,255,256,257,258,259,260,261,262,263,264,265,266,267,268,269,270,271,272,273,274'</t>
  </si>
  <si>
    <t>How Innovation Works : And Why It Flourishes in Freedom</t>
  </si>
  <si>
    <t>HarperCollins Publishers</t>
  </si>
  <si>
    <t>'1,2,3,4,5,6,7,9,10,11,12'</t>
  </si>
  <si>
    <t>Mozilla/5.0 (Windows NT 10.0; Win64; x64) AppleWebKit/537.36 (KHTML, like Gecko) Chrome/101.0.4951.64 Safari/537.36 Edg/101.0.1210.53</t>
  </si>
  <si>
    <t>Fantastic Worlds : Myths, Tales, and Stories</t>
  </si>
  <si>
    <t>808.83/1</t>
  </si>
  <si>
    <t>PN6071.F25F34</t>
  </si>
  <si>
    <t>'352,353,354,357,358,359,360,361,22,21,23,24,25,26,27,28,29,30'</t>
  </si>
  <si>
    <t>'89,90,91,92,93,94,96'</t>
  </si>
  <si>
    <t>The Poetics of Slumberland : Animated Spirits and the Animating Spirit</t>
  </si>
  <si>
    <t>700/.415</t>
  </si>
  <si>
    <t>NX650.F36 -- B85 2012eb</t>
  </si>
  <si>
    <t>'221,222,223'</t>
  </si>
  <si>
    <t>Trace Environmental Quantitative Analysis : Including Student-Tested Experiments</t>
  </si>
  <si>
    <t>628.5028/7</t>
  </si>
  <si>
    <t>TD193 .L636 2021</t>
  </si>
  <si>
    <t>'1,3,5,767,1'</t>
  </si>
  <si>
    <t>'1,40,41,42,43,44,45,46,47,48,49,50,51,52,53,54,55,56,57,58,59,60,61,62,63,64'</t>
  </si>
  <si>
    <t>Mozilla/5.0 (Windows NT 10.0; Win64; x64) AppleWebKit/537.36 (KHTML, like Gecko) Chrome/100.0.4896.127 Safari/537.36 OPR/86.0.4363.64</t>
  </si>
  <si>
    <t>'254,,1,2,3'</t>
  </si>
  <si>
    <t>'254,255,256,257,258,259,260,261,262,263,264,265,266,,80,81,82,83,84,85,86,87,88,89,90'</t>
  </si>
  <si>
    <t>'1,2,254,1'</t>
  </si>
  <si>
    <t>'241,242,243,244,245,246,247,248,249,250,251,252,253,,230,231,232,233,234,235,236,237,238,239,240,,204,205,206,207,208,209,210,211,212,213,214,215,216,217,218,,219,220,221,222,223,224,225,226,227,228,229,,146,147,148,149,150,151,152,153,154,155,156,157,158,159,160,161,162,163,164,165,166,,230,231,232,233,234,235,236,237,238,239,240,,241,242,243,244,245,246,247,248,249,250,251,252,253'</t>
  </si>
  <si>
    <t>'1,2,3,4,5,6,7,8,9,10,11,12,13,14,15,16,17,18,19,20,21,22,23,24,25,26,27,28,29,30'</t>
  </si>
  <si>
    <t>'1,40,41,42,44,44,44,44,44,44,44,44,45,46'</t>
  </si>
  <si>
    <t>Infinite Suburbia</t>
  </si>
  <si>
    <t>Princeton Architectural Press</t>
  </si>
  <si>
    <t>HT351 .I54 2017</t>
  </si>
  <si>
    <t>Analytics and Decision Support in Health Care Operations Management</t>
  </si>
  <si>
    <t>362.1072/7</t>
  </si>
  <si>
    <t>RA971.O933 2017</t>
  </si>
  <si>
    <t>'1,100,99,110,111'</t>
  </si>
  <si>
    <t>Mozilla/5.0 (Windows NT 10.0; Win64; x64) AppleWebKit/537.36 (KHTML, like Gecko) Chrome/101.0.4951.54 Safari/537.36</t>
  </si>
  <si>
    <t>'254,257,255,255,255,252,228,222,220'</t>
  </si>
  <si>
    <t>'1,61,100,1,2,3,4,5,6,7,8,9,100,1,3,4,286,209,211,213,215,216,217,218,219,214,210,208,205,204,202,201,199,198,197,195,194,192,191,190,188,187,186,185,184,183,182,181,221,222,223,224,226,227,228,229,230,231,233,234,235,236,237,238,239,240,241,242,244,246,247,248,250,251,252,253,254,255,256,259,260,261,262,263,264,283,284,285,288,289,290,291'</t>
  </si>
  <si>
    <t>Fast Facts: Gene Therapy</t>
  </si>
  <si>
    <t>S. Karger AG</t>
  </si>
  <si>
    <t>RB155.8$b.H479 2020</t>
  </si>
  <si>
    <t>'1,4,5,6,10,11'</t>
  </si>
  <si>
    <t>'154,155,156,157,158,159,160,240,239,237,236,235,234,233,232,231,230,229,228,227,226,225,224,222,221,220,218,217,215,161,162,163,164,165'</t>
  </si>
  <si>
    <t>'1,61,71,72,73,75,76,77,80,83,84,85,86,87,88,90,95,101,100,102,104,108,107,110,111'</t>
  </si>
  <si>
    <t>'1,149,150,151,152,153,154,154,153,155,156,157,158,152,150,146,149,151,153,153,169,455,456,457,458,459,460,461,460,461,460,460,460,459,458,457,461,462,464,463,456,458,456,458,458,458,458,511,531,455,459,460,532,533,534,418,419,420,421,421'</t>
  </si>
  <si>
    <t>'1,511,517,518,523,524,525,526,527,529,530,531,532,533,397,400'</t>
  </si>
  <si>
    <t>'1,1,3,427,430,433,436,450,450,427,426,455,456,457,458,459,460,461,462,463,531,533,534,535,532'</t>
  </si>
  <si>
    <t>'1,427,455,456,457,458,459,460,461,463,465,466,467,464,462,61,100,102,108,110'</t>
  </si>
  <si>
    <t>Mozilla/5.0 (Macintosh; Intel Mac OS X 10_15_5) AppleWebKit/537.36 (KHTML, like Gecko) Chrome/101.0.4951.64 Safari/537.36</t>
  </si>
  <si>
    <t>'1,427,426,431,448,449,450,452,460,459,457,455,456,458,461,462,511,510,519,528,529,535,533,532,531'</t>
  </si>
  <si>
    <t>'1,231,230,234,236,237,238,240,273,274,275,276,272'</t>
  </si>
  <si>
    <t>'272'</t>
  </si>
  <si>
    <t>'1,35,36,100,101,102,103,104,105,107,108,110,112,114,116,118,117,98,97,109,111,113,115,119,149,150,151,152,153,155,156,157,158,159,160,161,162,163,164,165,427,455,456,460,461,,1,1,440,441,442,443,444,445,446,448,449,450,458,459,460,461,462,463,464,465,519,531,532,533'</t>
  </si>
  <si>
    <t>'1,2,3,61,511,513,514,516,522,523,524,525,526,527,528,528,530,531,532,533,534,535,536,418,418,418,420,100,101,102,103,104,105,106,107,108,109,110,111,111'</t>
  </si>
  <si>
    <t>'418'</t>
  </si>
  <si>
    <t>'420,420'</t>
  </si>
  <si>
    <t>'1,2,1,,465,466,467,468'</t>
  </si>
  <si>
    <t>Mozilla/5.0 (Windows NT 10.0; Win64; x64) AppleWebKit/537.36 (KHTML, like Gecko) Chrome/101.0.4951.64 Safari/537.36 Edg/101.0.1210.47</t>
  </si>
  <si>
    <t>Active Power Line Conditioners : Design, Simulation and Implementation for Improving Power Quality</t>
  </si>
  <si>
    <t>TK3001</t>
  </si>
  <si>
    <t>'164,162,151,150,152,149,154,155,,164,165,166,167,169,171,172,174,176,177,179'</t>
  </si>
  <si>
    <t>Mozilla/5.0 (Windows NT 6.1; WOW64) AppleWebKit/537.36 (KHTML, like Gecko) Chrome/101.0.4951.67 Safari/537.36</t>
  </si>
  <si>
    <t>'511'</t>
  </si>
  <si>
    <t>'511,512,513,514,515,516,517,518,519,520,521,522,523,524,525,526,527,528,529,530,531,532,533,534,535,536,537,538,539,540'</t>
  </si>
  <si>
    <t>'1,427,426,431,449,460,461,458,457,456,455,459'</t>
  </si>
  <si>
    <t>'1,330,330,331,332,,334,335,336,337,338,339,340,341,342,344,345,346,347,346,346,347,348,349,350,351,352,353,354,355,356,357,330,335,336,340,342,343,344,345,347,343,366,365,364,363,362,361,360,358,357'</t>
  </si>
  <si>
    <t>'332,332,334,334'</t>
  </si>
  <si>
    <t>'235,231,232,427,511,,235,511'</t>
  </si>
  <si>
    <t>'232,427,428,429,430,431,432,433,434,435,436,437,438,439,440,441,442,443,444,445,446,447,448,449,450,451,452,453,454,455,456,457,458,459,460,461,462,463,464,231,232,233,234,235,236,237,238,239,240,241,242,243,244,245,246,247,248,249,250,251,252,253,254,255,256,257,258,259,260,261,262,263,264,265,266,267,268,269,270,271,272,273,274,275,276,277,278,279,280,281,282,283,284,285,286'</t>
  </si>
  <si>
    <t>'644,,588,,1,2,3,24,32,,15,9,5,5,5,5,5,5,5,6,7,8,29,49,41,42,43,44,45,46,19,16,1,3,8,9,10,11,12,13,14,15,27,230,232,233'</t>
  </si>
  <si>
    <t>'644,645,646,647'</t>
  </si>
  <si>
    <t>'588,678,690,647,,,647,646'</t>
  </si>
  <si>
    <t>'1,8,119,118,125,150,151'</t>
  </si>
  <si>
    <t>The Basics of IT Audit : Purposes, Processes, and Practical Information</t>
  </si>
  <si>
    <t>Computer Science/IT; Engineering; Engineering: General</t>
  </si>
  <si>
    <t>T58.5.G37 2014eb</t>
  </si>
  <si>
    <t>Mozilla/5.0 (Windows NT 10.0; Win64; x64) AppleWebKit/537.36 (KHTML, like Gecko) Chrome/96.0.4664.93 Safari/537.36</t>
  </si>
  <si>
    <t>'1,61,62,66,67,82,108,110,109,111,107,106,105,104,103,102,101,100'</t>
  </si>
  <si>
    <t>'169,1,,119,231'</t>
  </si>
  <si>
    <t>'1,2,3,4,5,6,,61,62,63,64,65,66,67,68,69,70,71,72,73,74,75,76,77,78,79,80,81,82,83,84,85,86,87,88,89,90,91,92,93,94,95,96,97,98,99,100,101,102,103,104,105,106,107,108,109,110,111,112,113,114,115,116,117,118,,119,120,121,122,123,124,125,126,127,128,129,130,131,132,133,134,135,136,137,138,139,140,141,142,143,144,145,146,147,148,149,150,151,152,153,154,155,156,157,158,159,160,161,162,163,164,165,166,167,168,,,119,120,121,122,123,124,125,126,127,128,129,130,131,132,133,134,135,136,137,138,139,140,141,142,143,144,145,146,147,148,149,150,151,152,153,154,155,156,157,158,159,160,161,162,163,164,165,166,167,168'</t>
  </si>
  <si>
    <t>'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'</t>
  </si>
  <si>
    <t>'264,265,266,267,268,269,270,271,272,273,274,275,276,277,278,279,280,281,282,283,284,285,286,287,288,289,290,291,292,293,294,295,296,297,298,299,300,301,302,303,304,305,306,307,308,309'</t>
  </si>
  <si>
    <t>'226,227,228,229,230,231,232,233,234,235,236,237,238,239,240,241,242,243,244,245,246,247,248,249,250,251,252,253,254,255,256,257,258,259,260,261,262,263'</t>
  </si>
  <si>
    <t>'264,265,266,267,268,269,270,271,272,273,274,275,276,277,278,279,280,281,282,283,284,285,286,287,288,289,290,291,292,293,294,295,296,297,298,299,300,301,302,303,304,305,306,307,308,309,,266,267,268,269,270,271,272,273,274,275,276,277,278,279,280,281,282,283,284,285,286,287,288,289,290,291,,292,293,294,295,296,297,298,299,300,301,302,303,304,305,306,307,308,309,,310,311,312,313,314,315,316,317,318,319,320,321,322,323,324,325'</t>
  </si>
  <si>
    <t>'204,205,206,207,208,209,210,211,212,213,214,215,216,217,218,219,220,221,222,223,224,225,,226,227,228,229,230,231,232,233,234,235,236,237,238,239,240,241,242,243,244,245,246,247,248,249,250,251,252,253,254,255,256,257,258,259,260,261,262,263,,228,229,230,231,232,233,234,235,236,237,238,239,240,241,,242,243,244,245,246,247,248,249,250,251,252,253,254,255,256,257,258,259,260,261,262,263'</t>
  </si>
  <si>
    <t>'135,136,137,138,139,140,141,142,143,144,145,146,147,148,149,,152,153,154,155,156,157,158,159,160,161,162,163,164,165,166,167,,168,169,170,171,172,173,174,175,176,177,178,179,180,181,182,183,184,,185,186,187,188,189,190,191,192,193,194,195,196,197,198,199,200,201,202,203'</t>
  </si>
  <si>
    <t>'96,97,98,99,100,101,102,103,104,105,106,107,108,109,110,111,112,113'</t>
  </si>
  <si>
    <t>'72,73,74,75,76,77,78,79,80,81,82,83,84,85,86,87,88,89,90,91,92,93,94,95'</t>
  </si>
  <si>
    <t>'48,49,50,51,52,53,54,55,56,57,58,59,60,61,62,63,64,65,66,67,68,69,70,71'</t>
  </si>
  <si>
    <t>'22,23,24,25,26,27,28,29,30,31,32,33,,34,35,36,37,38,39,40,41,42,43,44,45,46,47'</t>
  </si>
  <si>
    <t>'58,59,60,61,62,63,64,65,66,67,68,69,70,71,72,73,,74,75,76,77,78,79,80,81,82,83,84,85,86,87,88,89,90,91,,92,93,94,95,96,97,98,99,100,101,102,103,104,105,106,,107,108,109,110,111,112,113,114,115,116,117,118,119,120,121,122,123,124,125,126,127,128,129,130,131,132,133,134'</t>
  </si>
  <si>
    <t>Solid State NMR Spectroscopy : Principles and Applications</t>
  </si>
  <si>
    <t>543.0877;543/.0877</t>
  </si>
  <si>
    <t>QD96.N8 -- S63 2002eb</t>
  </si>
  <si>
    <t>Mozilla/5.0 (Windows NT 10.0; Win64; x64) AppleWebKit/537.36 (KHTML, like Gecko) Chrome/100.0.4896.127 Safari/537.36</t>
  </si>
  <si>
    <t>Biology Super Review</t>
  </si>
  <si>
    <t>QH315.5 .B565 2014</t>
  </si>
  <si>
    <t>'1,2,3,4,5,,6,7,8,,9,,10,11,12,13,,14,15,,16,17,,18,19,,20,21'</t>
  </si>
  <si>
    <t>'74,75,,74'</t>
  </si>
  <si>
    <t>'1,,2,3,,4,,5,,6,7,,8,9,10,11,12,13,,14,15,16,17,,18,19,20,21,22,23,24,25,26,27,28,29,30,31,32,33,34,35,36,37,38,39,40,41,42,43,44,45,46,47,48,49,50,51,52,53,54,55,,58,59,60,61,62,63,64,65,66,67,68,69,70,71,72,73,,,,20,21,22,23,24,25,26,27,28,29,30,31,32,33,,34,35,36,37,38,39,40,41,42,43,44,45,46,47,48,49,50,51,52,53,54,55'</t>
  </si>
  <si>
    <t>'186,187,188,189,190,191,192,193,194,195,196,197,198,199'</t>
  </si>
  <si>
    <t>Physics of Satellite Surface Charging : Causes, Effects, and Applications</t>
  </si>
  <si>
    <t>TL1492 .L35 2022</t>
  </si>
  <si>
    <t>'146,147,148,149,150,151,152,153,154,155,156,157,158,159,160,161,162,163,,226,227,228,229,230,231,232,233,234,235,236,237,238,239,240,241,242,243,244,245,246,247,248,249,250,251,,258,259,260,261,262,263,264,265,266,267,268,269,270,271,272,273,274,275,276,277,278,279,280,281,282,283,284,285,286,287,,761,762,763,764,765,766,767,768,769,770,771,772,773,774,775,776,777,778,779,780,781,782,783,784,785,786,787,788,789,790,791,792,793,794,795,796,797,798,799,800,801,802,803,804,805,806,807,808,809,810,811,812,813,814,815,816,817,818,819,820,821,822'</t>
  </si>
  <si>
    <t>Satellite Navigation Systems and Technologies</t>
  </si>
  <si>
    <t>Engineering: Mechanical; History; Engineering</t>
  </si>
  <si>
    <t>'1,1,18,52,53,54,128,129,127'</t>
  </si>
  <si>
    <t>Code/Space : Software and Everyday Life</t>
  </si>
  <si>
    <t>303.48/34</t>
  </si>
  <si>
    <t>'1,1,2,3,4,5,6,18,19,230,231,232,152,153,155,233,234,235,237'</t>
  </si>
  <si>
    <t>Small Satellites : Regulatory Challenges and Chances</t>
  </si>
  <si>
    <t>343.09/79</t>
  </si>
  <si>
    <t>K4307.S56 2016</t>
  </si>
  <si>
    <t>'1,43,44'</t>
  </si>
  <si>
    <t>Satellite Technology : Principles and Applications</t>
  </si>
  <si>
    <t>TL796.M28 2014eb</t>
  </si>
  <si>
    <t>'12,37,38,41,40,40,40,37,19,38,38,38,39,75,75,76,77,78,79,80,81,82,83,84,226,228,227,229,230,231,232,233,235,237,236'</t>
  </si>
  <si>
    <t>'1,2,3,5,8,10,12,12,,12,17,38,38,38,38,39,38'</t>
  </si>
  <si>
    <t>'1,2,3,4,5,6,7,8,9,10,11,12,13,14,15,16,17,18,19,20,21,22,23,24,25,26,27,28,29'</t>
  </si>
  <si>
    <t>'1,,2,3'</t>
  </si>
  <si>
    <t>Cellular and Molecular Pathobiology of Cardiovascular Disease</t>
  </si>
  <si>
    <t>616.1/07</t>
  </si>
  <si>
    <t>RC667.C455 2014eb</t>
  </si>
  <si>
    <t>Mozilla/5.0 (Windows NT 10.0; Win64; x64) AppleWebKit/537.36 (KHTML, like Gecko) Chrome/100.0.4896.127 Safari/537.36 OPR/86.0.4363.59</t>
  </si>
  <si>
    <t>Mozilla/5.0 (Linux; Android 12; SM-G986B) AppleWebKit/537.36 (KHTML, like Gecko) Chrome/101.0.4951.61 Mobile Safari/537.36</t>
  </si>
  <si>
    <t>'1,2,,1,1,1'</t>
  </si>
  <si>
    <t>The Secret Life of Dorothy Soames : A Memoir</t>
  </si>
  <si>
    <t>'26,28,129,188'</t>
  </si>
  <si>
    <t>Real-Time Embedded Systems</t>
  </si>
  <si>
    <t>TK7895.E42.W364 2017</t>
  </si>
  <si>
    <t>NMR of Biomolecules : Towards Mechanistic Systems Biology</t>
  </si>
  <si>
    <t>QP517.S85</t>
  </si>
  <si>
    <t>Intermediate Calculus: Applications of Differential Equations</t>
  </si>
  <si>
    <t>The Enlightenment and the Intellectual Foundations of Modern Culture</t>
  </si>
  <si>
    <t>B802.D86 2004</t>
  </si>
  <si>
    <t>'1,1,161,185,189'</t>
  </si>
  <si>
    <t>'1,194,194,6,134,170,246'</t>
  </si>
  <si>
    <t>Linguistic Profiles : Going from Form to Meaning Via Statistics</t>
  </si>
  <si>
    <t>410.72/7</t>
  </si>
  <si>
    <t>P40.45</t>
  </si>
  <si>
    <t>'13,12,18,17,19,20,21,22,24'</t>
  </si>
  <si>
    <t>Mozilla/5.0 (Windows NT 10.0; Win64; x64) AppleWebKit/537.36 (KHTML, like Gecko) Chrome/101.0.4951.64 Safari/537.36</t>
  </si>
  <si>
    <t>The Emperor Tea Garden</t>
  </si>
  <si>
    <t>894/.3534</t>
  </si>
  <si>
    <t>PL248.E615.I3613 20</t>
  </si>
  <si>
    <t>Tea : A Global History</t>
  </si>
  <si>
    <t>Reaktion Books, Limited</t>
  </si>
  <si>
    <t>Home Economics</t>
  </si>
  <si>
    <t>'1,1,2,3,,1,1,2,4,9,7,10,11'</t>
  </si>
  <si>
    <t>The Handbook of Urban Morphology</t>
  </si>
  <si>
    <t>HT166.K767 2017</t>
  </si>
  <si>
    <t>'1,49,54,55,56,31,32,33,34,35,36,37,38,39'</t>
  </si>
  <si>
    <t>Mozilla/5.0 (Windows NT 10.0; Win64; x64) AppleWebKit/537.36 (KHTML, like Gecko) Chrome/101.0.4951.54 Safari/537.36 Edg/101.0.1210.39</t>
  </si>
  <si>
    <t>Passport Protection: Regulation and Security Issues : Regulation and Security Issues</t>
  </si>
  <si>
    <t>342.7308/2</t>
  </si>
  <si>
    <t>KF4794.5 -- .P37 2010eb</t>
  </si>
  <si>
    <t>'1,2,3,4,5,6,7,8,9,10,11,13,14,15,16,17,18,19,21,26,27,28,29,30,25,31,32,20,22,23,24'</t>
  </si>
  <si>
    <t>Sodium Chloride</t>
  </si>
  <si>
    <t>TD370.S63 2012</t>
  </si>
  <si>
    <t>'1,2,3,4,5,6,7,8,10,11,9,13,14,15,16,17,18,19,20,12,,1,10,12,11,16,7'</t>
  </si>
  <si>
    <t>Shifting Borders and a Tattered Passport : Intellectual Journeys of a Mormon Academic</t>
  </si>
  <si>
    <t>University of Utah Press</t>
  </si>
  <si>
    <t>289.3092 B</t>
  </si>
  <si>
    <t>BX8695</t>
  </si>
  <si>
    <t>'1,,1,8,7,3,2,4,5,6,22,23,50,51'</t>
  </si>
  <si>
    <t>Semiconductor Electronic Devices : Study Book</t>
  </si>
  <si>
    <t>Vilnius Gediminas Technical University Press</t>
  </si>
  <si>
    <t>TK7872.S4.S72 2010</t>
  </si>
  <si>
    <t>'1,1,2,3,4,5,6,7,8,9,,85,86,87,88,89,90,91,92,93,94,95,96,97,,105,106,107,108,109,110,111,112,113,114,115,116,117'</t>
  </si>
  <si>
    <t>Principles and Modern Applications of Mass Transfer Operations</t>
  </si>
  <si>
    <t>TP156.M3.B44 2017</t>
  </si>
  <si>
    <t>'1,1,1,105,104,33,34,35,36,37,103,121,122,123,106,2,4,5,6,7,8,9,10,11,12,13,14,15,16,17,18,19,20,21,22,23,24,25,26,27,28,29,31,32,107,108,109,110,111,112,113,114,115,116,117,118,119,120,174,173,175,176,177,178,179,180,181,182,38,39,40,69,70,71,72,73,74,75,76,77,78,79,80,81,82,83,84,85,86,87,88'</t>
  </si>
  <si>
    <t>'116'</t>
  </si>
  <si>
    <t>Refrigeration Systems and Applications</t>
  </si>
  <si>
    <t>621.5/6</t>
  </si>
  <si>
    <t>TP372.2.D56 2010</t>
  </si>
  <si>
    <t>'1,1,83'</t>
  </si>
  <si>
    <t>Emerging Technologies for Food Processing</t>
  </si>
  <si>
    <t>TP370.E44 2005</t>
  </si>
  <si>
    <t>Social Anxiety : Clinical, Developmental, and Social Perspectives</t>
  </si>
  <si>
    <t>RC552.S62 -- .S635 2014eb</t>
  </si>
  <si>
    <t>Japanese Culture : The Religious and Philosophical Foundations</t>
  </si>
  <si>
    <t>BL2203.D385 2016eb</t>
  </si>
  <si>
    <t>'1,2,3,4,5,6,7,8,9,10,11,12,13,14,16,17,18,19,21,22,26,25,29'</t>
  </si>
  <si>
    <t>Salt Marshes : A Natural and Unnatural History</t>
  </si>
  <si>
    <t>Rutgers University Press</t>
  </si>
  <si>
    <t>QH87.3 -- .W43 2009eb</t>
  </si>
  <si>
    <t>Reset Your Barcode : Five Steps to a Financial Reset</t>
  </si>
  <si>
    <t>HG179 .R496 2014</t>
  </si>
  <si>
    <t>'1,12,13,14,15,16,17'</t>
  </si>
  <si>
    <t>Mozilla/5.0 (Windows NT 10.0; Win64; x64) AppleWebKit/537.36 (KHTML, like Gecko) Chrome/101.0.4951.41 Safari/537.36</t>
  </si>
  <si>
    <t>Salt : Grain of Life</t>
  </si>
  <si>
    <t>Science; Engineering: Mining; Science: Geology; Engineering</t>
  </si>
  <si>
    <t>TN900 -- .L3713 2001eb</t>
  </si>
  <si>
    <t>'1,2,3,4,5,6,7,8,9,10,11,12,13,14,15,16,18,19,20,21,22,23,24,25,26,27,28,29,30,1,2,3,4,6,8,9,10'</t>
  </si>
  <si>
    <t>Archaeology of Salt : Approaching an invisible past</t>
  </si>
  <si>
    <t>Sidestone Press</t>
  </si>
  <si>
    <t>History; Business/Management</t>
  </si>
  <si>
    <t>HD9213.A2 -- A73 2015eb</t>
  </si>
  <si>
    <t>'1,,,3,5,6,7,8,9,10,11,12,13,14,15,16,17,18,19,20'</t>
  </si>
  <si>
    <t>Behind the Guns : The History of Battery I, 2nd Regiment, Illinois Light Artillery</t>
  </si>
  <si>
    <t>E505</t>
  </si>
  <si>
    <t>QA402.5 .C476 2013</t>
  </si>
  <si>
    <t>'19,20,21,22,23,24,25,26,27,28,29,30,31,32,33,34,35,36,37,38,39,40,41,42,43,44,45,46,47,48,49,50,51,52,53,54,55,56,57,58,59,60,61,62,63,64,65,66,67,68,69,70,71,72,73,74,75,76,77,78,79,80,81,82,83,84,85,86,87,88,89,90,91,92,93,94,95,96'</t>
  </si>
  <si>
    <t>Mozilla/5.0 (Macintosh; Intel Mac OS X 10_13_6) AppleWebKit/537.36 (KHTML, like Gecko) Chrome/101.0.4951.54 Safari/537.36</t>
  </si>
  <si>
    <t>'1,105,106,107,108,109,110,111,112,113,114,115,116,117,118,119,120,121,174,173,175,176,177,178,179,180,181'</t>
  </si>
  <si>
    <t>Diamond: A Paradox Logic (2nd Edition) : A Paradox Logic</t>
  </si>
  <si>
    <t>QA9.H396 2010</t>
  </si>
  <si>
    <t>'1,18,17,19,20,21,22,23'</t>
  </si>
  <si>
    <t>'1,12,14,11,13,15,16,17,18'</t>
  </si>
  <si>
    <t>Galileo's Glassworks : The Telescope and the Mirror</t>
  </si>
  <si>
    <t>522/.2092</t>
  </si>
  <si>
    <t>QB85</t>
  </si>
  <si>
    <t>'124,114,1,2,3,5,5,6,7,8,8,10'</t>
  </si>
  <si>
    <t>Lights, Camera, History : Portraying the Past in Film</t>
  </si>
  <si>
    <t>Texas A&amp;M University Press</t>
  </si>
  <si>
    <t>791.43/658</t>
  </si>
  <si>
    <t>PN1995.2.L54 2007</t>
  </si>
  <si>
    <t>Mozilla/5.0 (Macintosh; Intel Mac OS X 10_15_7) AppleWebKit/537.36 (KHTML, like Gecko) Chrome/101.0.4951.54 Safari/537.36</t>
  </si>
  <si>
    <t>The Science of False Memory</t>
  </si>
  <si>
    <t>RC455.2.F35B73 2005</t>
  </si>
  <si>
    <t>GRE Math Bible</t>
  </si>
  <si>
    <t>QA43.K653 2008</t>
  </si>
  <si>
    <t>GRE - Quantitative Reasoning : QuickStudy Laminated Reference Guide</t>
  </si>
  <si>
    <t>QA43 .D385 2017</t>
  </si>
  <si>
    <t>Mozilla/5.0 (Macintosh; Intel Mac OS X 10_15_7) AppleWebKit/537.36 (KHTML, like Gecko) Chrome/100.0.4896.127 Safari/537.36</t>
  </si>
  <si>
    <t>'1,13,20,21,21,15,15,13,13,20,21,22'</t>
  </si>
  <si>
    <t>Mozilla/5.0 (Windows NT 10.0; Win64; x64) AppleWebKit/537.36 (KHTML, like Gecko) Chrome/100.0.4896.75 Safari/537.36 Edg/100.0.1185.39</t>
  </si>
  <si>
    <t>Advanced Electric Drives : Analysis, Control, and Modeling Using MATLAB / Simulink</t>
  </si>
  <si>
    <t>TK4058 -- .M5783 2014eb</t>
  </si>
  <si>
    <t>'1,1,9'</t>
  </si>
  <si>
    <t>War + Ink : New Perspectives on Ernest Hemingway's Early Life and Writings</t>
  </si>
  <si>
    <t>Kent State University Press</t>
  </si>
  <si>
    <t>PS3515.E37.W37 2014</t>
  </si>
  <si>
    <t>Red Ink : Native Americans Picking up the Pen in the Colonial Period</t>
  </si>
  <si>
    <t>810.9/897</t>
  </si>
  <si>
    <t>PS153.I52 -- L67 2012eb</t>
  </si>
  <si>
    <t>'1,2,4,6,8,9,10,15,13,12,16,17,18,19'</t>
  </si>
  <si>
    <t>Laboratory Management : Quality in Laboratory Diagnosis</t>
  </si>
  <si>
    <t>616.02/7</t>
  </si>
  <si>
    <t>QY 23</t>
  </si>
  <si>
    <t>Designing with Objects : Object-Oriented Design Patterns Explained with Stories from Harry Potter</t>
  </si>
  <si>
    <t>QA76.64 -- .K3548 2015eb</t>
  </si>
  <si>
    <t>'1,2,4,24,23'</t>
  </si>
  <si>
    <t>Chemistry Of Inkjet Inks, The</t>
  </si>
  <si>
    <t>TP156.P76 -- C44 2010eb</t>
  </si>
  <si>
    <t>'1,3,10,11,6,5,7,8,9,350,349'</t>
  </si>
  <si>
    <t>'6,6'</t>
  </si>
  <si>
    <t>'1,2,3,19,24,23,25,22,43,42,41,44,26'</t>
  </si>
  <si>
    <t>'1,15,17,18,19,20,21,22,23,24,25'</t>
  </si>
  <si>
    <t>'1,2,3,4,5,7,8,9,11,13,14,15'</t>
  </si>
  <si>
    <t>'1,19,7,9,187,186,190,192,194,195,196,197,198,199,17,20'</t>
  </si>
  <si>
    <t>'1,1,67,66'</t>
  </si>
  <si>
    <t>Laboratory Design Guide</t>
  </si>
  <si>
    <t>Engineering; Architecture; Engineering: Construction</t>
  </si>
  <si>
    <t>TH4652 -- .G75 2005eb</t>
  </si>
  <si>
    <t>'1,64,63,65,67,68,69,70,71,72,73,74,75,76,84,85,86,87,88'</t>
  </si>
  <si>
    <t>A Field Guide to Household Technology</t>
  </si>
  <si>
    <t>Chicago Review Press</t>
  </si>
  <si>
    <t>Engineering: Manufacturing; Engineering: General; Engineering</t>
  </si>
  <si>
    <t>683/.8</t>
  </si>
  <si>
    <t>T20 -- .S495 2007eb</t>
  </si>
  <si>
    <t>'1,1,4,3,5,69,69,52,70,71'</t>
  </si>
  <si>
    <t>The Chemistry of Metal-Organic Frameworks : Synthesis, Characterization, and Applications</t>
  </si>
  <si>
    <t>QD411 -- .C446 2016eb</t>
  </si>
  <si>
    <t>'78,78,130,130,130,78,79,80,81,82,83,85,86,87,88,89,90,91,92,93,94,95,96,97,98,99,100,102,104,106,2,3,4,5,6,7,8,535,542,548,549,550,721,720,719,722,723,724,725,726,727,728,731,732,733,734,735,736,738,741,742,743,744,745,746,747,748,749,753,754,754,754,757,758,759,760,761,762,763,764,765,770,771,772,773,774,775,778,779,780,781,782,782,782,784,802,806,808,809,810,814,815,816,816,816,838,844,888,887,885,883,880,880,880,883,887,907,928,928,928,927,924,924,925,926,928,929,930,931,932,933,934,935,936,937,938,940,941,866,863,862,858,857,856,856,856,887,890,903,904,905,906,907,908,909,910,911,912,913,914,915,916,917,918,919,921,922,925,926,902,900,899,899,899,916,921,941'</t>
  </si>
  <si>
    <t>'122,123,124,125,126,127,128,129,130,131,132,133,134,135,136,137,138,139,140,141,142,143,144,145,146,147,148,754,755,756,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7,858,859,860,861,862,863,864,865,866,867,868,869,870,871,872,873,874,875,876,877,878,879,880,928,929,930,931,856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'</t>
  </si>
  <si>
    <t>'78,1,,78,,78'</t>
  </si>
  <si>
    <t>Green Tea Polyphenols : Nutraceuticals of Modern Life</t>
  </si>
  <si>
    <t>Science; Medicine; Science: Botany; Pharmacy</t>
  </si>
  <si>
    <t>QK898.P764</t>
  </si>
  <si>
    <t>'1,2,5,6,8,8,8,8,7,11,13,17,18,19,20,21,22,24,25,26'</t>
  </si>
  <si>
    <t>Behaviour of Material and Composite Structures</t>
  </si>
  <si>
    <t>Approaches to Arabic Dialects : A Collection of Articles Presented to Manfred Woidich on the Occasion of His Sixtieth Birthday</t>
  </si>
  <si>
    <t>PJ6709 .A75 2004eb</t>
  </si>
  <si>
    <t>'1,2,3,4,5,11,9,10,12,14,21,20,19'</t>
  </si>
  <si>
    <t>'5,,6,,6,,6'</t>
  </si>
  <si>
    <t>'3,3,3,1,4,4,4,4,4,4,4,5,4,5,6,1,1,5,6,1'</t>
  </si>
  <si>
    <t>Fabricating Consumers : The Sewing Machine in Modern Japan</t>
  </si>
  <si>
    <t>338.7/64620440952</t>
  </si>
  <si>
    <t>HD9971.5.S484 -- S565 2012eb</t>
  </si>
  <si>
    <t>'1,2,3,5,6,7,8,10,11,12,13,14,15,16'</t>
  </si>
  <si>
    <t>Mozilla/5.0 (Macintosh; Intel Mac OS X 10_14_6) AppleWebKit/537.36 (KHTML, like Gecko) Chrome/100.0.4896.127 Safari/537.36</t>
  </si>
  <si>
    <t>'1,,2'</t>
  </si>
  <si>
    <t>The New Silk Road Leads Through the Arab Peninsula : Mastering Global Business and Innovation</t>
  </si>
  <si>
    <t>'1,5,6,9'</t>
  </si>
  <si>
    <t>Biofuels from Fischer-Tropsch Synthesis</t>
  </si>
  <si>
    <t>TP339.B5436 2010</t>
  </si>
  <si>
    <t>'15,16,17,17'</t>
  </si>
  <si>
    <t>'15,16,17,18,19,20,21,22,23,24,25,26,27,28,29,30,31,32,33,34,35,36,37,38,39,40,41,42,43,44,45,46'</t>
  </si>
  <si>
    <t>Pipe Drafting and Design</t>
  </si>
  <si>
    <t>621.8/672</t>
  </si>
  <si>
    <t>TJ930.P37 2012</t>
  </si>
  <si>
    <t>'1,6,13,14,15,16,17,18,19,20,353,354,355,356,358,359'</t>
  </si>
  <si>
    <t>'13,14,15,13'</t>
  </si>
  <si>
    <t>'1,16,17,18,19,20,21,22,24,23'</t>
  </si>
  <si>
    <t>'1,2,3,5,6,4,16,1,2,6,7,9,11,15,16,17,1,3,5,6,7,9,10,12,14'</t>
  </si>
  <si>
    <t>Mozilla/5.0 (iPhone; CPU iPhone OS 15_4 like Mac OS X) AppleWebKit/605.1.15 (KHTML, like Gecko) Version/15.4 Mobile/15E148 Safari/604.1</t>
  </si>
  <si>
    <t>'1,3,4,5,6,7,8,9'</t>
  </si>
  <si>
    <t>'1,2,254,255'</t>
  </si>
  <si>
    <t>'5,6,7,8,10,9,12,13,14,15,16,18,19,20'</t>
  </si>
  <si>
    <t>Sudan Society &amp; Culture Complete Report : An All-Inclusive Profile Combining All of Our Society and Culture Reports</t>
  </si>
  <si>
    <t>DT154.9 -- .W67 2010eb</t>
  </si>
  <si>
    <t>'1,1,28,72,575'</t>
  </si>
  <si>
    <t>'1,2,3,4,5,6,7,8,9,10,11,12,13,14,15,16'</t>
  </si>
  <si>
    <t>Sudan Media, Internet &amp; Telecommunications Complete Profile : This All-Inclusive Profile Includes All Three of Our Communications Reports</t>
  </si>
  <si>
    <t>HE8477.A57 -- S84 2010eb</t>
  </si>
  <si>
    <t>'1,2,3,5,4,6,7,8,9,10'</t>
  </si>
  <si>
    <t>'4,9,9'</t>
  </si>
  <si>
    <t>Hitler : Dictator or Puppet?</t>
  </si>
  <si>
    <t>Pen &amp; Sword Books Limited</t>
  </si>
  <si>
    <t>DD247.H5 -- N653 2011eb</t>
  </si>
  <si>
    <t>'1,161,174,173,175,176'</t>
  </si>
  <si>
    <t>'1,100,99,101'</t>
  </si>
  <si>
    <t>Life Cycle Assessment (LCA) : A Guide to Best Practice</t>
  </si>
  <si>
    <t>HF5415.155.K574 201</t>
  </si>
  <si>
    <t>'1,2,5,6,7,8,9,10,11,12,13'</t>
  </si>
  <si>
    <t>Africa's Infrastructure : A Time for Transformation</t>
  </si>
  <si>
    <t>Business/Management; Environmental Studies</t>
  </si>
  <si>
    <t>HC800.Z9 -- C324 2010eb</t>
  </si>
  <si>
    <t>Mozilla/5.0 (Windows NT 10.0; Win64; x64) AppleWebKit/537.36 (KHTML, like Gecko) Chrome/99.0.4844.84 Safari/537.36 OPR/85.0.4341.72</t>
  </si>
  <si>
    <t>'1,3,44,46,47,8,31,30,32,29,28,27'</t>
  </si>
  <si>
    <t>A Cumulative Bibliography of Medieval Military History and Technology, Update 2003-2006 : 2003-2006</t>
  </si>
  <si>
    <t>Z6721.D48 2008</t>
  </si>
  <si>
    <t>'1,28,27,29,31,32,36,35'</t>
  </si>
  <si>
    <t>Stress and Young People</t>
  </si>
  <si>
    <t>Spinney Press, The</t>
  </si>
  <si>
    <t>'1,2,4,37,38,36,35,34,56,57,58,59,60'</t>
  </si>
  <si>
    <t>International Tourism : Identity and Change</t>
  </si>
  <si>
    <t>'1,7,160,163,169,177,178,179'</t>
  </si>
  <si>
    <t>Social Psychology</t>
  </si>
  <si>
    <t>HM1033 -- .D453 2015eb</t>
  </si>
  <si>
    <t>'1,2,,1,2,3,4,5,6,7,7,27,74,108,155,170,170,230,290,306,338,371,408,442,564,608,608,27,53,53'</t>
  </si>
  <si>
    <t>Theory of Sensitivity in Dynamic Systems : An Introduction</t>
  </si>
  <si>
    <t>QA402.3 .E853 1994</t>
  </si>
  <si>
    <t>'1,2,3,5,4,6,7,8,9,10,12,13,14,16,11,18,19,20,21,22,23,24,26,27,34,33,32,31,30,29,28,35,46,48,49,50,51,52,53,54,55,56,57,58,59,60,61,62,65,66,67,69,70,71,72,73,91,92,93,92,68,92,92,92,92,92,92'</t>
  </si>
  <si>
    <t>Chemical Engineering Design : Principles, Practice and Economics of Plant and Process Design</t>
  </si>
  <si>
    <t>660.068/5</t>
  </si>
  <si>
    <t>TP155.T69 2012</t>
  </si>
  <si>
    <t>'1,2,5,10,21,,19'</t>
  </si>
  <si>
    <t>Remanufacturing Modeling and Analysis</t>
  </si>
  <si>
    <t>TS183.8 -- .I455 2012eb</t>
  </si>
  <si>
    <t>'170,171,179,10,1,3,4,6,7,8,9,11,12,13,18,54,44,45,48,49,50,52,53,56,57,61,172,173,174,175,176,177,178,180,181,183,184,185,186,187,188,190,191,192,193,194,195,196,197,198,199,200,100,99,101,103'</t>
  </si>
  <si>
    <t>Mozilla/5.0 (Windows NT 10.0; Win64; x64) AppleWebKit/537.36 (KHTML, like Gecko) Chrome/100.0.4896.127 Safari/537.36 Edg/100.0.1185.50</t>
  </si>
  <si>
    <t>Forecasting Fundamentals</t>
  </si>
  <si>
    <t>HD30.27.S264 2017</t>
  </si>
  <si>
    <t>Mozilla/5.0 (Windows NT 10.0; Win64; x64) AppleWebKit/537.36 (KHTML, like Gecko) Chrome/100.0.4896.88 Safari/537.36</t>
  </si>
  <si>
    <t>Manufacturing Middle Ages : Entangled History of Medievalism in Nineteenth-Century Europe</t>
  </si>
  <si>
    <t>CB204.M36 2013eb</t>
  </si>
  <si>
    <t>Water Transmission And Distribution (WSO)</t>
  </si>
  <si>
    <t>628.1/44</t>
  </si>
  <si>
    <t>TD481 -- .W384 2010eb</t>
  </si>
  <si>
    <t>Introduction to Urban Water Distribution, Second Edition : Theory</t>
  </si>
  <si>
    <t>TD345$b.T754 2020</t>
  </si>
  <si>
    <t>'16,17,18,19,20,21,22,23,24,25,26,27,28,29,30'</t>
  </si>
  <si>
    <t>Water Transmission And Distribution Student Workbook</t>
  </si>
  <si>
    <t>'1,1,2,3,4,5,6,5,5,5,6,4,7,8,10,9,12,13,11,15,17,14,16,18,19,20,21,22,25,27,28,26,55,56,57,135,135,135'</t>
  </si>
  <si>
    <t>'130,131,132,133,134,135'</t>
  </si>
  <si>
    <t>'12,13,14,15,16,17,18,19,20,21,22,23,24,25'</t>
  </si>
  <si>
    <t>'1,2,8,10,11,12'</t>
  </si>
  <si>
    <t>Physical Principles in Sensing and Signaling : With an Introduction to Modeling in Biology</t>
  </si>
  <si>
    <t>QH323.5 -- .E53 2013eb</t>
  </si>
  <si>
    <t>Explorations of Mathematical Models in Biology with MATLAB</t>
  </si>
  <si>
    <t>QH323.5 .S465 2013</t>
  </si>
  <si>
    <t>'1,1,300,299,301,302,303'</t>
  </si>
  <si>
    <t>Explorations of Mathematical Models in Biology with Maple</t>
  </si>
  <si>
    <t>570.1/51</t>
  </si>
  <si>
    <t>QH323.5 -- .S464 2015eb</t>
  </si>
  <si>
    <t>'1,1,63,64,190,189,191,193,244,245,246'</t>
  </si>
  <si>
    <t>Mathematical Modeling in Systems Biology : An Introduction</t>
  </si>
  <si>
    <t>QH508.I46 2013eb</t>
  </si>
  <si>
    <t>'1,16,16,413,414'</t>
  </si>
  <si>
    <t>Synthesis of Polymers : New Structures and Methods</t>
  </si>
  <si>
    <t>Engineering: Chemical; Science; Engineering; Science: Chemistry</t>
  </si>
  <si>
    <t>TP156.P6 -- S96 2012eb</t>
  </si>
  <si>
    <t>'1,2,3,4,4,33,43,44,45,46,1,2,3'</t>
  </si>
  <si>
    <t>Food Process Engineering and Technology</t>
  </si>
  <si>
    <t>TP373 -- .B47 2013eb</t>
  </si>
  <si>
    <t>'1,652,653,654,655,656,657,658,659,660,661,662,663,664,665'</t>
  </si>
  <si>
    <t>Professional Python</t>
  </si>
  <si>
    <t>'10,11,13,16'</t>
  </si>
  <si>
    <t>'1,7,841,11,17,2,3,4,18'</t>
  </si>
  <si>
    <t>Mozilla/5.0 (Windows NT 10.0; Win64; x64) AppleWebKit/537.36 (KHTML, like Gecko) Chrome/99.0.4844.82 Safari/537.36</t>
  </si>
  <si>
    <t>In synchrony with the heavens Volume 1, The call of the muezzin / : Studies in astronomical timekeeping and instrumentation in medieval Islamic civilization.</t>
  </si>
  <si>
    <t>520/.917/67</t>
  </si>
  <si>
    <t>QB23 -- .K56 2004eb</t>
  </si>
  <si>
    <t>The Ephemeral History of Perfume : Scent and Sense in Early Modern England</t>
  </si>
  <si>
    <t>152.1/660942</t>
  </si>
  <si>
    <t>BF271.D84 2011eb</t>
  </si>
  <si>
    <t>'1,3,6,8,9,10,11,12,13,15,15,16,18,19,,1,2,18,16,15,3,4,5'</t>
  </si>
  <si>
    <t>Mozilla/5.0 (Macintosh; Intel Mac OS X 10_15_7) AppleWebKit/537.36 (KHTML, like Gecko) Chrome/100.0.4896.88 Safari/537.36</t>
  </si>
  <si>
    <t>Game Theory Through Examples</t>
  </si>
  <si>
    <t>QA269 -- .P757 2014eb</t>
  </si>
  <si>
    <t>'3,,,46'</t>
  </si>
  <si>
    <t>Inorganic Membrane Reactors : Fundamentals and Applications</t>
  </si>
  <si>
    <t>660/.2832</t>
  </si>
  <si>
    <t>TP248.25.M45 -- .T36 2015eb</t>
  </si>
  <si>
    <t>'1,5,6,7,10,11,30,31,32,33,34,35,36,37,38,39,40,41,42,43,44,45,47,48,49,50,51,22,23,24,25,26,27,28,29'</t>
  </si>
  <si>
    <t>Model Predictive Control : Approaches Based on the Extended State Space Model and Extended Non-Minimal State Space Model</t>
  </si>
  <si>
    <t>Volatile Organic Compounds</t>
  </si>
  <si>
    <t>628.5/2</t>
  </si>
  <si>
    <t>TD885.5.O74 -- V655 2011eb</t>
  </si>
  <si>
    <t>DNA Vaccines: Types, Advantages and Limitations : Types, Advantages and Limitations</t>
  </si>
  <si>
    <t>Medicine; Science: Biology/Natural History; Science; Pharmacy</t>
  </si>
  <si>
    <t>615/.372</t>
  </si>
  <si>
    <t>QR189.5.D53 -- D64 2011eb</t>
  </si>
  <si>
    <t>Selected papers from the 18th International Conference on ISO &amp; TQM and the 17th Toulon-Verona Conference</t>
  </si>
  <si>
    <t>HD62.15 -- .T665 2015eb</t>
  </si>
  <si>
    <t>Carl Jung</t>
  </si>
  <si>
    <t>BF173.J85 -- .B574 2014eb</t>
  </si>
  <si>
    <t>'1,66,65,67,69,71,73,74,75,77,78,79,80,83,84,7,92,91,93,94,95'</t>
  </si>
  <si>
    <t>'66,67,68,69,70,71,72,73,74,75,76,77,78,79,80,81,82,83,84,85,86,87,88,89,90,91,92,93,94,95,96'</t>
  </si>
  <si>
    <t>Mozilla/5.0 (Windows NT 10.0; Win64; x64) AppleWebKit/537.36 (KHTML, like Gecko) Chrome/100.0.4896.75 Safari/537.36</t>
  </si>
  <si>
    <t>Psychodynamic Theory for Clinicians</t>
  </si>
  <si>
    <t>616.89/14</t>
  </si>
  <si>
    <t>RC489.P72 -- B52 2006eb</t>
  </si>
  <si>
    <t>'40,1,2,3,4,5,6,7,8,9,10,11,12,11,11'</t>
  </si>
  <si>
    <t>Principles Of Artificial Neural Networks (3rd Edition)</t>
  </si>
  <si>
    <t>QA76.87</t>
  </si>
  <si>
    <t>'1,2,20,21,22,23,24,25,26,27,28,29,30,31,32,34,35,36,37,39,40,41,42,43,44,45,46,47'</t>
  </si>
  <si>
    <t>Neural Networks : An Introductory Guide for Social Scientists</t>
  </si>
  <si>
    <t>006.3/2</t>
  </si>
  <si>
    <t>QA76.81$b.G37 1998</t>
  </si>
  <si>
    <t>'1,8,9,10,11,12,14,15'</t>
  </si>
  <si>
    <t>Surface Science : Foundations of Catalysis and Nanoscience</t>
  </si>
  <si>
    <t>QD506</t>
  </si>
  <si>
    <t>'1,1,1,11,11,25,26,29,389,389,29,256,255,255,9,554,553,546,529,528,530,480,479,444,443,426,425,424,409,408,407,398,397,389'</t>
  </si>
  <si>
    <t>Mozilla/5.0 (Windows NT 10.0; Win64; x64) AppleWebKit/537.36 (KHTML, like Gecko) Chrome/100.0.4896.60 Safari/537.36 Edg/100.0.1185.29</t>
  </si>
  <si>
    <t>'1,1,1,30,29,31,118,117,119,160,159,160,11,41,46,45'</t>
  </si>
  <si>
    <t>Radar System Performance Modeling</t>
  </si>
  <si>
    <t>TK6580 -- .C874 2005eb</t>
  </si>
  <si>
    <t>'1,1,1,3,3,25,102,101,215,218,217,294,385,386,389,395,395,10,9,120,107,92,91,54,53,55,121,151,152,150,151,10,9,11,15,43,44,26,466,565,557,543,544,545,546,541,540,538,536,535,534,532,524,523,522,521,520,519,518,514,513,512,510,12,13,14,451,462,463,464,465,467,468,469,470,471,472,473,474,475,476,477,478,479,480,482,483,484,461,460,459,458,457,456,455,454,452,449,448,447,446,441,435,434,436,437,438,439,440,442,443,444,445,481,485,487,489,490,491,492,493,494,495,496,497,498,500,501,502,503,504,505,506,507,509,511,516,517,525,526,527,528,529,530,531,533,537,539,542,548,545,14,13,29,31,66,65,89,118,117,181,184,183,269,283,326,325,353,362,361,364,363,363,33,56,55,373,373,9,19,52,51,118,326,325,327,410,409,554,553,546,444,443,442,441,440,440,29,57,65,85,93,94,124,123'</t>
  </si>
  <si>
    <t>How To Read A Paper : The Basics of Evidence Based Medicine</t>
  </si>
  <si>
    <t>Blackwell Publishing Ltd.</t>
  </si>
  <si>
    <t>R723.7 -- .G74 2000eb</t>
  </si>
  <si>
    <t>'95,96,97,98,99,100,101,102,103,104,105,106,107,108,109,110,111,112'</t>
  </si>
  <si>
    <t>'40,15,17,19,21,22,23,24,43,44,65,66,81,82,83,85,89,90,91,93,95,96,105,106,107,108,109,111,112,113,114,115,116,117,118,119,133,134,136,138,147,148,149,150,167,170,173,177,179,181,183,185,187,189,190,192,194,195,197,198,200,202,204,205,207,209,210,212,213,214,215,169,167'</t>
  </si>
  <si>
    <t>'167,168,169,170,171,172,173,174,175,176,177,178,179,180,181,182,183,184,185,186,187,188,189,190,191,192,193,194,195,196,197,198,199,200,201,202,203,204,205,206,207,208,209,210,211,212,213'</t>
  </si>
  <si>
    <t>'1,1,1,12,11,30,160,159,408,408,28,27,28,11,28,11,12,46,28,11,12,46,148,149,150,152,151,155,156'</t>
  </si>
  <si>
    <t>'1,1,2,3,3,36,35,50,53,49,53,17,18,3,60,59,61,62,63,29,30,31,32,33,35,36,37,38,40,41,114,113,112,111,110,109,108,116,117,118,119,120,121'</t>
  </si>
  <si>
    <t>Mankind Beyond Earth : The History, Science, and Future of Human Space Exploration</t>
  </si>
  <si>
    <t>TL789.8.U5 -- P53 2012eb</t>
  </si>
  <si>
    <t>'1,,1,2,4,5,6,7,8,11,10,13,12'</t>
  </si>
  <si>
    <t>'31,32,33,36,38,37,40,,40,42,41,65,219,217,5,6,167,168,169,170,171,173,172,174,175,176,177,178,180,181,182,183,184,185,187,188,189,190,191,193,194,196,197,198,200,202,203'</t>
  </si>
  <si>
    <t>'1,2,3,4,5,6,7,8,9,10,11,12,13,14,15,16,17,18,19,20,21,22,23,24,25,26,27,28,29,30,31'</t>
  </si>
  <si>
    <t>'1,1,2,92,91,93,94,95,96,97'</t>
  </si>
  <si>
    <t>Carl Jung and Alcoholics Anonymous : The Twelve Steps As a Spiritual Journey of Individuation</t>
  </si>
  <si>
    <t>HV5278</t>
  </si>
  <si>
    <t>'75,75,1,2,6,25,26,23,22,21,20,19,17,16,14,13,18,15,12,11,10,10,9,132,132,133,134,135'</t>
  </si>
  <si>
    <t>'1,1,92,93,91,94,,1'</t>
  </si>
  <si>
    <t>'1,2,3,4,5,6,7,8,8,8,9,10,12,13,14,15,16,17,18,19,75,,75'</t>
  </si>
  <si>
    <t>Infrared and Raman Spectroscopy : Principles and Spectral Interpretation</t>
  </si>
  <si>
    <t>QD96.I5 -- L37 2011eb</t>
  </si>
  <si>
    <t>'12,13,14,15,16,17,,18,19,20,21,22,23,24,25,26,27,28,29,30,31,32,33,34,35,36,37'</t>
  </si>
  <si>
    <t>'43,44,45,46,47,48,49,50,51,52,53,54,55,56,57,58,59,60,61,62,63,64,65,66,67,68,69,70,71,72,73,74,75,76,77,78,79,80,81,82,83,84,85,86,87,88,89,90,91,92,93,94,95,96,97,98,99,100,101,102,103,104,105,106,107,108,109,110,111,112,113,114,115,,145,146,147,148,149,150,151,152,153,154,155,156,157,158,159,160,161,162,163,164,165,166,167,168,169,170,171,172,173,174,175,176,177,178,179,180,181,182,183,184,185,186,187,188,189,190,191,192,,302,303,304,305,306,307,308,309,310,311,312,313,314,315,316,317,318,319,320,321,322,323,324,325,326,327,328,329,330,331,332,333,334,335,336,337,338,339,340,341,342,343,344,345,346,347,348,349,350'</t>
  </si>
  <si>
    <t>The Age of Disruption : Technology and Madness in Computational Capitalism</t>
  </si>
  <si>
    <t>Polity Press</t>
  </si>
  <si>
    <t>HM846 .S754 2019</t>
  </si>
  <si>
    <t>'1,1,12,13,14,15,16,17,18,19,19,114,115,295,296,297,12,13,14,15,16,17,95,96,97,98,99,28,29,30,31,32,33,34,35,36'</t>
  </si>
  <si>
    <t>'1,1,1,71,396'</t>
  </si>
  <si>
    <t>'1,1,267,295,268,269,270,271,272,273,274,275,276,277,278,279,280,281,282,283,284,285,387,388,389,390,391,286,287,288,289,291,290,292,293,294,296,297'</t>
  </si>
  <si>
    <t>Fast Fashion, Volume 10, Issue 3</t>
  </si>
  <si>
    <t>HD38.5 -- .F37 2006eb</t>
  </si>
  <si>
    <t>'1,1,1,67,68,231,232,267,268,269,270,271,272,274,275,276,277,278,279,280,281,282,283,284,285,286,287,288,289,290,291'</t>
  </si>
  <si>
    <t>Desalination Technology : Health and Environmental Impacts</t>
  </si>
  <si>
    <t>TD479 -- .D473 2010eb</t>
  </si>
  <si>
    <t>'1,1,46,47,49,49,38,50,51,51,51,46,88,87'</t>
  </si>
  <si>
    <t>'1,116,117,117,118,116'</t>
  </si>
  <si>
    <t>Making the Most of Scarcity : Accountability for Better Water Management in the Middle East and North Africa</t>
  </si>
  <si>
    <t>Engineering; Environmental Studies; Engineering: Environmental</t>
  </si>
  <si>
    <t>363.6/10956</t>
  </si>
  <si>
    <t>TD313.5 -- .M35 2006eb</t>
  </si>
  <si>
    <t>'1,2,3,4,7,8,9'</t>
  </si>
  <si>
    <t>Mozilla/5.0 (Windows NT 10.0; Win64; x64) AppleWebKit/537.36 (KHTML, like Gecko) Chrome/99.0.4844.84 Safari/537.36 OPR/85.0.4341.65</t>
  </si>
  <si>
    <t>Addressing China's Water Scarcity : A Synthesis of Recommendations for Selected Water Resource Management Issues</t>
  </si>
  <si>
    <t>Agriculture; Environmental Studies; Economics; Business/Management</t>
  </si>
  <si>
    <t>HD1698.C5 -- A33 2009eb</t>
  </si>
  <si>
    <t>'1,3,44,45,46'</t>
  </si>
  <si>
    <t>'1,2,3,6,7,178,179,180,181,182,183'</t>
  </si>
  <si>
    <t>Suburbia : An International Assessment</t>
  </si>
  <si>
    <t>HT351 .R684 2021</t>
  </si>
  <si>
    <t>Environmental Trace Analysis : Techniques and Applications</t>
  </si>
  <si>
    <t>Science; Engineering: Environmental; Engineering; Science: Biology/Natural History</t>
  </si>
  <si>
    <t>TD193 -- .D428 2014eb</t>
  </si>
  <si>
    <t>Remote Sensing : Models and Methods for Image Processing</t>
  </si>
  <si>
    <t>TA1632.S3 2007</t>
  </si>
  <si>
    <t>'8,328,329,330,331,332,333,334,335,336,337,338,339,340,341,342'</t>
  </si>
  <si>
    <t>Fires, Explosions, and Toxic Gas Dispersions : Effects Calculation and Risk Analysis</t>
  </si>
  <si>
    <t>T55.3.H3A847 2010</t>
  </si>
  <si>
    <t>Mozilla/5.0 (Macintosh; Intel Mac OS X 10_15_7) AppleWebKit/537.36 (KHTML, like Gecko) Chrome/100.0.4896.60 Safari/537.36 Edg/100.0.1185.29</t>
  </si>
  <si>
    <t>'1,8,9,10,11,12,13,14,15,16'</t>
  </si>
  <si>
    <t>Kafka and the Universal</t>
  </si>
  <si>
    <t>PT3818.K345 2016eb</t>
  </si>
  <si>
    <t>'1,1,5,6,6,282,281,5,279,280,280,282,281,289,288,288,282,281,289,287,285,284,283'</t>
  </si>
  <si>
    <t>Mozilla/5.0 (Windows NT 10.0; Win64; x64) AppleWebKit/537.36 (KHTML, like Gecko) Chrome/99.0.4844.84 Safari/537.36</t>
  </si>
  <si>
    <t>Nanoscale Materials in Chemistry</t>
  </si>
  <si>
    <t>TA418.9.N35 -- N345 2009eb</t>
  </si>
  <si>
    <t>'3,4,5,6,7'</t>
  </si>
  <si>
    <t>'22,23,24,25,26,27,28,29,30,31,32,33,34,35,36,37,38,39,40,41,42,43,44,45,46,47,48,49,50,51,52,53,54,55,56,57,58,59,60,61,62,63,64,65,66,67,68,69,70,71,,72,73,74,75,76,77,78,79,80,81,82,83,84,85,86,87,88,89,90,91,92,93,94,95,96,97,98,99,100,101,102,103,104,105,106,107,108,109,110,111,112,113,114,115,116,117,118,119,120,121,122,123,124,125,126,127,128,129,130,131,132,133,134,135,136,137,138,139,140,141,142,143,144,145'</t>
  </si>
  <si>
    <t>Handbook of Distance Education</t>
  </si>
  <si>
    <t>LC5800 .H36 2012</t>
  </si>
  <si>
    <t>'4,,22,23,24,25,26,27,28,29,30,31,32,33,34,35,36,37,38,39'</t>
  </si>
  <si>
    <t>The European Union, China and Central Asia : Global and Regional Cooperation in a New Era</t>
  </si>
  <si>
    <t>JC319 .E976 2022</t>
  </si>
  <si>
    <t>'1,1,4,8,,,1,59,135,166,166,166,166,297,166,169,171,172,173,175,177,178,179,180,168,164,163,158,154,151,150,148,147,146,144,142,140,141,140,140,143,145,148,150,152,153,154,156,157,159,160,161,161,161,160,158,155,153,148,136,137,138,139,140,140,141,142,143,144,145,146,147,148,149,150,151,152,153,154,1,2,3,4,5'</t>
  </si>
  <si>
    <t>'1,,1,1,140,141,142,143,144,145,146,147,148,149,150,151,152,153,154,155,156,157,158,159,160'</t>
  </si>
  <si>
    <t>'160'</t>
  </si>
  <si>
    <t>Reality Television and Arab Politics : Contention in Public Life</t>
  </si>
  <si>
    <t>791.45/6</t>
  </si>
  <si>
    <t>PN1992.8.R43 -- K73 2010eb</t>
  </si>
  <si>
    <t>'1,2,3,4,5,,1,182,108,203,204,205,206,,208'</t>
  </si>
  <si>
    <t>3D Printing of Optics</t>
  </si>
  <si>
    <t>TS513 .R365 2018</t>
  </si>
  <si>
    <t>'15,16,17,18,19,20,21'</t>
  </si>
  <si>
    <t>Financial Globalization and the Emerging Market Economy</t>
  </si>
  <si>
    <t>HG195 -- .D37 2004eb</t>
  </si>
  <si>
    <t>'1,1,30,,30,31,32,33,34'</t>
  </si>
  <si>
    <t>'1,1,77,141'</t>
  </si>
  <si>
    <t>'77,78,79,80,81,82,83,84,85,86,87,88,89,90,91,92,93,94,95,96,97,98,99,100,101,102,103,104,105,106'</t>
  </si>
  <si>
    <t>Inorganic Trace Analytics : Trace Element Analysis and Speciation</t>
  </si>
  <si>
    <t>QD139.T7</t>
  </si>
  <si>
    <t>'1,,109,110,111,112,19,21,22,23,24,25,26,27,28,83,84,85'</t>
  </si>
  <si>
    <t>'83,84,85,86,87,88,89,90,91,92,93,94,95,96,97,98,99,100,101,102,103,104,105,106,107,108'</t>
  </si>
  <si>
    <t>Steroid Use and Abuse</t>
  </si>
  <si>
    <t>RC1230 -- .S726 2010eb</t>
  </si>
  <si>
    <t>'1,3,6,35,36,37,38'</t>
  </si>
  <si>
    <t>'1,1,3,5,4,6,7,8,17,18'</t>
  </si>
  <si>
    <t>'8,31,40'</t>
  </si>
  <si>
    <t>Ocean in the Earth System</t>
  </si>
  <si>
    <t>GC21 -- .O243 2014eb</t>
  </si>
  <si>
    <t>'161,162,163,164,165,166,167,168,169,170,171,172,173,174,175,176,177,178,179,180,181,182,183,184,185,186,187,188,189,190,191,192,193,194,195,196,197,198,199,200,201,202,203,204'</t>
  </si>
  <si>
    <t>Mozilla/5.0 (Macintosh; Intel Mac OS X 10_15_7) AppleWebKit/537.36 (KHTML, like Gecko) Chrome/99.0.4844.51 Safari/537.36</t>
  </si>
  <si>
    <t>Whitehead and China : Relevance and Relationships</t>
  </si>
  <si>
    <t>Philosophy; History</t>
  </si>
  <si>
    <t>B1674.W354.W458 200</t>
  </si>
  <si>
    <t>'1,113,114,2,3,4,5,,1,115,114,116,117,118,119,120,121,122,123,124,125,126,127,128,129,130,131'</t>
  </si>
  <si>
    <t>Designing Disorder : Experiments and Disruptions in the City</t>
  </si>
  <si>
    <t>Verso</t>
  </si>
  <si>
    <t>HT185$b.S46 2020</t>
  </si>
  <si>
    <t>'1,1,18,21,97,97,91,91,68,67,1,3,4,68,16,20,28,28,12,19,20,59'</t>
  </si>
  <si>
    <t>Sustainable Lifestyles after Covid-19</t>
  </si>
  <si>
    <t>HQ2042 .E244 2021</t>
  </si>
  <si>
    <t>Basics of Polymers : Fabrication and Processing Technology</t>
  </si>
  <si>
    <t>Mozilla/5.0 (Windows NT 10.0; Win64; x64) AppleWebKit/537.36 (KHTML, like Gecko) Chrome/99.0.4844.74 Safari/537.36</t>
  </si>
  <si>
    <t>A Pocket Companion to PMI's PMBOK® Guide Sixth Edition</t>
  </si>
  <si>
    <t>Van Haren Publishing</t>
  </si>
  <si>
    <t>'1,1,2,3,4,7,8,9'</t>
  </si>
  <si>
    <t>Introduction to Algorithms</t>
  </si>
  <si>
    <t>QA76.6.C662 2009</t>
  </si>
  <si>
    <t>'1,2,6,7,8,14,15,16,17,18,19,21,24,25,26,27,28,29,30'</t>
  </si>
  <si>
    <t>'1,1,113,114,115,116,117,118,119,120,121,122,,,122,122,1,2,4,5,6,7,9,11,12,10,13,15,113,137'</t>
  </si>
  <si>
    <t>'113'</t>
  </si>
  <si>
    <t>'1,12,11,13,,1'</t>
  </si>
  <si>
    <t>'1,1,8,8,4,4,4,4,8,7,8,8,8,3,8,8,8'</t>
  </si>
  <si>
    <t>Mozilla/5.0 (Windows NT 6.1; Win64; x64) AppleWebKit/537.36 (KHTML, like Gecko) Chrome/99.0.4844.84 Safari/537.36</t>
  </si>
  <si>
    <t>'5,6,6,6'</t>
  </si>
  <si>
    <t>Mozilla/5.0 (Macintosh; Intel Mac OS X 10_15_7) AppleWebKit/537.36 (KHTML, like Gecko) Chrome/98.0.4758.87 Safari/537.36</t>
  </si>
  <si>
    <t>Leading at the Edge : Leadership Lessons from the Extraordinary Saga of Shackleton's Antarctic Expedition</t>
  </si>
  <si>
    <t>'1,29,65,99,100,101,102,121,122'</t>
  </si>
  <si>
    <t>Neutron Physics For Nuclear Reactors: Unpublished Writings By Enrico Fermi</t>
  </si>
  <si>
    <t>QC793.5.N462 -- F47 2010eb</t>
  </si>
  <si>
    <t>'1,2,,1,1,1,2,,1,2,3,4,5,6,4,4,5,6,5,6,6,5,6'</t>
  </si>
  <si>
    <t>Mozilla/5.0 (Macintosh; Intel Mac OS X 10_14_6) AppleWebKit/537.36 (KHTML, like Gecko) Chrome/99.0.4844.83 Safari/537.36</t>
  </si>
  <si>
    <t>Construction Law in the United Arab Emirates and the Gulf</t>
  </si>
  <si>
    <t>KMV893.3.B84 -- G76 2016eb</t>
  </si>
  <si>
    <t>'1,1,2,4,4,250,250,250,250,250,251,252,253,254'</t>
  </si>
  <si>
    <t>'1,3,14,81,118,116,117,115,116,116,116,2,1,65,114,113,42,41,181,181,1,,1'</t>
  </si>
  <si>
    <t>Genocide Since 1945</t>
  </si>
  <si>
    <t>HV6322.7 .S655 2012</t>
  </si>
  <si>
    <t>'77,77,77,78,79,80,81,82,83'</t>
  </si>
  <si>
    <t>'57,58,59,60,61,78,79,80,81,82,83'</t>
  </si>
  <si>
    <t>Mozilla/5.0 (Windows NT 10.0; Win64; x64) AppleWebKit/537.36 (KHTML, like Gecko) Chrome/100.0.4896.60 Safari/537.36</t>
  </si>
  <si>
    <t>Indonesia : Archipelago of Fear</t>
  </si>
  <si>
    <t>DS644.5 -- .V58 2012eb</t>
  </si>
  <si>
    <t>'1,1,1,47,46,45,2,7,48,49,50,51,44,37,38,61,60,60'</t>
  </si>
  <si>
    <t>'50,51,52,53,54,55,56,57,58,37,38,39,40,41,42,43,44,45,46,47,48,49,50,51,52,53,54,55,56,57,58,59,60'</t>
  </si>
  <si>
    <t>Historical Dictionary of Indonesia</t>
  </si>
  <si>
    <t>DS633.K34 2015</t>
  </si>
  <si>
    <t>'611,611,611,640'</t>
  </si>
  <si>
    <t>Genocide in International Law : The Crime of Crimes</t>
  </si>
  <si>
    <t>345/.0251</t>
  </si>
  <si>
    <t>K5302 -- .S32 2009eb</t>
  </si>
  <si>
    <t>'692,693,1,1'</t>
  </si>
  <si>
    <t>Political Violence in Southeast Asia Since 1945 : Case Studies from Six Countries</t>
  </si>
  <si>
    <t>HN670.3.Z9 .P655 2021</t>
  </si>
  <si>
    <t>'1,1,1,42,43,44,45,46,,42,42'</t>
  </si>
  <si>
    <t>Genocide and Mass Atrocities in Asia : Legacies and Prevention</t>
  </si>
  <si>
    <t>DS35.2 .G466 2013</t>
  </si>
  <si>
    <t>'1,1,63,16,16,50,51,52,53,54,55,56'</t>
  </si>
  <si>
    <t>'50,51,52,53,54,55,56,57,58,59,60,61,62,63,64,65,66,67'</t>
  </si>
  <si>
    <t>Centuries of Genocide : Essays and Eyewitness Accounts</t>
  </si>
  <si>
    <t>HV6322.7 .C46 2013</t>
  </si>
  <si>
    <t>'1,1,1,2,3,4,5,6,7,184,185,185,3,250,251,252,253,254,255,256,257,258,259,260'</t>
  </si>
  <si>
    <t>'8,8,9,8,14,15,16,17,18,19,20,90,91,92,93,94,95,288,289,290,291,292,293,294,295,295,8,84,84,4,5,6'</t>
  </si>
  <si>
    <t>Mozilla/5.0 (Macintosh; Intel Mac OS X 10_15_7) AppleWebKit/537.36 (KHTML, like Gecko) Chrome/93.0.4577.63 Safari/537.36 Edg/93.0.961.38</t>
  </si>
  <si>
    <t>The Hegel Dictionary : Hegel Dictionary</t>
  </si>
  <si>
    <t>B2901 -- .M34 2010eb</t>
  </si>
  <si>
    <t>'1,1,61,63,64,65,66,67,68,69,70,71,72,73,75,76,77,78'</t>
  </si>
  <si>
    <t>The Art of Molecular Dynamics Simulation</t>
  </si>
  <si>
    <t>539/.6</t>
  </si>
  <si>
    <t>QC173.457.C64 R37 2004</t>
  </si>
  <si>
    <t>Metallo-Drugs: Development and Action of Anticancer Agents : Development and Action of Anticancer and Antitumor Agents</t>
  </si>
  <si>
    <t>615.7/98</t>
  </si>
  <si>
    <t>RS431.A64 .S544 2018</t>
  </si>
  <si>
    <t>'393,394,395,396,397,398,399,400,401,402,403,404,405,406,407,408,409,410,411,412,413,414,415,416,417,418,419,420,421,422,423,424,425,426,427,428,,43,44,45,46,47,48,49,50,51,52,53,54,55,56,57,58,59,60,61,62,63,64,65,66,67,68,69,70,71,72,73,74,75,76,77,78,79,80,81,82,83,84'</t>
  </si>
  <si>
    <t>Statistical Mechanics: Theory and Molecular Simulation : Theory and Molecular Simulation</t>
  </si>
  <si>
    <t>QC174.8.T83 2010</t>
  </si>
  <si>
    <t>Understanding Molecular Simulation : From Algorithms to Applications</t>
  </si>
  <si>
    <t>Science: Physics; Science: Chemistry; Science</t>
  </si>
  <si>
    <t>QD461.F86 2002</t>
  </si>
  <si>
    <t>'1,1,2,14,14,14,14,49,48,86,49,54,61,61,275,275,275'</t>
  </si>
  <si>
    <t>Mozilla/5.0 (Windows NT 10.0; Win64; x64) AppleWebKit/537.36 (KHTML, like Gecko) Chrome/98.0.4758.109 Safari/537.36 OPR/84.0.4316.52</t>
  </si>
  <si>
    <t>'88,89,90,91,92,93'</t>
  </si>
  <si>
    <t>'1,2,5,6,8,9,39,74,84,86'</t>
  </si>
  <si>
    <t>Kierkegaard's Existential Approach</t>
  </si>
  <si>
    <t>B819.K547 2017eb</t>
  </si>
  <si>
    <t>'1,1,119,120,121,122,123,124,125,126,127,128,129,130,131,132,133,134,199,177'</t>
  </si>
  <si>
    <t>'119'</t>
  </si>
  <si>
    <t>Jerusalem Journal : Finding Hope</t>
  </si>
  <si>
    <t>PenMark Press</t>
  </si>
  <si>
    <t>DS119.76 -- .T724 2006eb</t>
  </si>
  <si>
    <t>'1,2,3,5,6,7,8,9,17,30,23,190,233,237,238,239,245,241'</t>
  </si>
  <si>
    <t>Mozilla/5.0 (Windows NT 10.0; Win64; x64; rv:98.0) Gecko/20100101 Firefox/98.0</t>
  </si>
  <si>
    <t>Jerusalem: 1-704 : 1-704</t>
  </si>
  <si>
    <t>915.6/9442/0454</t>
  </si>
  <si>
    <t>CN745 -- .J47 2010eb</t>
  </si>
  <si>
    <t>Jerusalem : City of Longing</t>
  </si>
  <si>
    <t>956.94/42</t>
  </si>
  <si>
    <t>DS109</t>
  </si>
  <si>
    <t>'1,1,1,2,3,4,8,9,10,11,14,15,16,17'</t>
  </si>
  <si>
    <t>'1,1,119,120,121,122,123,124,125,126,127,128,129,130,131,132,133,134,135,136,137'</t>
  </si>
  <si>
    <t>'129'</t>
  </si>
  <si>
    <t>Kierkegaard</t>
  </si>
  <si>
    <t>B4377.F47 2009</t>
  </si>
  <si>
    <t>'1,1,11,12,13,14,15,16,17,18,20,21,22,23,24,25,26,27,28,28,100,101,102,103,104,105,,1,1,105,106,107,108,109,110,111,112'</t>
  </si>
  <si>
    <t>230/.044/092</t>
  </si>
  <si>
    <t>B4378.C5 -- W38 1997eb</t>
  </si>
  <si>
    <t>'1,1,75,76,,1,1,75,76,77,78,46,47,48'</t>
  </si>
  <si>
    <t>Advances In Quantitative Analysis Of Finance And Accounting (Vol. 6)</t>
  </si>
  <si>
    <t>HG106.A38 2008</t>
  </si>
  <si>
    <t>Mozilla/5.0 (Windows NT 10.0; Win64; x64) AppleWebKit/537.36 (KHTML, like Gecko) Chrome/99.0.4844.88 Safari/537.36</t>
  </si>
  <si>
    <t>Crescent Moon over the Rational : Philosophical Interpretations of Paul Klee</t>
  </si>
  <si>
    <t>N6888</t>
  </si>
  <si>
    <t>'1,1,2,3,3,16,15,29,64,63,129,174,173,208,24,23,25,26,27,28,30,116,117,118'</t>
  </si>
  <si>
    <t>Paul Klee</t>
  </si>
  <si>
    <t>'1,2,3,4,5,5,215,216,196,197,198,223,224,225,226,227,228,229,230,231,147,148'</t>
  </si>
  <si>
    <t>IoT Development for ESP32 and ESP8266 with JavaScript : A Practical Guide to XS and the Moddable SDK</t>
  </si>
  <si>
    <t>TK5105.5-5105.9</t>
  </si>
  <si>
    <t>'4,33,34,35,36,37,38,39'</t>
  </si>
  <si>
    <t>Mozilla/5.0 (Windows NT 10.0; Win64; x64) AppleWebKit/537.36 (KHTML, like Gecko) Chrome/99.0.4844.51 Safari/537.36</t>
  </si>
  <si>
    <t>Managing Space Radiation Risk in the New Era of Space Exploration</t>
  </si>
  <si>
    <t>'1,109,110,111,112,113,114,94,93,95,96,97,98,115,116,116,76,75,96,96,65,82,81,81,72,71,100,101,101'</t>
  </si>
  <si>
    <t>Learner-Centered Teaching : Putting the Research on Learning into Practice</t>
  </si>
  <si>
    <t>LB1027.23.D69 2011</t>
  </si>
  <si>
    <t>'1,2,3,4,5,6,8,12,16,17,18,19,20,21,22,,,1,22'</t>
  </si>
  <si>
    <t>Learner-Centered Teaching : Five Key Changes to Practice</t>
  </si>
  <si>
    <t>378.1/2</t>
  </si>
  <si>
    <t>LB2331.W39 2013</t>
  </si>
  <si>
    <t>'1,19,20,21,22,23,24,25,26,27,28,30,31,32,33,34,35,36'</t>
  </si>
  <si>
    <t>Learning : Rule Extraction and Representation</t>
  </si>
  <si>
    <t>Psychology; Science: Biology/Natural History; Science</t>
  </si>
  <si>
    <t>QP408 -- .L44 1999eb</t>
  </si>
  <si>
    <t>'1,3,15,11,12,13,14,103,104'</t>
  </si>
  <si>
    <t>Kim Jong-Il, Revised and Updated : Kim Jong-Il: North Korea�s Dear Leader, Revised and Updated Edition</t>
  </si>
  <si>
    <t>951.9304/3/092 B</t>
  </si>
  <si>
    <t>DS934.6.K44B74 2012</t>
  </si>
  <si>
    <t>Mozilla/5.0 (Macintosh; Intel Mac OS X 10_15_7) AppleWebKit/537.36 (KHTML, like Gecko) Chrome/99.0.4844.83 Safari/537.36</t>
  </si>
  <si>
    <t>'23,77,78'</t>
  </si>
  <si>
    <t>A Philosophy of Emptiness</t>
  </si>
  <si>
    <t>BQ4275 -- .W387 2014eb</t>
  </si>
  <si>
    <t>'1,76,75,77'</t>
  </si>
  <si>
    <t>'1,2,3,4,,1,,1'</t>
  </si>
  <si>
    <t>Advances in Intelligent Robotics and Collaborative Automation</t>
  </si>
  <si>
    <t>'1,1,13,2,3,4,5,6,7,8,19,50,15,40,37,36'</t>
  </si>
  <si>
    <t>Human Dignity and Human Cloning</t>
  </si>
  <si>
    <t>'1,2,75,77,78'</t>
  </si>
  <si>
    <t>Cloning : A Biologist Reports</t>
  </si>
  <si>
    <t>Science; Science: Biology/Natural History; Science: Zoology</t>
  </si>
  <si>
    <t>596/.01/6</t>
  </si>
  <si>
    <t>QH442.2 -- .M32 1979eb</t>
  </si>
  <si>
    <t>'1,2,3,4,5,6,6,130,130,122,122,10'</t>
  </si>
  <si>
    <t>'1,8,9,10,13,15,16,17,18,20,21,22,23,23,24,25,27,23,22,21'</t>
  </si>
  <si>
    <t>'17,17,22,22,22,23,23,23,22'</t>
  </si>
  <si>
    <t>'1,3,4,12,14,15,16,17,20'</t>
  </si>
  <si>
    <t>'19'</t>
  </si>
  <si>
    <t>'23,51,52,53'</t>
  </si>
  <si>
    <t>Human Cloning : Four Fallacies and Their Legal Consequences</t>
  </si>
  <si>
    <t>Philosophy; Science: Biology/Natural History; Science</t>
  </si>
  <si>
    <t>176/.22</t>
  </si>
  <si>
    <t>QH442.2 .M253 2013</t>
  </si>
  <si>
    <t>'1,2,3,6,5,4,5,5,5,5,6,8,10,12,13,15,16,17,17,17,17,17,17,22,16,16,,1'</t>
  </si>
  <si>
    <t>'1,2,2,3,4,6,7,8,10,19,20,21,22,23,195,197,200,199,201,24,25,26,27'</t>
  </si>
  <si>
    <t>'19,19,20,20,21,21,21,22,23,23,24,26'</t>
  </si>
  <si>
    <t>'23,23,24,25,26,27,37,38,39,51,52,53,54,55,56,57'</t>
  </si>
  <si>
    <t>'1,5,5,6,1,2,23,24,,,23'</t>
  </si>
  <si>
    <t>'1,3,4,5,6,7,8,10,11,12,12,19'</t>
  </si>
  <si>
    <t>Mental Health - Facing the Challenges, Building Solutions : report from the WHO European Ministerial Conference</t>
  </si>
  <si>
    <t>WHO Regional Office for Europe</t>
  </si>
  <si>
    <t>RA790.A2.M46 2005</t>
  </si>
  <si>
    <t>'1,112,113,114,111,106,107,108,115'</t>
  </si>
  <si>
    <t>Public Health and Epidemiology at a Glance</t>
  </si>
  <si>
    <t>RA425 -- .S664 2016eb</t>
  </si>
  <si>
    <t>'74,75,76,77,78,79,80,81,82,83,84,85,86,87,88,89,90,91,92,93,94,95,96,97,98,99,100,101,102,103,104,105,106,107,108,109,110,111,112,113,114,115,116,117,118,119,120,121,122,123,124,125'</t>
  </si>
  <si>
    <t>Readings in Planning Theory</t>
  </si>
  <si>
    <t>HT165.5 -- .R433 2016eb</t>
  </si>
  <si>
    <t>'1,7,11,12,12,13,13,13,29,29,509,522,29,37,37,37,37,37,36,35,34,33,393,509'</t>
  </si>
  <si>
    <t>'33,34,35,36,37,38,39,40,41,42,43,44,45,46,47,48,49,50,51,52,53,54,55,56,57,58,59,60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'</t>
  </si>
  <si>
    <t>Mozilla/5.0 (Windows NT 10.0; Win64; x64) AppleWebKit/537.36 (KHTML, like Gecko) Chrome/99.0.4844.74 Safari/537.36 Edg/99.0.1150.46</t>
  </si>
  <si>
    <t>Tuberculosis</t>
  </si>
  <si>
    <t>Medicine; Health; Social Science</t>
  </si>
  <si>
    <t>616.9/95</t>
  </si>
  <si>
    <t>RA644.T7D88 2010</t>
  </si>
  <si>
    <t>'1,1,45,46,47,53,54,54,93,94,95,96,140,139,,1,1'</t>
  </si>
  <si>
    <t>Encyclopedia of Heart Diseases</t>
  </si>
  <si>
    <t>616.1/2/003</t>
  </si>
  <si>
    <t>RC681.K45 2006</t>
  </si>
  <si>
    <t>'1,1,631,630,632'</t>
  </si>
  <si>
    <t>Osteoporosis : Diagnosis and Management</t>
  </si>
  <si>
    <t>RC931.O73.O88 2013eb</t>
  </si>
  <si>
    <t>'1,1,27,28,29,30,31,32,34'</t>
  </si>
  <si>
    <t>Lost Souls : Women, Religion and Mental Illness in the Victorian Asylum</t>
  </si>
  <si>
    <t>Health; Social Science; Medicine; Psychology</t>
  </si>
  <si>
    <t>RC451.4.W6</t>
  </si>
  <si>
    <t>'1,1,2,30,31,,,31,31,31,30,32,33,34,35,18,17'</t>
  </si>
  <si>
    <t>Eugenics and Other Evils : An Argument Against the Scientifically Organized State</t>
  </si>
  <si>
    <t>HQ751.C447 2015</t>
  </si>
  <si>
    <t>'1,22,8,22,22'</t>
  </si>
  <si>
    <t>'22,23,24,25,26,27,28'</t>
  </si>
  <si>
    <t>'1,1,27'</t>
  </si>
  <si>
    <t>'1,1,1,44,43,45'</t>
  </si>
  <si>
    <t>Chronic Pain For Dummies</t>
  </si>
  <si>
    <t>RB127 -- .K37 2008eb</t>
  </si>
  <si>
    <t>'1,1,5,5,5'</t>
  </si>
  <si>
    <t>'1,22,22'</t>
  </si>
  <si>
    <t>Polymer Processing : Principles and Design</t>
  </si>
  <si>
    <t>668.4/23</t>
  </si>
  <si>
    <t>TP1180.T5 -- .B357 2014eb</t>
  </si>
  <si>
    <t>'1,1,253,253,126,125'</t>
  </si>
  <si>
    <t>Oilfield Trash : Life and Labor in the Oil Patch</t>
  </si>
  <si>
    <t>Business/Management; Engineering; Engineering: Mining</t>
  </si>
  <si>
    <t>622/.182820976409041</t>
  </si>
  <si>
    <t>HD8039.P42 -- W43 2010eb</t>
  </si>
  <si>
    <t>Why Mars : NASA and the Politics of Space Exploration</t>
  </si>
  <si>
    <t>629.43/543</t>
  </si>
  <si>
    <t>TL799.M3.L363 2014eb</t>
  </si>
  <si>
    <t>'1,1,4,270,269'</t>
  </si>
  <si>
    <t>'270,270'</t>
  </si>
  <si>
    <t>'1,1,1,,1'</t>
  </si>
  <si>
    <t>Applied Plastics Engineering Handbook : Processing and Materials</t>
  </si>
  <si>
    <t>TP1120 -- .A67 2011eb</t>
  </si>
  <si>
    <t>'1,306,307,308,309'</t>
  </si>
  <si>
    <t>'1,1,16,15,631,1'</t>
  </si>
  <si>
    <t>'1,1,3,3,30,30,31,28,27,8,11'</t>
  </si>
  <si>
    <t>Thinking Planning and Urbanism</t>
  </si>
  <si>
    <t>307.1/21609713541</t>
  </si>
  <si>
    <t>HT178.C22 -- T67 2009eb</t>
  </si>
  <si>
    <t>'1,59,60,,59,61,57,56,55,54,60,84'</t>
  </si>
  <si>
    <t>Mirei Shigemori - Rebel in the Garden : Modern Japanese Landscape Architecture</t>
  </si>
  <si>
    <t>Fine Arts; Agriculture</t>
  </si>
  <si>
    <t>SB470.S45 -- T73 2007eb</t>
  </si>
  <si>
    <t>'1,1,69,69,70,1,3,4,5,15,18,17,19,20,21,22,23,24'</t>
  </si>
  <si>
    <t>'18,21'</t>
  </si>
  <si>
    <t>'1,7,6,8,9,10,11,427,426,428,429,430,432,434,436,437,438,440,441,443,444,445,447,449,450,451,453,454,455,456,457,458,459,460,461,462,463,464,466'</t>
  </si>
  <si>
    <t>'2,,23,,,74,75,23'</t>
  </si>
  <si>
    <t>'23,24,25,26,27,28,29,30,31,32,33,34,35,36,37,38,39,40,41,42,43,44,45,46,47,48,49,50,51,52,53,54,55,56,57,58,59,60,61,62,63,64,65,66,67,68,69,70,71,72,73'</t>
  </si>
  <si>
    <t>'1,1,1,16,15,631,630,632,633,634,635,636,637'</t>
  </si>
  <si>
    <t>Reimagining Sustainable Cities : Strategies for Designing Greener, Healthier, More Equitable Communities</t>
  </si>
  <si>
    <t>'1,1,12,27,56,56,29,30,96,136,139'</t>
  </si>
  <si>
    <t>Mozilla/5.0 (Windows NT 10.0; Win64; x64) AppleWebKit/537.36 (KHTML, like Gecko) Chrome/99.0.4844.51 Safari/537.36 Edg/99.0.1150.36</t>
  </si>
  <si>
    <t>'1,1,1,20,21,22,23,24'</t>
  </si>
  <si>
    <t>Exploring Universal Basic Income : A Guide to Navigating Concepts, Evidence, and Practices</t>
  </si>
  <si>
    <t>HC79.I5$b.E975 2020</t>
  </si>
  <si>
    <t>Mozilla/5.0 (Macintosh; Intel Mac OS X 10_15_7) AppleWebKit/537.36 (KHTML, like Gecko) Chrome/99.0.4844.74 Safari/537.36</t>
  </si>
  <si>
    <t>'1,1,1,20,19,27,28,29,27,27,27'</t>
  </si>
  <si>
    <t>Sex and Class in Women's History : Essays from Feminist Studies</t>
  </si>
  <si>
    <t>HQ1154 .S457 2012</t>
  </si>
  <si>
    <t>'1,1,1,83,84,85'</t>
  </si>
  <si>
    <t>Hysteria : The Disturbing History</t>
  </si>
  <si>
    <t>RC532.S38 2009</t>
  </si>
  <si>
    <t>'1,1,1,38,37,39,40'</t>
  </si>
  <si>
    <t>Clinical Tuberculosis</t>
  </si>
  <si>
    <t>RC311$b.C556 2021</t>
  </si>
  <si>
    <t>'1,1,1,24,25,30,85,140,141,142,264,263'</t>
  </si>
  <si>
    <t>'1,1,22,21,23,36,35,37,38,38,44,43,45,46,47,,1,1,1,44,45'</t>
  </si>
  <si>
    <t>Student Loan Scam : The Most Oppressive Debt in U. S. History - and How We Can Fight Back</t>
  </si>
  <si>
    <t>Beacon Press</t>
  </si>
  <si>
    <t>LB2340.2 -- .C645 2009eb</t>
  </si>
  <si>
    <t>'1,2,3,4,5,9,35,34,34,34,34,34'</t>
  </si>
  <si>
    <t>Emma by Jane Austen</t>
  </si>
  <si>
    <t>PR4034.E46 2007</t>
  </si>
  <si>
    <t>Earth and Mars : A Reflection</t>
  </si>
  <si>
    <t>University of Arizona Press</t>
  </si>
  <si>
    <t>GB403</t>
  </si>
  <si>
    <t>'1,2,4,3,5,6,8,7,9,10,11,12,13,15,16,17,19,18,20,21,22,24,26,27,29,28,30,32'</t>
  </si>
  <si>
    <t>'65,66,67,68,69,70,71,72,73,74,75,76,77,78,79,80,81,82,83,84,85,86,87,88,,211,212,213,214,215,216,217,218,219,220,221,222,223,224,225,226'</t>
  </si>
  <si>
    <t>'21,22,23,24,25,26,27,28,29,30,31,32,33,34,35,36,37,38,39,40,,41,42,43,44,45,46,47,48,49,50,51,52,53,54,55,56,57,58,59,60,61,62,63,64'</t>
  </si>
  <si>
    <t>'105,106,107,108,109,110,111,112,113,114,115,116,117,118,119,120,121,122,123,124,125,126,127,128,129,130,131,132,133,134,,89,90,91,92,93,94,95,96,97,98,99,100,101,102,103,104'</t>
  </si>
  <si>
    <t>'153,154,155,156,157,158,159,160,161,162,163,164,165,166,,135,136,137,138,139,140,141,142,143,144,145,146,147,148,149,150,151,152'</t>
  </si>
  <si>
    <t>'191,192,193,194,195,196,197,198,199,200,201,202,203,204,,167,168,169,170,171,172,173,174,175,176,177,178,179,180,181,182,183,184,185,186,187,188,189,190,,15,16,17,18,19,20,,5,,14,,5,,15,16,17,18,19,20'</t>
  </si>
  <si>
    <t>Mozilla/5.0 (Windows NT 10.0; Win64; x64) AppleWebKit/537.36 (KHTML, like Gecko) Chrome/98.0.4758.102 Safari/537.36</t>
  </si>
  <si>
    <t>'15'</t>
  </si>
  <si>
    <t>'41,42,43,44,45,46,47,48,49,50,51,52,53,54,55,56,57,58,59,60,61,62,63,64,,89,90,91,92,93,94,95,96,97,98,99,100,101,102,103,104,,,1,2,3,4'</t>
  </si>
  <si>
    <t>Occupational Therapy in Psychiatry and Mental Health</t>
  </si>
  <si>
    <t>616.8/9165</t>
  </si>
  <si>
    <t>RC487 -- .O238 2014eb</t>
  </si>
  <si>
    <t>'1,2,4,6,7,8,10,11,13,14,15,17,18,19,21'</t>
  </si>
  <si>
    <t>Mozilla/5.0 (Macintosh; Intel Mac OS X 10_14_6) AppleWebKit/537.36 (KHTML, like Gecko) Chrome/97.0.4692.99 Safari/537.36</t>
  </si>
  <si>
    <t>Therapy after Terror : 9/11, Psychotherapists, and Mental Health</t>
  </si>
  <si>
    <t>RC552.P67 S394 2008</t>
  </si>
  <si>
    <t>The Therapist's Answer Book : Solutions to 101 Tricky Problems in Psychotherapy</t>
  </si>
  <si>
    <t>RC480.515 B53 2012</t>
  </si>
  <si>
    <t>'1,2,3,4,5,6,7,8,15,16,17,18,21,22,23,24'</t>
  </si>
  <si>
    <t>Dynamic Risk Assessment and Management of Domino Effects and Cascading Events in the Process Industry</t>
  </si>
  <si>
    <t>HD61 .D963 2021</t>
  </si>
  <si>
    <t>Mozilla/5.0 (Windows NT 10.0; Win64; x64) AppleWebKit/537.36 (KHTML, like Gecko) Chrome/98.0.4758.109 Safari/537.36 OPR/84.0.4316.42</t>
  </si>
  <si>
    <t>Rainwater Harvesting for Agriculture in the Dry Areas</t>
  </si>
  <si>
    <t>Engineering: Environmental; Agriculture; Engineering</t>
  </si>
  <si>
    <t>S619.W38O94 2012</t>
  </si>
  <si>
    <t>Introduction to Basic Manufacturing</t>
  </si>
  <si>
    <t>Engineering: Manufacturing; Business/Management; Engineering</t>
  </si>
  <si>
    <t>TS183 .J393 2016</t>
  </si>
  <si>
    <t>'1,3,4,5,6,10,11,12,46,47,48,49,50,51,52,53,54,55,56,57,58,59,60,61,62,63,65,66,67,68,69,70,71,72,73,74,75,76,77,79,80,82,83'</t>
  </si>
  <si>
    <t>'55,55'</t>
  </si>
  <si>
    <t>Aluminum Alloys: Preparation, Properties and Applications : Preparation, Properties and Applications</t>
  </si>
  <si>
    <t>Engineering; Engineering: Mining; Engineering: General</t>
  </si>
  <si>
    <t>620.1/86</t>
  </si>
  <si>
    <t>TN775 -- .A4587 2010eb</t>
  </si>
  <si>
    <t>'1,2,4,5,6,7,8,9,10,11,13,14,15,3,16,95'</t>
  </si>
  <si>
    <t>'9,9,15'</t>
  </si>
  <si>
    <t>'1,2,3,4,6,21,22,20,19,18,17,16,15,15,14,16'</t>
  </si>
  <si>
    <t>Mozilla/5.0 (Windows NT 10.0; Win64; x64) AppleWebKit/537.36 (KHTML, like Gecko) Chrome/98.0.4758.109 Safari/537.36 OPR/84.0.4316.31</t>
  </si>
  <si>
    <t>Introduction to Modern Power Electronics</t>
  </si>
  <si>
    <t>TK7881.15 -- .T79 2016eb</t>
  </si>
  <si>
    <t>'1,3,4,5,8,9,10,11,12,13,263,262,264,265,266,267,268,269,270,271,272,273,274,275,276,277,278,279,280,281,282,283,284,285,286,287,288,289,290,291,292,293,294,295,296,297,298,299,300,301,302,303,304,305,306,307,308,309,310,311,312,313,314,315,316,317,318,320,321,322,323,324,325,326,327,328,329,330,331,332,333,334,335,336,337,338,339,340,351,350,359,358,360,361,362,363,364,365,366'</t>
  </si>
  <si>
    <t>Starting with Hegel</t>
  </si>
  <si>
    <t>B2948.M315 2010</t>
  </si>
  <si>
    <t>'1,1,63,65,66,68,69,70,71,72,73,74,75,76,77,78,79,80,81,82,83,84,85,86,87,88,89,90,91,92'</t>
  </si>
  <si>
    <t>'1,1,2,3,4,5,14,15,16,17,18,19,20,21,22,23,24,25,26,27,28,29,30,31,32,33,34,35,36,37,38,39,40,63,64,65,66,67'</t>
  </si>
  <si>
    <t>Magnetic Processes in Astrophysics : Theory, Simulations, Experiments</t>
  </si>
  <si>
    <t>Engineering: Electrical; Science; Engineering; Science: Astronomy</t>
  </si>
  <si>
    <t>TK454.4.M3 -- R83 2013eb</t>
  </si>
  <si>
    <t>'1,1,1,2,13,14,15,16,17,18,19,20,21,22,23,24,25,26,27,28,28'</t>
  </si>
  <si>
    <t>Mozilla/5.0 (X11; Linux x86_64) AppleWebKit/537.36 (KHTML, like Gecko) Chrome/99.0.4844.74 Safari/537.36</t>
  </si>
  <si>
    <t>Prolegomena to Any Future Materialism : The Outcome of Contemporary French Philosophy</t>
  </si>
  <si>
    <t>Northwestern University Press</t>
  </si>
  <si>
    <t>B1809</t>
  </si>
  <si>
    <t>'1,1,30,29,22,23,24,25,26,27,28,32,33,34,35,36,37,38,39,40,41,42,43,44,45,46,47,48,58,49,50,51,52,53,54,55,56,57'</t>
  </si>
  <si>
    <t>'35,38,38,39,49'</t>
  </si>
  <si>
    <t>Elements of Induction Heating : Design, Control, and Applications</t>
  </si>
  <si>
    <t>The Leadership of George Bush : An Insider's View of the Forty-first President</t>
  </si>
  <si>
    <t>E882 -- .P67 2009eb</t>
  </si>
  <si>
    <t>'1,22,24,25,27,28,30'</t>
  </si>
  <si>
    <t>Hydrogen and Fuel Cells : Advances in Transportation and Power</t>
  </si>
  <si>
    <t>Fairmont Press, Incorporated</t>
  </si>
  <si>
    <t>629.22/9</t>
  </si>
  <si>
    <t>TP359.H8 -- H68 2009eb</t>
  </si>
  <si>
    <t>'1,5,257,258,259,260,261,263,264,265,266,267,268,269,270'</t>
  </si>
  <si>
    <t>'1,2,3,4,49'</t>
  </si>
  <si>
    <t>'1,8,18,19,20,21,21,20,22,23,23,24,25,26,27,28,29,30'</t>
  </si>
  <si>
    <t>Math Hysteria : Fun and Games with Mathematics</t>
  </si>
  <si>
    <t>Mathematics; Sport &amp;amp; Recreation</t>
  </si>
  <si>
    <t>QA43</t>
  </si>
  <si>
    <t>How Wikipedia Works : And How You Can Be a Part of It</t>
  </si>
  <si>
    <t>No Starch Press, Incorporated</t>
  </si>
  <si>
    <t>AE1.5 -- .A98 2008eb</t>
  </si>
  <si>
    <t>'1,3,1,327,328,329,330,331,332,333,334,334,72,41,275'</t>
  </si>
  <si>
    <t>Non-Muslims in the Early Islamic Empire : From Surrender to Coexistence</t>
  </si>
  <si>
    <t>305.60956/09021</t>
  </si>
  <si>
    <t>DS36.9.D47 L49 2011</t>
  </si>
  <si>
    <t>'1,2,3,5,7,,1,3,4,5,6,7,8,9,10'</t>
  </si>
  <si>
    <t>Nelson Mandela : A Very Short Introduction</t>
  </si>
  <si>
    <t>DT1949.M35 -- B64 2008eb</t>
  </si>
  <si>
    <t>'1,3,4,22,23,24,26,27,28,29,1,2,191,192,193,194,195,196,197,198,199,200,103,104,105,106,107,108,109,110,111,112,113,114,115,116,117,118,119,120,121'</t>
  </si>
  <si>
    <t>'1,2,22,23,24,25'</t>
  </si>
  <si>
    <t>'44,45,46,47,48,49,50,51,52,53,54,55,56,57,58,59,60,61,62,63,64,65,66,67,68,69,70,71,72,73,74,75,76,77,78,79,80,81,82,83,84,85,86,87'</t>
  </si>
  <si>
    <t>Planning the Good Community : New Urbanism in Theory and Practice</t>
  </si>
  <si>
    <t>HT166 -- .G684 2006eb</t>
  </si>
  <si>
    <t>Configural Frequency Analysis : Methods, Models, and Applications</t>
  </si>
  <si>
    <t>BF39 -- .E94 2002eb</t>
  </si>
  <si>
    <t>Classical Arabic Philosophy : An Anthology of Sources</t>
  </si>
  <si>
    <t>Hackett Publishing Company, Incorporated</t>
  </si>
  <si>
    <t>B741 -- .C52 2007eb</t>
  </si>
  <si>
    <t>'1,18,34,35,36,38,37,120,120,120,,120,34,8,9,23,49,50'</t>
  </si>
  <si>
    <t>'1,1,22,85,86,89,97,137,143,144,145,147,149,150,154,155,160,162,163,164,165,166,167,168,169,173,176,179,180,201,223,226,236,268,301'</t>
  </si>
  <si>
    <t>'143,144,162,223'</t>
  </si>
  <si>
    <t>'1,1,16,17,20,28,28,12,19,59,59,9,19,31,77,94,99'</t>
  </si>
  <si>
    <t>'19,59'</t>
  </si>
  <si>
    <t>'1,2,4,5,6,7,7,7,8,10,11,12,100,250,249,201,179,180,204,205,203,134,135,185,202,213,231,251,260,259,259,98,189,212,236,256,282,298,291,281,280,279,279,28,29,90,91,117,199,201,210,255,255,256,102,262,262,15,70,70,21,33,33,169,170,175,180,181'</t>
  </si>
  <si>
    <t>'1,3,2,4,5,6,7,8,9,10,11,9,,10,14,,14,135,136,250,250,20,135,136,246'</t>
  </si>
  <si>
    <t>Concepts Of Modern Physics: The Haifa Lectures</t>
  </si>
  <si>
    <t>QC6.S148 2007</t>
  </si>
  <si>
    <t>'1,1,21,24,37,52,56'</t>
  </si>
  <si>
    <t>The Forgotten Palestinians : A History of the Palestinians in Israel</t>
  </si>
  <si>
    <t>956.94/0049274</t>
  </si>
  <si>
    <t>DS119.7 -- .P37 2011eb</t>
  </si>
  <si>
    <t>'1,2,1,3,4,5,6,7,8,9,10,10,10'</t>
  </si>
  <si>
    <t>Palestinian Refugees : Identity, Space and Place in the Levant</t>
  </si>
  <si>
    <t>305.892/74056</t>
  </si>
  <si>
    <t>HV640.5.P36 -- P36 2011eb</t>
  </si>
  <si>
    <t>'7,8,15,9,10,353,354'</t>
  </si>
  <si>
    <t>Best Practice Project Portfolio Management</t>
  </si>
  <si>
    <t>TS156 -- .I6221 2008eb</t>
  </si>
  <si>
    <t>'1,1,18'</t>
  </si>
  <si>
    <t>Islamic History : A Very Short Introduction</t>
  </si>
  <si>
    <t>History; Religion</t>
  </si>
  <si>
    <t>DS36.85 -- .S558 2010eb</t>
  </si>
  <si>
    <t>'15,56,56,89,82'</t>
  </si>
  <si>
    <t>Electromagnetic Wave Propagation, Radiation, and Scattering : From Fundamentals to Applications</t>
  </si>
  <si>
    <t>QC661.I845 2017</t>
  </si>
  <si>
    <t>Scattering of Acoustic and Electromagnetic Waves by Small Impedance Bodies of Arbitrary Shapes : Applications to Creating New Engineered Materials</t>
  </si>
  <si>
    <t>'98,99,100,101,102,103,104,105,106,107,108,109,110,111,112,113,,126,127,128,129,130,131,132,133,134,135,136,137,138,139,140,141,142,143'</t>
  </si>
  <si>
    <t>'1,2,3,4,5,6,7,8,9,10,11,12,13,14,15,16,17,18,19,20,329,330,330'</t>
  </si>
  <si>
    <t>'44,45,46,47,48,,3,5,6,8,10,13,7,9,11,12,14,15,16,,44,50,51,52,53,54,55,56,57,58,59,60,61,62,64,65,66,67,68,69,70,76,79,83,85,86,87,88,89,90,91,92,93,94,96,97,98,99,102,103,104,105,106,107,109,110,112,114,115,116,117,118,120,128'</t>
  </si>
  <si>
    <t>'1,2,3,5,6,7,8,11,12,13,13,13,12,11,6,2,1,3,1,1,,1,2,2,297,274,276,275'</t>
  </si>
  <si>
    <t>'12,13,14,15,16,17,18,19,20,21,22,23,24,25,26,27,28,29,30,31,32,33,34,35,36,37,38,39,40,41,42,43,44'</t>
  </si>
  <si>
    <t>The Cuban Missile Crisis : The Threshold of Nuclear War</t>
  </si>
  <si>
    <t>E841 .G395 2013</t>
  </si>
  <si>
    <t>'8,8,7,4,5,18,19,19,19,20,21,22,25,25,19,19,18,22,22,14,16,129,,128,129'</t>
  </si>
  <si>
    <t>Justice and Law</t>
  </si>
  <si>
    <t>340/.114</t>
  </si>
  <si>
    <t>K240.F3513 2014</t>
  </si>
  <si>
    <t>'1,2,3,4,22,79,80,81,82,83,84'</t>
  </si>
  <si>
    <t>American Law in a Global Context : The Basics</t>
  </si>
  <si>
    <t>KF380.F59 2005</t>
  </si>
  <si>
    <t>'1,2,26,28,29,30,31,32,33,34,35,36,67,37,38,39,40,41,42,43,44,45,46,47,48,49,328,88,89,90,91,92,93,94,95,96,97,98,87,85,82,80,76,75,50,51,55,56,57,58,60,61,62,63,65,68,69,70,71,72,73,74,66,77,,1,26,27,28,67,69,71,72,73,74,75,76,77,78,79,80,81,82,83,84,85,86,87,88,29,31,32,33,34,35,36,38,39,41,42,43,45,44,46,47,48,49,50,51,52,53,54,55,56,57,58,59,60,61,62'</t>
  </si>
  <si>
    <t>Law: the Basics : The Basics</t>
  </si>
  <si>
    <t>KD661 -- .S585 2011eb</t>
  </si>
  <si>
    <t>'1,2,3,20,22,24,23,25,27,26,28,29,30,31,32,33,34,35,36,37,38,39,40,41,42,43,44,45,46,47,48,49,50,51,52,53,70,71,72,73'</t>
  </si>
  <si>
    <t>'35,35'</t>
  </si>
  <si>
    <t>'1,2,3,5,8,9,10,12,11,13,15,14,16,17,18,19'</t>
  </si>
  <si>
    <t>'1,1,1,11,19,11,19'</t>
  </si>
  <si>
    <t>'35,36,99,98,44,43,45,46,35,44,45,46'</t>
  </si>
  <si>
    <t>Islam : A Brief History</t>
  </si>
  <si>
    <t>BP50 .S65 2010</t>
  </si>
  <si>
    <t>'21,22,39,38,40,48,49,36,35,37'</t>
  </si>
  <si>
    <t>Islam in World Politics</t>
  </si>
  <si>
    <t>BP173.5 -- .I75 2005eb</t>
  </si>
  <si>
    <t>'6,6,5,6,7,6,5,6,7,6,6,7,6,6,4,7'</t>
  </si>
  <si>
    <t>The Cambridge Encyclopedia of Darwin and Evolutionary Thought</t>
  </si>
  <si>
    <t>576.8/203</t>
  </si>
  <si>
    <t>QH360.2 .C36 2013</t>
  </si>
  <si>
    <t>'64,1,65'</t>
  </si>
  <si>
    <t>Humanizing the Sacred : Sisters in Islam and the Struggle for Gender Justice in Malaysia</t>
  </si>
  <si>
    <t>HQ1750.6.B37 2016</t>
  </si>
  <si>
    <t>'1,2,3,4,5,6,7,9,10,11,13,14,15,16,17,18,19'</t>
  </si>
  <si>
    <t>Muslims and Matriarchs : Cultural Resilience in Indonesia through Jihad and Colonialism</t>
  </si>
  <si>
    <t>305.89/928</t>
  </si>
  <si>
    <t>DS632</t>
  </si>
  <si>
    <t>'1,155,156,158,104'</t>
  </si>
  <si>
    <t>'1,,1,2,3,3,13,14,20,21,23,24,37,16,16,16,18,76'</t>
  </si>
  <si>
    <t>'1,2,3,4,6,7,8,9,10,11,12,13,14,15,16,17,18,19,19,12,14,21,21,21,21,21,22,149,150,151,152,152,152,153,154,155,156,26,24,25,24,24,24,24'</t>
  </si>
  <si>
    <t>Beyond the Islamic Revolution : Perceptions of Modernity and Tradition in Iran Before and After 1979</t>
  </si>
  <si>
    <t>DS318.8.B496 2017</t>
  </si>
  <si>
    <t>'1,2,120,121,122,123,124,125,25,26,27,28,29,30,31,163,164,1,5,139,140,141,142,144,145,146,147,148,165,13,4,6,7,8,9,10'</t>
  </si>
  <si>
    <t>'120,120,25,164,141,9,9'</t>
  </si>
  <si>
    <t>'1,1,168,222,223'</t>
  </si>
  <si>
    <t>The Universal Declaration of Human Rights : Origins, Drafting, and Intent</t>
  </si>
  <si>
    <t>'344,345,346,347'</t>
  </si>
  <si>
    <t>'1,10,10'</t>
  </si>
  <si>
    <t>Relational Data Clustering : Models, Algorithms, and Applications</t>
  </si>
  <si>
    <t>005.75/6</t>
  </si>
  <si>
    <t>QA76.9.D343 -- R46 2010eb</t>
  </si>
  <si>
    <t>'46,47,48,49,50,51,52,53,54,55'</t>
  </si>
  <si>
    <t>Mozilla/5.0 (X11; Linux x86_64) AppleWebKit/537.36 (KHTML, like Gecko) Chrome/99.0.4844.51 Safari/537.36</t>
  </si>
  <si>
    <t>Indo-Pacific Strategies : Navigating Geopolitics at the Dawn of a New Age</t>
  </si>
  <si>
    <t>JC319 .I536 2021</t>
  </si>
  <si>
    <t>'243,244,242,,30,31,32,33,34'</t>
  </si>
  <si>
    <t>'30,31,32,33,34,35,36,37,38,39,40,41,42,43,44,45,46,47,48'</t>
  </si>
  <si>
    <t>Palestinians in Israel : Segregation, Discrimination and Democracy</t>
  </si>
  <si>
    <t>DS119.76 -- .W45 2012eb</t>
  </si>
  <si>
    <t>'1,1,1,26'</t>
  </si>
  <si>
    <t>'1,1,92,126,135,134,136,258'</t>
  </si>
  <si>
    <t>Controlling Cost Growth of NASA Earth and Space Science Missions</t>
  </si>
  <si>
    <t>Science: Astronomy; Engineering</t>
  </si>
  <si>
    <t>'1,2,4,8,9,11,17'</t>
  </si>
  <si>
    <t>'1,2,6,16,17,14,13,13,13,1,12,52,,1,49,50,51,52'</t>
  </si>
  <si>
    <t>'52,52'</t>
  </si>
  <si>
    <t>Human Rights : An Introduction</t>
  </si>
  <si>
    <t>JC571 .O29 2014</t>
  </si>
  <si>
    <t>'1,41,42,43,44,45,46,47,48'</t>
  </si>
  <si>
    <t>Human Rights : A Very Short Introduction</t>
  </si>
  <si>
    <t>JC571 -- .C596 2007eb</t>
  </si>
  <si>
    <t>'1,2,3,4,5,22,23,24,25,103,104'</t>
  </si>
  <si>
    <t>'1,2,6,5,7,18,17,19,20,21'</t>
  </si>
  <si>
    <t>Parallel Computing: on the Road to Exascale</t>
  </si>
  <si>
    <t>The Evolution of Literature : Legacies of Darwin in European Cultures</t>
  </si>
  <si>
    <t>PN771.E9 2011</t>
  </si>
  <si>
    <t>'1,20'</t>
  </si>
  <si>
    <t>Functional Metal-Organic Frameworks : Structure, Properties and Applications</t>
  </si>
  <si>
    <t>QD411 .M677 2021</t>
  </si>
  <si>
    <t>'1,7,8,231,232,233,234,235,236,238,8,50,51,519,520,518,521,521,416,520'</t>
  </si>
  <si>
    <t>'520'</t>
  </si>
  <si>
    <t>'1,19,19,19,20,21,18,22,23,24,25,26,27,28,29,30,31'</t>
  </si>
  <si>
    <t>'6,7,8,9,10,11,12'</t>
  </si>
  <si>
    <t>'1,1,2,3,4,5,6,7,8,,8,8,,6,7,8,,26,27,,8,,1'</t>
  </si>
  <si>
    <t>An Introduction to Politics, State and Society</t>
  </si>
  <si>
    <t>JA66.M34 2003</t>
  </si>
  <si>
    <t>'1,2,,1,,1,,1,2'</t>
  </si>
  <si>
    <t>An Introduction to Social and Political Philosophy : A Question-Based Approach</t>
  </si>
  <si>
    <t>JA71 -- .S287 2009eb</t>
  </si>
  <si>
    <t>'1,2,3,4,,5,6,,5,6,,7,8,9,10,11,12,13,14,15,16,,17,18,,19,20,21,22,23,24,25,26,27,28,29,30,31,32,33,34,35,36,37,38,39,40,41,42,43,44,45,46,47,48,49,50,51,52,53,54,55,56,57,58,59,60,61,62,63,64,65,66,67,68,69,70,71,72,73,74,75,76,77,78'</t>
  </si>
  <si>
    <t>Political Science : The Science of Politics</t>
  </si>
  <si>
    <t>JA35 -- .P65 1986eb</t>
  </si>
  <si>
    <t>'1,1,2,230,229,233,234,235,237,238,240,241,242,243,244,245,246,247,248,249,254,253,256,257,258'</t>
  </si>
  <si>
    <t>Obstructive Sleep Apnea in Adults : Relationship with Cardiovascular and Metabolic Disorders</t>
  </si>
  <si>
    <t>616.2/09</t>
  </si>
  <si>
    <t>RC737.5.L87 2011</t>
  </si>
  <si>
    <t>'79,1,,79,79,80,81,82,85,84'</t>
  </si>
  <si>
    <t>Plato's 'Republic' : A Critical Guide</t>
  </si>
  <si>
    <t>JC71.P6 P54 2010</t>
  </si>
  <si>
    <t>'1,2,3,4,5,6,7,8,9,10,11,12,13,14,15,16,15,10,15,13,16,16,17,18'</t>
  </si>
  <si>
    <t>Condition Monitoring and Faults Diagnosis of Induction Motors : Electrical Signature Analysis</t>
  </si>
  <si>
    <t>TK2785 .S23 2019</t>
  </si>
  <si>
    <t>'1,1,2,3,4,5,6,7,8,9,10,11,12,13,14'</t>
  </si>
  <si>
    <t>Teaching, Learning and Education in Late Modernity : The Selected Works of Peter Jarvis</t>
  </si>
  <si>
    <t>LB14.7 -- .J38 2012eb</t>
  </si>
  <si>
    <t>'5,6,7,8,9,10,11,12,13,14,15,16,17,18,19,20,21,22,23'</t>
  </si>
  <si>
    <t>Education, Modernity, and Fractured Meaning : Toward a Process Theory of Teaching and Learning</t>
  </si>
  <si>
    <t>370/.1</t>
  </si>
  <si>
    <t>LB885.O44 -- E38 1989eb</t>
  </si>
  <si>
    <t>'1,2,3,4,5,6,7,8,9,10,12,107,108,109'</t>
  </si>
  <si>
    <t>'79,81,81,82,79,79,79,53,79,79,79,80,82'</t>
  </si>
  <si>
    <t>'1,103,104,105,,1'</t>
  </si>
  <si>
    <t>'1,106,112,113'</t>
  </si>
  <si>
    <t>'1,112,113'</t>
  </si>
  <si>
    <t>Heart Disease : Environment, Stress and Gender</t>
  </si>
  <si>
    <t>614.5/9123</t>
  </si>
  <si>
    <t>RC685.C6 -- H437 2002eb</t>
  </si>
  <si>
    <t>'1,1,2,22,21,23,24'</t>
  </si>
  <si>
    <t>'79,81,83'</t>
  </si>
  <si>
    <t>Cardiovascular Disorders Sourcebook : Basic Consumer Health Information about Heart and Blood Vessel Disorders…</t>
  </si>
  <si>
    <t>Omnigraphics, Incorporated</t>
  </si>
  <si>
    <t>RC672 -- .C35 2014eb</t>
  </si>
  <si>
    <t>'1,1,7,6,8,9,385,386,387,388,389,390,391,393,394,395,396,397,398,399,400,401,402,403,406,407,409,643,644,645,646'</t>
  </si>
  <si>
    <t>'79,80,81,82,83,84,85,,79'</t>
  </si>
  <si>
    <t>'15,16,17,18,19,20,21,22,23,24,25,26,27,28,29,34,35,36,37,197,198,199,196,190'</t>
  </si>
  <si>
    <t>'197,198,199,200,201,202,203,204,205,206,207,208,209,210,211,212'</t>
  </si>
  <si>
    <t>Islamic Ethics : Divine Command Theory in Arabo-Islamic Thought</t>
  </si>
  <si>
    <t>BJ1291 -- .A88 2010eb</t>
  </si>
  <si>
    <t>'8,,164,165'</t>
  </si>
  <si>
    <t>Relationship Conflict : Conflict in Parent-Child, Friendship, and Romantic Relationships</t>
  </si>
  <si>
    <t>'1,67,66,68,69,70,71,72,73,74'</t>
  </si>
  <si>
    <t>'1,154,155,106,107,3,14,108,109'</t>
  </si>
  <si>
    <t>Aging Mothers and Their Adult Daughters : A Study in Mixed Emotions</t>
  </si>
  <si>
    <t>306.874/3</t>
  </si>
  <si>
    <t>HQ755.86.F56 2001</t>
  </si>
  <si>
    <t>'1,1,20,21,19,22,23,24,25'</t>
  </si>
  <si>
    <t>Mothers and Daughters in Arab Women's Literature : The Family Frontier</t>
  </si>
  <si>
    <t>892.7/0935254</t>
  </si>
  <si>
    <t>'1,1,11,12,13,14,231,232,230'</t>
  </si>
  <si>
    <t>Mothers and Daughters and the Origins of Female Subjectivity</t>
  </si>
  <si>
    <t>Psychology; Social Science</t>
  </si>
  <si>
    <t>155.3/33</t>
  </si>
  <si>
    <t>HQ755.85 .V34 2014</t>
  </si>
  <si>
    <t>'1,1,14,13,15,21'</t>
  </si>
  <si>
    <t>Mothering the Self : Mothers, Daughters, Subjects</t>
  </si>
  <si>
    <t>HQ755.85 -- .L38 2000eb</t>
  </si>
  <si>
    <t>'1,1,8,9,12,13'</t>
  </si>
  <si>
    <t>War and Peace in Islam : A Critique of Islamic/ist Political Discourses</t>
  </si>
  <si>
    <t>Palgrave Macmillan Limited</t>
  </si>
  <si>
    <t>JQ1758-1852</t>
  </si>
  <si>
    <t>'93,94,95,96,97,98,99,100,101,102,103,104,105,106,107,108,109,110,111,112,113,114,115,116,117,118,119,120,121,122,123,124,125,126'</t>
  </si>
  <si>
    <t>Mozilla/5.0 (Macintosh; Intel Mac OS X 10_12_6) AppleWebKit/605.1.15 (KHTML, like Gecko) Version/12.1.2 Safari/605.1.15</t>
  </si>
  <si>
    <t>'1,2,3,26,52'</t>
  </si>
  <si>
    <t>'56,57,58,59,60,61,62,63,64,65,66,67,68,69,70,71,72,73,74,75,76,77,78,79,80,81,82,83,84,85,86,87,88,89,90,91,92,93,94,95,96,97,98,99,100,101,102,103,104,105,106,107,108,109,110,111,112,113,114,115,116,117,118,119,120'</t>
  </si>
  <si>
    <t>'1,1,9,56,55,57,58,59,60,61,63,62,65,66,,1,66,56,55,57,67,68,68,56,67,69,70,71,72,74,75,76,78,77,80,79,81,82,83'</t>
  </si>
  <si>
    <t>'52,53,54,55,57,58,59,60,61,62,63,64'</t>
  </si>
  <si>
    <t>'59,65,65,65,65,,65,66,66,66,66,67'</t>
  </si>
  <si>
    <t>Future Energy : Improved, Sustainable and Clean Options for Our Planet</t>
  </si>
  <si>
    <t>Engineering: Mechanical; Engineering; Economics; Environmental Studies</t>
  </si>
  <si>
    <t>TJ163.2.F88 2014eb</t>
  </si>
  <si>
    <t>'518,519,520,521,522'</t>
  </si>
  <si>
    <t>Civil Islam : Muslims and Democratization in Indonesia</t>
  </si>
  <si>
    <t>322/.1/09598</t>
  </si>
  <si>
    <t>BP63.I5 -- H44 2000eb</t>
  </si>
  <si>
    <t>Punishment : The Supposed Justifications Revisited</t>
  </si>
  <si>
    <t>HV8675 -- .H65 2006eb</t>
  </si>
  <si>
    <t>'1,2,67,67,68,69,71,72,73,74,75,67,83,95,93,121,122,123,127'</t>
  </si>
  <si>
    <t>'1,2,50,79,11,51,51,50,52,53,56,60,59,67,75,79,80'</t>
  </si>
  <si>
    <t>The Problem of Slavery As History : A Global Approach</t>
  </si>
  <si>
    <t>HT861 -- .M56 2012eb</t>
  </si>
  <si>
    <t>'1,2,3,4,4,4,4,5,6,8,9,1'</t>
  </si>
  <si>
    <t>The Routledge History of Slavery</t>
  </si>
  <si>
    <t>HT861 -- .R68 2011eb</t>
  </si>
  <si>
    <t>Law : A Very Short Introduction</t>
  </si>
  <si>
    <t>340/.2</t>
  </si>
  <si>
    <t>K231 -- .W333 2008eb</t>
  </si>
  <si>
    <t>'1,2,6,7,10,12,11,13,14,15,17,18,19,20,40,41,42,43,45,46,39'</t>
  </si>
  <si>
    <t>Law 101 : Everything You Need to Know about American Law, Fourth Edition</t>
  </si>
  <si>
    <t>KF387.F45 2014eb</t>
  </si>
  <si>
    <t>'1,2,,2,1'</t>
  </si>
  <si>
    <t>'1,36,20,22,23,24,25,26,26,27,25,24,23,22,21,20,28,30,31,32,29,33,34,35,36,37,38,39,40,41,42,43,44,45,46,47,48,49,50,51,52,53,54'</t>
  </si>
  <si>
    <t>'1,1,279,280,2,3,4,5,281,282,283'</t>
  </si>
  <si>
    <t>'279'</t>
  </si>
  <si>
    <t>Mars</t>
  </si>
  <si>
    <t>The Formation of Islamic Law</t>
  </si>
  <si>
    <t>KBP50.F676 2016</t>
  </si>
  <si>
    <t>'298,300,301,302,318,316,315,314,313,312,299'</t>
  </si>
  <si>
    <t>Islamic Jurisprudence in the Classical Era</t>
  </si>
  <si>
    <t>KBP55 .C348 2010</t>
  </si>
  <si>
    <t>'129,128,130,131,132,133,134,135'</t>
  </si>
  <si>
    <t>Islamic Law in Past and Present</t>
  </si>
  <si>
    <t>KBP144.R6413 2014</t>
  </si>
  <si>
    <t>'115,116,117,118,119,120,121,122,123,124,125,126,127,233,234'</t>
  </si>
  <si>
    <t>'298,299'</t>
  </si>
  <si>
    <t>'1,2,3,6,16,15'</t>
  </si>
  <si>
    <t>Women Embracing Islam : Gender and Conversion in the West</t>
  </si>
  <si>
    <t>297.082/091821</t>
  </si>
  <si>
    <t>BP170</t>
  </si>
  <si>
    <t>'1,4,6,9,11,10'</t>
  </si>
  <si>
    <t>Mozilla/5.0 (Macintosh; Intel Mac OS X 10_15_6) AppleWebKit/605.1.15 (KHTML, like Gecko) Version/14.0.2 Safari/605.1.15</t>
  </si>
  <si>
    <t>Pragmatism in Islamic Law : A Social and Intellectual History</t>
  </si>
  <si>
    <t>340.5/92</t>
  </si>
  <si>
    <t>KBP1664.I27 2015</t>
  </si>
  <si>
    <t>'1,86,85,88,87,89,90,91,130,131,203,204'</t>
  </si>
  <si>
    <t>Women and the Transmission of Religious Knowledge in Islam</t>
  </si>
  <si>
    <t>BP173.4.S33 2013eb</t>
  </si>
  <si>
    <t>'1,2,3,6,9,10,11,13,14,15,16,17,18,20,21,22,24,26,27,28,30,32,34,36,39,41,43,44,45,46,47,48,49,50,51,52,54,57,59,62,64,61,63,65,66,69,71,70,72,73,74,76,77,78,79,80,81,82,83,84,85'</t>
  </si>
  <si>
    <t>Statistical Thermodynamics : Understanding the Properties of Macroscopic Systems</t>
  </si>
  <si>
    <t>QC311.5 .F35 2015</t>
  </si>
  <si>
    <t>'1,2,3,7,17,8,9,205,266,265,264,263,267,268,269,270,272,270'</t>
  </si>
  <si>
    <t>New and Old Wars : Organised Violence in a Global Era</t>
  </si>
  <si>
    <t>Social Science; Military Science</t>
  </si>
  <si>
    <t>U240 .K34</t>
  </si>
  <si>
    <t>'165,166,167,168,169,170,171,172,173,174,175,176,177,178,179,180,181,182,183,184,185,186,187,188,189,190,191,192,193,194,195,196,197,198'</t>
  </si>
  <si>
    <t>You've Got This! : The Life-Changing Power of Trusting Yourself</t>
  </si>
  <si>
    <t>BF637.S4 .W377 2020</t>
  </si>
  <si>
    <t>Mozilla/5.0 (Windows NT 10.0; Win64; x64; rv:97.0) Gecko/20100101 Firefox/97.0</t>
  </si>
  <si>
    <t>Gendered Voices : Reflections on Gender and Education in South Africa and Sudan</t>
  </si>
  <si>
    <t>'1,6,4,3,2,5,8,7,75,76,77,78,79,80,81,82,83,84,85,86'</t>
  </si>
  <si>
    <t>'84,84,84,84,79,82,83'</t>
  </si>
  <si>
    <t>'1,2,3,4,5,6,7,8,9,10,11,11,12,13,14,15,16,17,17,17,17,17,17,18,18,18,18,18,19,19,19,19'</t>
  </si>
  <si>
    <t>Making the Steve Jobs Movie : An Entrepreneurial Case Study</t>
  </si>
  <si>
    <t>HD60 .M363 2014</t>
  </si>
  <si>
    <t>'1,1,4,5'</t>
  </si>
  <si>
    <t>Degradation of Plastics</t>
  </si>
  <si>
    <t>Engineering: General; Engineering; Engineering: Chemical</t>
  </si>
  <si>
    <t>TP1120</t>
  </si>
  <si>
    <t>'1,2,3,6,7,8,9,10,12,13,14,15,16'</t>
  </si>
  <si>
    <t>Mozilla/5.0 (Macintosh; Intel Mac OS X 10_15_7) AppleWebKit/537.36 (KHTML, like Gecko) Chrome/98.0.4758.109 Safari/537.36</t>
  </si>
  <si>
    <t>Envisioning Africa : Racism and Imperialism in Conrad's Heart of Darkness</t>
  </si>
  <si>
    <t>University Press of Kentucky</t>
  </si>
  <si>
    <t>PR6005.O4 -- .H47645 2000eb</t>
  </si>
  <si>
    <t>'1,35'</t>
  </si>
  <si>
    <t>Modern Colonization by Medical Intervention : U. S. Medicine in Puerto Rico</t>
  </si>
  <si>
    <t>RA771.7.P9.T78 2013</t>
  </si>
  <si>
    <t>'1,2,3,4,8,170,171,172,174,174'</t>
  </si>
  <si>
    <t>Adolescent Decision Making : Implications for Prevention Programs: Summary of a Workshop</t>
  </si>
  <si>
    <t>Social Science; Medicine</t>
  </si>
  <si>
    <t>'1,5,7,6,18,19'</t>
  </si>
  <si>
    <t>An Ecosystem Services Approach to Assessing the Impacts of the Deepwater Horizon Oil Spill in the Gulf of Mexico</t>
  </si>
  <si>
    <t>363.73/820916364</t>
  </si>
  <si>
    <t>'1,1,1,2,3,4,7,6,12,11,12,13,14,15,16'</t>
  </si>
  <si>
    <t>Oil Spill Dispersants : Efficacy and Effects</t>
  </si>
  <si>
    <t>'1,2,5,7,8,9,10,12,13,14,15,16,17,19,20,21,22,23,24,24,24,25,26'</t>
  </si>
  <si>
    <t>'1,1,1,3,4,6,5,7,48,47,49,18,17,19,20,21,22,23,24,25,25,12,13,19,18,66,65,67,69,79,78'</t>
  </si>
  <si>
    <t>Oil Spill Remediation : Colloid Chemistry-Based Principles and Solutions</t>
  </si>
  <si>
    <t>TD427.P4.O3872 2014</t>
  </si>
  <si>
    <t>'1,1,219,220,221,222,223,7,8,9,10,11,12,17,19,20,21,22,23,24,25,26,27,28,29,30,31,32,33,34,35,36,37,38,39,40,41,42,43,44,45,47,48,49,263,264,19,21,35,263,264,265,266,267,268,269,270,271,277,276,275,274,273,272,279,280,281,282,283,284,285,286,287,288'</t>
  </si>
  <si>
    <t>'22,35,282,283,283,284,284,284'</t>
  </si>
  <si>
    <t>Hospital Medicine</t>
  </si>
  <si>
    <t>RA972 -- .H674 2005eb</t>
  </si>
  <si>
    <t>'1,1,7,8,9,10,23,22,24,25,26,27,28,29,30,31,183,184,185,186,187,317,255,254,256,257,258,259,260'</t>
  </si>
  <si>
    <t>Clinical Medicine Research</t>
  </si>
  <si>
    <t>Science; Science: Biology/Natural History; Medicine</t>
  </si>
  <si>
    <t>QP356.3</t>
  </si>
  <si>
    <t>'1,1,6,7,8'</t>
  </si>
  <si>
    <t>Women, Wellness, and the Media</t>
  </si>
  <si>
    <t>RA778 -- .W6827 2008eb</t>
  </si>
  <si>
    <t>'1,4,3,5,6,7,133,134'</t>
  </si>
  <si>
    <t>'4,7,8,9,10,11,12,13,14,16,1,2,6,133,134,,,135,134,136,137,138'</t>
  </si>
  <si>
    <t>'1,2,3,5,7,10,11,12,10'</t>
  </si>
  <si>
    <t>Mozilla/5.0 (Windows NT 10.0; Win64; x64) AppleWebKit/537.36 (KHTML, like Gecko) Chrome/98.0.4758.102 Safari/537.36 Edg/98.0.1108.62</t>
  </si>
  <si>
    <t>Curriculum Renewal for Islamic Education : Critical Perspectives on Teaching Islam in Primary and Secondary Schools</t>
  </si>
  <si>
    <t>LC904 .C877 2021</t>
  </si>
  <si>
    <t>'1,8,9,10,11,203,199,193,197,196,198,200'</t>
  </si>
  <si>
    <t>'1,427,455,457,458,456,459,460,461,462,463'</t>
  </si>
  <si>
    <t>'1,8,119,149,150,151,152,153,154,155,157,231,272,275,276,277,279,280,282,284,285,283,286,287,427,455,456,457,458,461,462,462'</t>
  </si>
  <si>
    <t>'1,,,,119'</t>
  </si>
  <si>
    <t>'29,30,31,32,33,34,,35,36,37,38,39,40,41,42,43,44,45,46,47,48,49,50,51,52,53,54,55,56,57,58,59,60,,61,62,63,64,65,66,67,68,69,70,71,72,73,74,75,76,77,78,79,80,81,82,83,84,85,86,87,88,89,90,91,92,93,94,95,96,97,98,99,100,101,102,103,104,105,106,107,108,109,110,111,112,113,114,115,116,117,118'</t>
  </si>
  <si>
    <t>'1,2,231,230,232,234,236,238,239,241,243,245,246,248,249,250,251,254,256,257,287,286,285,284,283,282,,1,287,286,285,284,282,2,1,287,286,289,285,284,282,288,427,426,465,464,463,462,461,460'</t>
  </si>
  <si>
    <t>'1,119,127,129,130,131,132,133,136,140,141,144,146,147,148,149,150,151,153,154,155,157,159,231,233,235,240,243,245,246,247,249,250,252,253,254,255,256,257,258,260,263,264,265,267,268,269,270,271,272,273,274,275,276,277,278,279,280,281,282,283,284,285,286,287'</t>
  </si>
  <si>
    <t>'149,150,151,152,153,154,155,156,157,158,159,160,161,162,163,164,165,166,167,168'</t>
  </si>
  <si>
    <t>Kafka after Kafka : Dialogical Engagement with His Works from the Holocaust to Postmodernism</t>
  </si>
  <si>
    <t>Literature; Philosophy</t>
  </si>
  <si>
    <t>'1,1,152,151,153,154'</t>
  </si>
  <si>
    <t>Machine Learning for Subsurface Characterization</t>
  </si>
  <si>
    <t>Science: Physics; Science; Science: Geology</t>
  </si>
  <si>
    <t>QC808.6 .M57 2020</t>
  </si>
  <si>
    <t>'4,5,6,7,20,19,22,23,24,25,26,27'</t>
  </si>
  <si>
    <t>'1,1,29,30,31,32,33,34,35,36,41,37,,1,1,37,38,39,40,41,42,43,29,29,30,33,33,14,14,30,31,29,1,2,3,5,6,7,8,9,10,11,55,56,57,57,79,56,62,63,44,45,47,48,32'</t>
  </si>
  <si>
    <t>'1,1,14,15,16,17,18,19,20,21,23,29,30,31'</t>
  </si>
  <si>
    <t>Islam in Liberal Europe : Freedom, Equality, and Intolerance</t>
  </si>
  <si>
    <t>D1056.2.M87 -- .H344 2014eb</t>
  </si>
  <si>
    <t>'1,2,209,210,212,275,274,277,278,279,280,281,282,283,284,285,286,287,288,289,290,291,292,293,294,295,296,297,298,299'</t>
  </si>
  <si>
    <t>'299,299'</t>
  </si>
  <si>
    <t>Mothers on the Fast Track : How a New Generation Can Balance Family and Careers</t>
  </si>
  <si>
    <t>306.874/3097309045</t>
  </si>
  <si>
    <t>HQ759.48.M347 2007</t>
  </si>
  <si>
    <t>'1,2,4,5,6,8,9,10,11,12,13,14,15,16,17,18'</t>
  </si>
  <si>
    <t>Mozilla/5.0 (Windows NT 10.0; Win64; x64) AppleWebKit/537.36 (KHTML, like Gecko) Chrome/99.0.4844.51 Safari/537.36 Edg/99.0.1150.30</t>
  </si>
  <si>
    <t>European Liberalism and 'the Muslim Question' : Does Intercultural Dialogue Make Sense?</t>
  </si>
  <si>
    <t>320.51/3/094</t>
  </si>
  <si>
    <t>D1056.2.M87 -- P37 2008eb</t>
  </si>
  <si>
    <t>'1,2,3,4,5,6,7,9,8,10,11,12,13,14,15,16,17,18,19,20,21,22,23,31'</t>
  </si>
  <si>
    <t>'1,6,82,83,84,85,86,87,88,89'</t>
  </si>
  <si>
    <t>Nanotechnology : Engineering with Atoms and Molecules</t>
  </si>
  <si>
    <t>Technology Research News</t>
  </si>
  <si>
    <t>T174.7 -- .N36 2003eb</t>
  </si>
  <si>
    <t>'1,3,7,20,20,20,22,24,25,26,27,28,29,30,30,30,31,32,33,34,35,36,37,38,39,40,41'</t>
  </si>
  <si>
    <t>'1,1,1,29,30,30'</t>
  </si>
  <si>
    <t>Kafka: a Guide for the Perplexed : A Guide for the Perplexed</t>
  </si>
  <si>
    <t>PT2621.A26Z76 2010</t>
  </si>
  <si>
    <t>'1,1,116,115,116,119,120,121,152,168,167,169,14,15,13,10,9,11,12,16,17'</t>
  </si>
  <si>
    <t>A Nationwide Framework for Surveillance of Cardiovascular and Chronic Lung Diseases</t>
  </si>
  <si>
    <t>'1,5,9,33,34,35,36,37,38,39,29,30'</t>
  </si>
  <si>
    <t>'1,,20,21,21,20,21,20,22,23,24,19'</t>
  </si>
  <si>
    <t>'1,18,19,20,21,22,40,41,42,43,44,45,46,47,48,49,50,51,52,56,57,58,59,60,62,63,65'</t>
  </si>
  <si>
    <t>Probability, Random Processes, and Statistical Analysis : Applications to Communications, Signal Processing, Queueing Theory and Mathematical Finance</t>
  </si>
  <si>
    <t>519.2/2</t>
  </si>
  <si>
    <t>QA274.2 .K63 2012</t>
  </si>
  <si>
    <t>Mozilla/5.0 (Windows NT 10.0; Win64; x64) AppleWebKit/537.36 (KHTML, like Gecko) Chrome/98.0.4758.82 Safari/537.36</t>
  </si>
  <si>
    <t>'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,35,36,37,38,39,40,41,42,43,44,45,46,47,48,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'</t>
  </si>
  <si>
    <t>'1,1,61'</t>
  </si>
  <si>
    <t>Theories of Molecular Reaction Dynamics : The Microscopic Foundation of Chemical Kinetics</t>
  </si>
  <si>
    <t>Science: Biology/Natural History; Science; Science: Chemistry</t>
  </si>
  <si>
    <t>QP517.M65H46 2008</t>
  </si>
  <si>
    <t>'65,66,67,70'</t>
  </si>
  <si>
    <t>Electrokinetics for Petroleum and Environmental Engineers</t>
  </si>
  <si>
    <t>622.338;622.338015118</t>
  </si>
  <si>
    <t>TN871</t>
  </si>
  <si>
    <t>The Event Horizon: Homo Prometheus and the Climate Catastrophe</t>
  </si>
  <si>
    <t>Geography/Travel; Environmental Studies</t>
  </si>
  <si>
    <t>G1-922</t>
  </si>
  <si>
    <t>'1,1,13,14,15,16,17,17,1,2,4,5,6,13,15,16,19,31,35,36,37,38,39,43,44'</t>
  </si>
  <si>
    <t>Combustion</t>
  </si>
  <si>
    <t>541/.361</t>
  </si>
  <si>
    <t>QD516.G55 2008</t>
  </si>
  <si>
    <t>'1,96,104,106,105,10,11,12,14,16,9,7,,1,,1,96,104,106,106'</t>
  </si>
  <si>
    <t>Mozilla/5.0 (Macintosh; Intel Mac OS X 10_15_4) AppleWebKit/537.36 (KHTML, like Gecko) Chrome/94.0.4606.61 Safari/537.36</t>
  </si>
  <si>
    <t>Rules of Thumb for Chemical Engineers</t>
  </si>
  <si>
    <t>TP151 -- .H35 2012eb</t>
  </si>
  <si>
    <t>'1,2,,201,202,203,204,205,206,207,208,209,210,211,212,213,,129,130,131,132,133,134,135,136,137,138,139,140,141,142,143,144,,12,13,14,15,16,17,18,19,20,21,22,23,24,25,26,27,28,29,30,31,32,33,34,35,36,37,,112,113,114,115,116,117,118,119,120,121,122,123,124,125,126,127,128'</t>
  </si>
  <si>
    <t>'24,25,27,28,29,30'</t>
  </si>
  <si>
    <t>'24,25,26,27,28,30,31,32,33,34,35,36,37,38,39,40,14,18,15,14,14'</t>
  </si>
  <si>
    <t>'14,15,16,17,18,19,20,21,22,23,24,25,26,27,28,29'</t>
  </si>
  <si>
    <t>Available Light : Anthropological Reflections on Philosophical Topics</t>
  </si>
  <si>
    <t>GN345 -- .G46 2000eb</t>
  </si>
  <si>
    <t>Cloning Sourcebook</t>
  </si>
  <si>
    <t>QH442.2 -- .C568 2003eb</t>
  </si>
  <si>
    <t>'1,22,24,24,25,26,27,27,28,28'</t>
  </si>
  <si>
    <t>'1,2,102'</t>
  </si>
  <si>
    <t>The Principles of Integrated Technology in Avionics Systems</t>
  </si>
  <si>
    <t>TL695 .W364 2020</t>
  </si>
  <si>
    <t>'478'</t>
  </si>
  <si>
    <t>'262,263,264,265,266,267,268,269,270,271,272,273,274,275,276,277,278,279,280,281,282,283,284,285,286,287,288,289,,184,185,186,187,188,189,190,191,192,193,194,195,196,197,198,199,200,201,202,203,204,205,206,207'</t>
  </si>
  <si>
    <t>Mozilla/5.0 (X11; Linux x86_64) AppleWebKit/537.36 (KHTML, like Gecko) Chrome/98.0.4758.102 Safari/537.36</t>
  </si>
  <si>
    <t>Modern Islamist Movements : History, Religion, and Politics</t>
  </si>
  <si>
    <t>BP166.14.F85A75 2012</t>
  </si>
  <si>
    <t>'1,3,4,6,7,8,9'</t>
  </si>
  <si>
    <t>Optimization under Uncertainty with Applications to Aerospace Engineering</t>
  </si>
  <si>
    <t>Engineering; Engineering: General; Science: Astronomy; Science</t>
  </si>
  <si>
    <t>QB1-991</t>
  </si>
  <si>
    <t>'1,75,76,77'</t>
  </si>
  <si>
    <t>'1,22,23,24,25,25,25'</t>
  </si>
  <si>
    <t>'28,29,29,28,30,31,32,34,34,34,38,34,34,35,35,38,39,40'</t>
  </si>
  <si>
    <t>'30,31,32,33,34,35,36,37,38,39,40,41,42,43,44,45'</t>
  </si>
  <si>
    <t>'1,1,1,1,2,4'</t>
  </si>
  <si>
    <t>'28,28,29,27,27,26,25,26,26,25,24,24,32'</t>
  </si>
  <si>
    <t>'1,2,3,42,43,44,177,10,11,12,13,13,13,14,12,12,192,192,192,192,18'</t>
  </si>
  <si>
    <t>'1,3,3,3,4,5,6,7,42,43,44,76,77,18,18'</t>
  </si>
  <si>
    <t>The ASQ Quality Improvement Pocket Guide : Basic History, Concepts, Tools, and Relationships</t>
  </si>
  <si>
    <t>ASQ Quality Press</t>
  </si>
  <si>
    <t>658.5—dc23</t>
  </si>
  <si>
    <t>TS156.Q3 .A877 2013eb</t>
  </si>
  <si>
    <t>'1,48,49'</t>
  </si>
  <si>
    <t>'1,1,37,52,53,54,,1,2,2,37,52,53'</t>
  </si>
  <si>
    <t>'52'</t>
  </si>
  <si>
    <t>'1,3,48,49,50,51,52'</t>
  </si>
  <si>
    <t>The Disfigured Face : Traditional Natural Law and Its Encounter with Modernity</t>
  </si>
  <si>
    <t>B765.T54 -- C645 2008eb</t>
  </si>
  <si>
    <t>'1,34,35,36,37,38,39,39,40,41,42,43,44,45,46,47,48,49,50,50,34,35,36,36,37,38,39,40,41,42,43,43,43,38'</t>
  </si>
  <si>
    <t>'1,,1,,1,,1,10,60,61,62,63,64,65,66,67,68,69,70,71,72,73,40,41,42,59,59,60,64,64,65,66,72,73,74'</t>
  </si>
  <si>
    <t>International Law, US Power : The United States' Quest for Legal Security</t>
  </si>
  <si>
    <t>KF4581 .S36 2012</t>
  </si>
  <si>
    <t>'1,2,3,3'</t>
  </si>
  <si>
    <t>'51,52,53,54,55,56'</t>
  </si>
  <si>
    <t>Competing with High Quality Data : Concepts, Tools, and Techniques for Building a Successful Approach to Data Quality</t>
  </si>
  <si>
    <t>QA76.9.E95 -- .J848 2014eb</t>
  </si>
  <si>
    <t>'1,1,94,108,133'</t>
  </si>
  <si>
    <t>Establishing a Culture of Patient Safety : Improving Communication, Building Relationships, and Using Quality Tools</t>
  </si>
  <si>
    <t>362.11068—dc23</t>
  </si>
  <si>
    <t>RA971.P38 2011</t>
  </si>
  <si>
    <t>'28,30,37,38,39,40'</t>
  </si>
  <si>
    <t>Human Rights in the United States : Beyond Exceptionalism</t>
  </si>
  <si>
    <t>JC599.U5 H754 2011</t>
  </si>
  <si>
    <t>'1,51,341,342,341,341,342,343,344,345,346,347,348,348'</t>
  </si>
  <si>
    <t>'1,104,105,106,107,108,108,107,109,110,111,112,113,114,115,116,117,118,119,106,109,,109,109,66'</t>
  </si>
  <si>
    <t>'108'</t>
  </si>
  <si>
    <t>'1,1,34,35,35,34'</t>
  </si>
  <si>
    <t>Islam, Christianity and Tradition : A Comparative Exploration</t>
  </si>
  <si>
    <t>BT88 -- .N35 2006eb</t>
  </si>
  <si>
    <t>'1,6,7,6,5,7'</t>
  </si>
  <si>
    <t>Atlas of Slavery</t>
  </si>
  <si>
    <t>306.3/62/09</t>
  </si>
  <si>
    <t>HT861 .W33 2014</t>
  </si>
  <si>
    <t>'1,2,2,2,26,16,16,17,18,19,20,21,22,23,24,25,26,27,28,29,30,31,32,31,32,32,33,31,34,35,35,35,19,35,36,38,39,37,34,33,32,31,30,28,26,27,40,41,42,43,44,45,46,26,26,26,26,26,26,26,26,26,27,28,29,30,31,31,31,33,32,35,36,37,38,34'</t>
  </si>
  <si>
    <t>Modernist Islam, 1840-1940 : A Sourcebook</t>
  </si>
  <si>
    <t>297/.09/04</t>
  </si>
  <si>
    <t>BP60.M55 2002</t>
  </si>
  <si>
    <t>'396'</t>
  </si>
  <si>
    <t>'76,77,78,79,80,81,82,83,84'</t>
  </si>
  <si>
    <t>Rachid Ghannouchi : A Democrat Within Islamism</t>
  </si>
  <si>
    <t>321.8/092</t>
  </si>
  <si>
    <t>BP80.G27T36 2001</t>
  </si>
  <si>
    <t>Islamic Activists : The Anti-Enlightenment Democrats</t>
  </si>
  <si>
    <t>BP173.7 -- .A23 2011eb</t>
  </si>
  <si>
    <t>'1,77,54,53,55,99,101,101'</t>
  </si>
  <si>
    <t>'99,100,101,102,103,104,105,106,107,108,109,110,111,112,113,114,115,116,117'</t>
  </si>
  <si>
    <t>'392,393,394'</t>
  </si>
  <si>
    <t>'32,33,34'</t>
  </si>
  <si>
    <t>Responses to Modernity : Essays in the Politics of Culture</t>
  </si>
  <si>
    <t>PN94 -- .F67 2012eb</t>
  </si>
  <si>
    <t>'7,7,7,7,7,15,14,16'</t>
  </si>
  <si>
    <t>'1,2,3,4,5,20,104,104,105,106,103,106,106,107,108,109'</t>
  </si>
  <si>
    <t>'115,116,117,118,119,120,121,122,123,124,125,126,127,128,129,130,131,132,133,134,135,136,137,138,139,140,141,142,143,144,145,146,147,148,149,150,151,152,153,154,155,156,157,158,159,160,161,162,163,164,165,166,167,168,169,170'</t>
  </si>
  <si>
    <t>Wind Turbine Technology</t>
  </si>
  <si>
    <t>Engineering: Electrical; Engineering: Mechanical; Engineering</t>
  </si>
  <si>
    <t>TJ828 -- .J53 2011eb</t>
  </si>
  <si>
    <t>'1,7,2,2,1,3,13,16,30,28,26,24,26,26,,1,10,13,18,16,20,22,25,27,21,26,26,26'</t>
  </si>
  <si>
    <t>'26,27,28,29,30,31,32,33,34,35,36,37,38,39,40,41,42,43,44,45,46,47,48,49,50,51,52,53,54,55'</t>
  </si>
  <si>
    <t>Renaissance and Rebirth : Reincarnation in Early Modern Italian Kabbalah</t>
  </si>
  <si>
    <t>296.3/3</t>
  </si>
  <si>
    <t>BM635.7.O37 2009</t>
  </si>
  <si>
    <t>'1,7,11,12'</t>
  </si>
  <si>
    <t>Pipeline Spatial Data Modeling and Pipeline WebGIS : Digital Oil and Gas Pipeline: Research and Practice</t>
  </si>
  <si>
    <t>TK1041-1078</t>
  </si>
  <si>
    <t>'10,11'</t>
  </si>
  <si>
    <t>Introduction to Industrial Energy Efficiency : Energy Auditing, Energy Management, and Policy Issues</t>
  </si>
  <si>
    <t>Engineering: General; Business/Management; Engineering</t>
  </si>
  <si>
    <t>HD9502.A2$b.T465 2020</t>
  </si>
  <si>
    <t>'256,1,257,258,259,260,261,262,263,264,265,266,267,268,269,270,271,272,273,274,276,294,305,334,335,50,53,54,55,56,58,175'</t>
  </si>
  <si>
    <t>'1,2,3,20,20,34,50,51,54,57,58,256'</t>
  </si>
  <si>
    <t>'20,21,22,23,24,25,26,27,28,29,30,31,32,33,34,35,36,37,38,39,40,41,42,43,44,45,46,47,48,49'</t>
  </si>
  <si>
    <t>'14,40,41,42,43,44,45'</t>
  </si>
  <si>
    <t>'1,3,2,4,6,5,8,11,10,1,1,5,6,8,11,13,14'</t>
  </si>
  <si>
    <t>'1,2,3,4,5,6,7,14,15,16,17,18,19,20,21,22,23,24,25,26,27,28,29,30,31,32,33,34,35,36,37,38,39'</t>
  </si>
  <si>
    <t>Mozilla/5.0 (iPhone; CPU iPhone OS 14_4 like Mac OS X) AppleWebKit/605.1.15 (KHTML, like Gecko) Version/14.0.3 Mobile/15E148 Safari/604.1</t>
  </si>
  <si>
    <t>'1,14,13,16,17,18,19,20,22,21'</t>
  </si>
  <si>
    <t>'14,,,14,16,17'</t>
  </si>
  <si>
    <t>'1,4,5,6,7,8,9,10,11,12,14,15,16,17,18,19,20,21,22,23,24,25,26,206,207,208,209,210,211,212,212,212,212,212,213,214,215,216,217,218,219,220,221,222,223,224,225,226,227,228,229,230,231,232,233,234,235,236,237,238,239,240,241,242,243,244,245,247,184,14,40,41,42,43,44,45,46,47,48,49,50,50,51,52,53,54,54,55'</t>
  </si>
  <si>
    <t>Carbohydrate Chemistry and Biochemistry : Structure and Mechanism</t>
  </si>
  <si>
    <t>QD321 -- .S56 2007eb</t>
  </si>
  <si>
    <t>'1,3,3,3,3,1,11,4,6,5,7,8'</t>
  </si>
  <si>
    <t>'1,2,5,6,7,8,8,62,63,48,47,36,35,35,36,34,34,33,9,14,15,13,12,11,10,16,40,86,85,84,84,84,14,13,16,15'</t>
  </si>
  <si>
    <t>'1,1,34,35,36'</t>
  </si>
  <si>
    <t>Polymer Morphology : Principles, Characterization, and Processing</t>
  </si>
  <si>
    <t>547/.7</t>
  </si>
  <si>
    <t>QD381.9.S97 -- P625 2016eb</t>
  </si>
  <si>
    <t>Thermoplastic and Thermosetting Polymers and Composites</t>
  </si>
  <si>
    <t>TA418.9.C6 -- T4625 2011eb</t>
  </si>
  <si>
    <t>'1,19,18,,,18'</t>
  </si>
  <si>
    <t>'41,42,43,44,45,46,47,48,49,50,51,52,53'</t>
  </si>
  <si>
    <t>Islamic Theology, Philosophy and Law : Debating Ibn Taymiyya and Ibn Qayyim Al-Jawziyya</t>
  </si>
  <si>
    <t>BP166.1.I726 2013eb</t>
  </si>
  <si>
    <t>'383,386,385,387'</t>
  </si>
  <si>
    <t>ASIC Design and Synthesis : RTL Design Using Verilog</t>
  </si>
  <si>
    <t>'1,1,19,31,45,46,47,48,49,50,51,52,53,54,55,57,256,257,258,259,260,313,314,315'</t>
  </si>
  <si>
    <t>'315'</t>
  </si>
  <si>
    <t>'1,1,34,35,36,33,5,38,39,40,37,32,30,29,28,27,26,25,25,24,37,52,53,54,54,34,35,36'</t>
  </si>
  <si>
    <t>'34,34,34,1'</t>
  </si>
  <si>
    <t>3D Modeling of Buildings : Outstanding Sites</t>
  </si>
  <si>
    <t>Architecture; Engineering; Engineering: General; Computer Science/IT</t>
  </si>
  <si>
    <t>T385.H466 2014eb</t>
  </si>
  <si>
    <t>'1,2,3,15,13,13,13,13,14,15,16,17,18,19'</t>
  </si>
  <si>
    <t>'15,19'</t>
  </si>
  <si>
    <t>Building Construction Illustrated</t>
  </si>
  <si>
    <t>TH146 -- .C45 2014eb</t>
  </si>
  <si>
    <t>'1,2,11,12,13,14,15,16,9,8'</t>
  </si>
  <si>
    <t>Community Organizing and Community Building for Health and Welfare</t>
  </si>
  <si>
    <t>RA427</t>
  </si>
  <si>
    <t>'1,1,1,94,108,133,134,136,140,141,142,164,165,166,169,170,175,174,170,140'</t>
  </si>
  <si>
    <t>Revolutionizing Education : Youth Participatory Action Research in Motion</t>
  </si>
  <si>
    <t>LB1028.25.U6 -- R48 2008eb</t>
  </si>
  <si>
    <t>'1,14,14,14,15,16,17,19,22,23,27,29,30,31,32,33,34,35,36,37,38,39,40,41,42,43,44,45,46,47,48,49,50,51,52,53,54,55,56,57,58,59,60,61,62,63,64,65,66,67,68,69,70,71,72,73,74,75,76,77,78,79,80,81,82,83,84,85,86,25,26,28'</t>
  </si>
  <si>
    <t>Mozilla/5.0 (Windows NT 10.0; Win64; x64) AppleWebKit/537.36 (KHTML, like Gecko) Chrome/97.0.4692.99 Safari/537.36 OPR/83.0.4254.70</t>
  </si>
  <si>
    <t>'14,,14,15,16,17,40'</t>
  </si>
  <si>
    <t>Climate Change</t>
  </si>
  <si>
    <t>Engineering: Environmental; Environmental Studies</t>
  </si>
  <si>
    <t>Numerical Methods for Linear Control Systems</t>
  </si>
  <si>
    <t>QA402.3 -- .D368 2004eb</t>
  </si>
  <si>
    <t>'344,344,144,346,348'</t>
  </si>
  <si>
    <t>Matrix Computations and Semiseparable Matrices : Linear Systems</t>
  </si>
  <si>
    <t>QA188.V36</t>
  </si>
  <si>
    <t>'1,1,,1,1,18,19,18,18,18,18,18'</t>
  </si>
  <si>
    <t>Dementia : Comprehensive Principles and Practices</t>
  </si>
  <si>
    <t>RC521.D464 2014eb</t>
  </si>
  <si>
    <t>'1,496,497,498,524,600,601,,1,600,601'</t>
  </si>
  <si>
    <t>'600'</t>
  </si>
  <si>
    <t>OSCEs at a Glance</t>
  </si>
  <si>
    <t>616.07/5</t>
  </si>
  <si>
    <t>RC71 -- .B63 2013eb</t>
  </si>
  <si>
    <t>'83,83,9,7,81,10,8,13,11,15,19,20,24,25,122,121,124,125,126,128,127,129,131,132,133,134,135,136,136,136,14,15,17,16,18,20,21,24,25,26,27,28,29,30,31,122,123,120,119,117,7,19,23,64,84,83,82,85,86,87,87,87'</t>
  </si>
  <si>
    <t>Smart Solutions to Climate Change : Comparing Costs and Benefits</t>
  </si>
  <si>
    <t>QC903 .S585 2010</t>
  </si>
  <si>
    <t>Hydrogen</t>
  </si>
  <si>
    <t>John Libbey Eurotext Limited</t>
  </si>
  <si>
    <t>TP359.H8.B67 2007</t>
  </si>
  <si>
    <t>'1,6,9,10'</t>
  </si>
  <si>
    <t>Climate Change and Forests : Emerging Policy and Market Opportunities</t>
  </si>
  <si>
    <t>333.75/15</t>
  </si>
  <si>
    <t>SD390.7.C55C57 2008</t>
  </si>
  <si>
    <t>'1,1,2,3,4,5,6,7,8,9'</t>
  </si>
  <si>
    <t>Photovoltaics : Fundamentals, Technology and Practice</t>
  </si>
  <si>
    <t>TK1087.M4513 2014eb</t>
  </si>
  <si>
    <t>'1,2,37,115'</t>
  </si>
  <si>
    <t>Hermeneutics : An Introduction</t>
  </si>
  <si>
    <t>Eerdmans</t>
  </si>
  <si>
    <t>BS476.T457 2009</t>
  </si>
  <si>
    <t>'1,10,11,,1,1,2,4,6,7,8,9,15,77,78,113,114,62,3,3,3,3,4,6,9'</t>
  </si>
  <si>
    <t>MIMO-OFDM Wireless Communications with MATLAB</t>
  </si>
  <si>
    <t>TK5103.484 -- .M56 2010eb</t>
  </si>
  <si>
    <t>'1,139,141,144,145,147,148,149,150,152,153,154,156,155,157,158,151,142,143,146'</t>
  </si>
  <si>
    <t>'1,40,40,41,42,43,44,46,47,48,49,50,51,52,53,54,55,56,57,59,60,61,62,63,64,65,66,67,68,69,70,71,72,73,74,75,76,77,78,79,80,81,82,83,84,85,86,87,88,89,90,91,92,93,94,95,96,97,99,98,14,15,16,17'</t>
  </si>
  <si>
    <t>'16,1,14,13,,,14,15,16'</t>
  </si>
  <si>
    <t>'1,40,41,42,42,42,43,43,42,44,45,46,47,48,49,50,51,52,53,54'</t>
  </si>
  <si>
    <t>'50,73,,,72,77,75,76,79,85,91,98,95,90,89,92,93'</t>
  </si>
  <si>
    <t>'7,10,176,170,171,172,173,174,175,76,82,,83,84,85,86,87,88,144,145,146,147,149,148,150,151,1,2,3,7,14,32,33,34,252,253,254,255,126,127,128,129,130,83,83'</t>
  </si>
  <si>
    <t>Nanomaterials-Based Charge Trapping Memory Devices</t>
  </si>
  <si>
    <t>TK7895.M4$b.N394 2020</t>
  </si>
  <si>
    <t>'1,4,5'</t>
  </si>
  <si>
    <t>Delinquency and Animal Cruelty : Myths and Realities About Social Pathology</t>
  </si>
  <si>
    <t>LFB Scholarly Publishing LLC</t>
  </si>
  <si>
    <t>HV9104 -- .L343 2007eb</t>
  </si>
  <si>
    <t>'1,11,12,13,14,15,16,17,17,18,11,12,13,14,15,19,20,21,22,23,24,25,26,27,28'</t>
  </si>
  <si>
    <t>Mozilla/5.0 (Macintosh; Intel Mac OS X 10_14_6) AppleWebKit/537.36 (KHTML, like Gecko) Chrome/98.0.4758.102 Safari/537.36</t>
  </si>
  <si>
    <t>'1,14,40,38,37,270,271,272,16,15,15,16,14,17,18,23,24,25,26,27,30,31,32,33,34,35,36,37,38,39,41,40,,1,2,40,41,41,42,43,44,45,45,45,46,46,46,58,59'</t>
  </si>
  <si>
    <t>The State of Quality Improvement and Implementation Research : Expert Views: Workshop Summary</t>
  </si>
  <si>
    <t>Healthcare Simulation : A Guide for Operations Specialists</t>
  </si>
  <si>
    <t>R834.H43 2016eb</t>
  </si>
  <si>
    <t>'1,42,41,41,41,39,42,41,19,19,19,42,41,42,42,42'</t>
  </si>
  <si>
    <t>Alternative Treatment For Cancer</t>
  </si>
  <si>
    <t>RC271.A62A45 2007</t>
  </si>
  <si>
    <t>'98,99,97,,184,185,186,187,189,190,193,195,196,197,198,199,200,194,191,188'</t>
  </si>
  <si>
    <t>'1,1,28,,28,28,27,26,1,3,4,5,6,7,8,9,11,10,23,49'</t>
  </si>
  <si>
    <t>How to Do Systems Analysis : Primer and Casebook</t>
  </si>
  <si>
    <t>Business/Management; Engineering; Mathematics; Engineering: General</t>
  </si>
  <si>
    <t>T57.6 -- .G5434 2017eb</t>
  </si>
  <si>
    <t>'1,3,2,4,5,7,8,10,11,12,13,14,15,16,17,18,20,21,22,23,24,25,26,27,28,29,30,31,32,33,34,35,36,37,38,39,40,41,42,43'</t>
  </si>
  <si>
    <t>'1,1,1,256,52,52,52,65,65,258,256'</t>
  </si>
  <si>
    <t>'1,40,39,38,37,36,35,34,41,42,43,44,86,80,46,47,48,49,50,51,52,53,54,55,56,57,58,59,60,61,62'</t>
  </si>
  <si>
    <t>Mozilla/5.0 (Macintosh; Intel Mac OS X 10_14_6) AppleWebKit/537.36 (KHTML, like Gecko) Chrome/98.0.4758.109 Safari/537.36</t>
  </si>
  <si>
    <t>'1,14,13,12,40,39,,,14,1,,16,18,20,22,23,24,25,27,30,32,36,38,39,40,35,26,2,15,21'</t>
  </si>
  <si>
    <t>Hydrogen Production : By Electrolysis</t>
  </si>
  <si>
    <t>TP359.H8</t>
  </si>
  <si>
    <t>'1,7,8,23,24,25,26,27,28,29,30,32,34'</t>
  </si>
  <si>
    <t>'504,505,506,507,508,509'</t>
  </si>
  <si>
    <t>Physical Chemistry Examinations</t>
  </si>
  <si>
    <t>QD456 -- .I24 2010eb</t>
  </si>
  <si>
    <t>'11,12,13,14,15,16,17,18,19,20,21,22,23,24,25,26,27,28,29,30,31,,31'</t>
  </si>
  <si>
    <t>Mozilla/5.0 (Macintosh; Intel Mac OS X 10_13_6) AppleWebKit/537.36 (KHTML, like Gecko) Chrome/91.0.4472.77 Safari/537.36</t>
  </si>
  <si>
    <t>'170,171,172,173,174,175,176,177,178,179,180,181,182,183,184,185,186,187,188,189,190,191,192,193,194,195,196,197,198,199,200,201,202,203,204,205,206,207,208,209,210,211,212,213,214,215,216,217,218,219,220,221,222,223,224,225'</t>
  </si>
  <si>
    <t>Practical Guide to MIMO Radio Channel : With MATLAB Examples</t>
  </si>
  <si>
    <t>TK5103.4836.B76 2012</t>
  </si>
  <si>
    <t>'1,1,2,3,5,6,7,9,10,11,12,13'</t>
  </si>
  <si>
    <t>Mozilla/5.0 (Macintosh; Intel Mac OS X 10_15_7) AppleWebKit/537.36 (KHTML, like Gecko) Chrome/98.0.4758.80 Safari/537.36</t>
  </si>
  <si>
    <t>Ancient Civilizations of the New World</t>
  </si>
  <si>
    <t>F1219.7 .A336 2018</t>
  </si>
  <si>
    <t>'1,1,68,67'</t>
  </si>
  <si>
    <t>Water from Heaven : The Story of Water from the Big Bang to the Rise of Civilization, and Beyond</t>
  </si>
  <si>
    <t>GB661.2.K3</t>
  </si>
  <si>
    <t>'1,18,19'</t>
  </si>
  <si>
    <t>'1,2,20,19,104,106,107,108,111,112'</t>
  </si>
  <si>
    <t>'1,2,34,35'</t>
  </si>
  <si>
    <t>'1,1,1,2,466,467,274,307,,1,4,2,3,274,307,306,305,304,303,253,254,255,256,257,258,259,260,261,262,263,264,265,266,267,268,269,270,271,272,273,273'</t>
  </si>
  <si>
    <t>Perceptrons : An Introduction to Computational Geometry</t>
  </si>
  <si>
    <t>Q327 .M567 2017</t>
  </si>
  <si>
    <t>Mozilla/5.0 (Windows NT 10.0; Win64; x64) AppleWebKit/537.36 (KHTML, like Gecko) Chrome/98.0.4758.102 Safari/537.36 Edg/98.0.1108.56</t>
  </si>
  <si>
    <t>'1,2,4,177,178,179,180,181'</t>
  </si>
  <si>
    <t>'1,4,34,35,6,5,51,52,53,104'</t>
  </si>
  <si>
    <t>'1,2,4,7,6,5,33'</t>
  </si>
  <si>
    <t>Fundamentals of Air Pollution</t>
  </si>
  <si>
    <t>TD883 -- .V355 2014eb</t>
  </si>
  <si>
    <t>'1,,3,2,6,7,8'</t>
  </si>
  <si>
    <t>Semiconductor Photocatalysis : Principles and Applications</t>
  </si>
  <si>
    <t>Engineering: Chemical; Engineering; Engineering: Electrical</t>
  </si>
  <si>
    <t>TP159.C3 -- .K573 2015eb</t>
  </si>
  <si>
    <t>Clean by Light Irradiation : Practical Applications of Supported TiO2</t>
  </si>
  <si>
    <t>Textile Dyes</t>
  </si>
  <si>
    <t>Woodhead Publishing India PVT. LTD</t>
  </si>
  <si>
    <t>TP897 -- .M34 2016eb</t>
  </si>
  <si>
    <t>'1,3,3,3,3,502,378,250,274,307,306,306,306,306,306,306,307,305,304,303,302,303,303,303,303'</t>
  </si>
  <si>
    <t>'1,335,281,129,150,151,153,154,155,156'</t>
  </si>
  <si>
    <t>'1,1,70'</t>
  </si>
  <si>
    <t>Chemical Bonding at Surfaces and Interfaces</t>
  </si>
  <si>
    <t>QD461.C44 2008</t>
  </si>
  <si>
    <t>'4,5,176,533,11,1,6'</t>
  </si>
  <si>
    <t>'6,7,64,65,66,67,68,69,70,45,46,46,46,45'</t>
  </si>
  <si>
    <t>The Atlas of World Hunger</t>
  </si>
  <si>
    <t>Geography/Travel; Social Science</t>
  </si>
  <si>
    <t>G1046</t>
  </si>
  <si>
    <t>'1,3,4,5,6,7,8,9,10,11,12,13,15'</t>
  </si>
  <si>
    <t>Sustainable Energy Management : Planning, Implementation, Control and Strategy</t>
  </si>
  <si>
    <t>Engineering; Environmental Studies; Economics; Engineering: Mechanical</t>
  </si>
  <si>
    <t>TJ163.2 -- .G657 2013eb</t>
  </si>
  <si>
    <t>'1,2,3,4,5,6,7,8,9,10,12,13,14,,1,2,4,5,6,3,7,8,9,10,12,13,9,10,11,,1'</t>
  </si>
  <si>
    <t>Sustainable Energy</t>
  </si>
  <si>
    <t>'2,7,122,105,110,107,114,348,347,344,152,,1,2,3,4,5,6,7'</t>
  </si>
  <si>
    <t>'1,1,70,73,71,72'</t>
  </si>
  <si>
    <t>'1,1,70,71,72,73,74,274,,1,1,7,70,71,72,73,74'</t>
  </si>
  <si>
    <t>'1,1,70,71,73,72,,1,1,70'</t>
  </si>
  <si>
    <t>'1,1,70,71,72,72,72,71,71,71,88,71,70,72,71,71,72,73,74,72,72,71,73,74,75,74,,1,1,70,70,80,70,70,71,72,73,74,75,76,77,1,2,3,4,5,6,5,,1,1,2,3,4,5,70,71,70,53,71,72,73,74,75,1'</t>
  </si>
  <si>
    <t>'70,70'</t>
  </si>
  <si>
    <t>Mozilla/5.0 (Macintosh; Intel Mac OS X 10_15_7) AppleWebKit/605.1.15 (KHTML, like Gecko) Version/13.1.3 Safari/605.1.15</t>
  </si>
  <si>
    <t>'1,1,70,69,72,68,66,71,73,74'</t>
  </si>
  <si>
    <t>'70,70,70,70,70,71,73,74,75,20,60,1,2,3,3,2,4,5,5,5,6,7,8,6,6,8,5,4,5,5,70,72,72,72,,1,1,70,70,70,70'</t>
  </si>
  <si>
    <t>'1,1,,1,1,,1,1,2,4,5'</t>
  </si>
  <si>
    <t>Environmental Psychology : An Introduction</t>
  </si>
  <si>
    <t>BF353.5.N37 -- E585 2013eb</t>
  </si>
  <si>
    <t>'1,3,5,6,45,46'</t>
  </si>
  <si>
    <t>'1,1,70,69,71,72,70,165,64,1,2,1,1,1,1,1,1,2,3,4,5,5,5,5,5,5,5,70,69,71,72,73,74,73,73,72,71,70'</t>
  </si>
  <si>
    <t>'1,1,70,69,71,71,72,72,72,72,71'</t>
  </si>
  <si>
    <t>'1,1,1,70,70,,1,1,3,3,70,70,70,20,1,2,3,4,5,71,73,74'</t>
  </si>
  <si>
    <t>'1,1,70,72,73,74,71'</t>
  </si>
  <si>
    <t>'73,71'</t>
  </si>
  <si>
    <t>Transport Phenomena in Microfluidic Systems</t>
  </si>
  <si>
    <t>TJ853.4.M53</t>
  </si>
  <si>
    <t>'7,8,9,10,11,12,13,14,15,16'</t>
  </si>
  <si>
    <t>Fundamental Mechanics of Fluids</t>
  </si>
  <si>
    <t>Engineering; Engineering: General; Mathematics</t>
  </si>
  <si>
    <t>QA901 .C8 2015</t>
  </si>
  <si>
    <t>'8,9,10,11,12,13'</t>
  </si>
  <si>
    <t>'1,1,2,70,71,72'</t>
  </si>
  <si>
    <t>'1,1,2,70,71'</t>
  </si>
  <si>
    <t>'1,1,,1,1,70,72,73,74,71'</t>
  </si>
  <si>
    <t>'1,1,1,1,2'</t>
  </si>
  <si>
    <t>'1,1,12,78,23,34,118,136'</t>
  </si>
  <si>
    <t>'1,1,2,3,6,4,5'</t>
  </si>
  <si>
    <t>'1,1,5,3,4,14,16,23,308,311,1,1'</t>
  </si>
  <si>
    <t>'1,1,70,71,70,71,73'</t>
  </si>
  <si>
    <t>'1,1,70,71,72,73,74,74,74,74,74,74,74,74,74,74,111,73,72'</t>
  </si>
  <si>
    <t>Fracture Mechanics 3 : Applied Quality Control</t>
  </si>
  <si>
    <t>Business/Management; Engineering; Engineering: General</t>
  </si>
  <si>
    <t>TS156 -- .G76 2013eb</t>
  </si>
  <si>
    <t>'33,34,35,36,37'</t>
  </si>
  <si>
    <t>'1,1,2,70,71,71,71,70,70,70,71,71,51,71,71,71,71,71,72,73,74,74,74,75,74,74,73,72'</t>
  </si>
  <si>
    <t>Strange Chemistry : The Stories Your Chemistry Teacher Wouldn't Tell You</t>
  </si>
  <si>
    <t>QD37.F376 2017</t>
  </si>
  <si>
    <t>Management Accounting : Theory, Problems and Solutions</t>
  </si>
  <si>
    <t>Himalaya Publishing House</t>
  </si>
  <si>
    <t>657/.42</t>
  </si>
  <si>
    <t>HF5657.4 -- .A76 2009eb</t>
  </si>
  <si>
    <t>'1,75,76,77,78,196,197,198,199,200,202,203,204'</t>
  </si>
  <si>
    <t>Advances in Management Accounting</t>
  </si>
  <si>
    <t>HG1706-1708</t>
  </si>
  <si>
    <t>'1,2,3,50,51,52,251,170,171,191,215,216,217'</t>
  </si>
  <si>
    <t>'1,1,5,6,7,10,11,14,,1,1,135,136,137,138,139,144,145,149,155,156,154,153,152,151,150,148,147,146'</t>
  </si>
  <si>
    <t>'1,139,144,145,149,153,155,156,156,156,156,156,155,156,154,153,152,151,155'</t>
  </si>
  <si>
    <t>'1,129,139,145,146,150,154,155,156,156,155'</t>
  </si>
  <si>
    <t>'1,1,70,69,71,72,73,72,71,71'</t>
  </si>
  <si>
    <t>TRIZ for Engineers: Enabling Inventive Problem Solving : Enabling Inventive Problem Solving</t>
  </si>
  <si>
    <t>620.3/7</t>
  </si>
  <si>
    <t>T212 -- .G33 2011eb</t>
  </si>
  <si>
    <t>'1,337,338,339'</t>
  </si>
  <si>
    <t>Factors Affecting the Removal of Ammonia from Air on Carbonaceous Materials : Investigation of Reactive Adsorption Mechanism</t>
  </si>
  <si>
    <t>Springer New York</t>
  </si>
  <si>
    <t>Science: Chemistry; Environmental Studies; Science</t>
  </si>
  <si>
    <t>QD478</t>
  </si>
  <si>
    <t>'1,3,2,6,14,28,29,30,31,32,33,35,34,36,37'</t>
  </si>
  <si>
    <t>'1,1,70,71,73,,1,1,6,70,1,1'</t>
  </si>
  <si>
    <t>'1,139,140,141,142,143,144,145,146,147,148,149,150,151,152,153,154,155,157,158,159,160,156'</t>
  </si>
  <si>
    <t>'1,31,1,129,130,131,132,133,134,135,136,137,138,139,140,141,142,143,144,145,146,147,148,149,150,151,152,153,154,155,156,157,158,160'</t>
  </si>
  <si>
    <t>'14,6,3,15,17,19,18,16,16,16,16,16,16,16,16,16,16,16,16,17,18,19,20,21,22,23,,23,23,23,23,24'</t>
  </si>
  <si>
    <t>'1,14,14,14,,14,14'</t>
  </si>
  <si>
    <t>Air Pollution Economic Modelling and Control Policies</t>
  </si>
  <si>
    <t>628.5/3;628.53</t>
  </si>
  <si>
    <t>TD885.5.G73 -- A37 2011eb</t>
  </si>
  <si>
    <t>'1,9,10,21,39,54,120,4,5,6,2,8,11,12,13,15,14,16,157'</t>
  </si>
  <si>
    <t>'1,1,70,69,71,71,71,71,71,71,72,73,72'</t>
  </si>
  <si>
    <t>'1,1,70,71'</t>
  </si>
  <si>
    <t>'3,5,6,1'</t>
  </si>
  <si>
    <t>Mozilla/5.0 (iPhone; CPU iPhone OS 15_2_1 like Mac OS X) AppleWebKit/605.1.15 (KHTML, like Gecko) Version/15.2 Mobile/15E148 Safari/604.1</t>
  </si>
  <si>
    <t>'1,4,3,5,2,,4,1'</t>
  </si>
  <si>
    <t>Community Visioning Programs : Processes and Outcomes</t>
  </si>
  <si>
    <t>307.1/160973</t>
  </si>
  <si>
    <t>HM761 -- .C66 2012eb</t>
  </si>
  <si>
    <t>'1,4,5,6,7,8'</t>
  </si>
  <si>
    <t>Engineering Education and Practice : Embracing a Catholic Vision</t>
  </si>
  <si>
    <t>University of Notre Dame Press</t>
  </si>
  <si>
    <t>620.0071/173</t>
  </si>
  <si>
    <t>zSeries Crypto Guide Update</t>
  </si>
  <si>
    <t>I B M</t>
  </si>
  <si>
    <t>005.8/2</t>
  </si>
  <si>
    <t>QA76.9.A25 -- Z78 2003eb</t>
  </si>
  <si>
    <t>'1,1,3,14,1,1,1,1,,1,1'</t>
  </si>
  <si>
    <t>'1,2,3,4,13,14,13,14'</t>
  </si>
  <si>
    <t>The Art of RF (Riba-Free) Islamic Banking and Finance : Tools and Techniques for Community-Based Banking</t>
  </si>
  <si>
    <t>332.10917/67</t>
  </si>
  <si>
    <t>HG3368.A6 -- .A244 2014eb</t>
  </si>
  <si>
    <t>Mozilla/5.0 (Windows NT 10.0; Win64; x64) AppleWebKit/537.36 (KHTML, like Gecko) Chrome/97.0.4692.99 Safari/537.36</t>
  </si>
  <si>
    <t>Islamic Finance : The New Regulatory Challenge</t>
  </si>
  <si>
    <t>HG3368.A6I8 2013</t>
  </si>
  <si>
    <t>'9,,1'</t>
  </si>
  <si>
    <t>'1,129,156,155'</t>
  </si>
  <si>
    <t>'1,2,3,4,5,6,7,8,8,9,23,24,25,26,27,28,29,30,31,32,32'</t>
  </si>
  <si>
    <t>'7,8,9,10,25,26,27,28,29,30,31,32,33,34,35,36,37,38,39,40'</t>
  </si>
  <si>
    <t>Overcoming Your Eating Disorder : A Cognitive-Behavioral Therapy Approach for Bulimia Nervosa and Binge-Eating Disorder, Guided Self Help Workbook</t>
  </si>
  <si>
    <t>RC552.C65A37 2008</t>
  </si>
  <si>
    <t>'1,2,3,4,5,6,7,8,9,50,51,52,53,54,55,56,57,58,59,60,61,62,63,64'</t>
  </si>
  <si>
    <t>Binge Eating : Psychological Factors, Symptoms and Treatment</t>
  </si>
  <si>
    <t>616.85/26</t>
  </si>
  <si>
    <t>RC552.C65B565 2009</t>
  </si>
  <si>
    <t>'11,12,13,14,15,16'</t>
  </si>
  <si>
    <t>'1,2,3,7,7,8,9,10,,10,9'</t>
  </si>
  <si>
    <t>'1,1,9,13,12,11,10,8,15,17,18,19,20,21,22,23,24,25,26,27,28,32,170,174,171,172,173,33,35,34'</t>
  </si>
  <si>
    <t>The Natural Moral Law : The Good after Modernity</t>
  </si>
  <si>
    <t>340/.112</t>
  </si>
  <si>
    <t>K460 .A53 2012</t>
  </si>
  <si>
    <t>'1,24,24,24,25,25,25,25,26,24,27,28,29,30,31,33,35,36,37,38,39,23'</t>
  </si>
  <si>
    <t>'1,9,10,11,11,9,10,34,35,36,37,38'</t>
  </si>
  <si>
    <t>'1,8,32,38,35,34,36,,1,8,3,32,37,36,35,35,35'</t>
  </si>
  <si>
    <t>Islam and Democracy : The Failure of Dialogue in Algeria</t>
  </si>
  <si>
    <t>965.05/3</t>
  </si>
  <si>
    <t>JQ3231 -- .V65 2003eb</t>
  </si>
  <si>
    <t>'1,3,4,51,50,41,40,43,,1,,1,2,3,4,45,44,43,42,47,48,49,51,52,53,54,55,56,57,58,59,60,61'</t>
  </si>
  <si>
    <t>Islamism, Democracy and Liberalism in Turkey : The Case of the AKP</t>
  </si>
  <si>
    <t>JQ1809.A8 -- A437 2009eb</t>
  </si>
  <si>
    <t>'1,2,8'</t>
  </si>
  <si>
    <t>'1,17,17,21,17,17,17,17,16,15,17,18,19,19,19,18,17,20,21,22,23,24,25,26,27,28,29,30,31,32,32,17,17,17,17,17,17,17,17,18,19,20,21,22,23,24,25,25,23,23,23,22,21,19,18,17,18,19'</t>
  </si>
  <si>
    <t>'1,8,14,10,9,7,11,12,13,15,16,17,18,19,20,21,32,34,33,35,36,37,38,39,40,41,42,43,44,45,46,47,48'</t>
  </si>
  <si>
    <t>The Canonization of Islamic Law : A Social and Intellectual History</t>
  </si>
  <si>
    <t>KBP50.E4 2013eb</t>
  </si>
  <si>
    <t>'56,57,58,59,60,61'</t>
  </si>
  <si>
    <t>'1,108,109,109,95,1,2,3,4,5,6,8,35,13,36,37,38,29,30,31,27,26,25,24,23,22,21,20,19'</t>
  </si>
  <si>
    <t>'1,156,157,158,159,160,110,113,114,115,1,116,117,12,,118'</t>
  </si>
  <si>
    <t>'1,1,5,46,70,71,72,69,72'</t>
  </si>
  <si>
    <t>'1,12,10,12,13,13,10,47,96,201,201,201,6,26,45,79,134,135,135,112,113,125,250,251,252,253,254,255,256,257,258,259,260,261,261,261,261'</t>
  </si>
  <si>
    <t>'1,10,11,12,13,14,15,16,17,18,19,20,108,102,103,104,105,106,107,110,111,112,113'</t>
  </si>
  <si>
    <t>Modernity, Medicine and Health : Medical Sociology Towards 2000</t>
  </si>
  <si>
    <t>RA418.M66</t>
  </si>
  <si>
    <t>'64,65,66,67,68,69,70,71,72,73,74,75,76,77,79,81,82,83,84'</t>
  </si>
  <si>
    <t>'1,9'</t>
  </si>
  <si>
    <t>Islamic Law, Epistemology and Modernity : Legal Philosophy in Contemporary Iran</t>
  </si>
  <si>
    <t>340.5/9/0955</t>
  </si>
  <si>
    <t>KMH440 -- .D34 2014eb</t>
  </si>
  <si>
    <t>'1,38,38,38,39,41,40,42,43,44,45,46,47,48,49,51,52,52,53,68,38'</t>
  </si>
  <si>
    <t>'1,1,70,71,72,73,74,,1,1,70,71,72'</t>
  </si>
  <si>
    <t>'71,73'</t>
  </si>
  <si>
    <t>'1,1,6,28,102'</t>
  </si>
  <si>
    <t>'1,1,1,2,3,4,10,11,12,13,14,6,28'</t>
  </si>
  <si>
    <t>'1,10,22'</t>
  </si>
  <si>
    <t>'1,58,58,58,59,60,61,62,64,4,7,1,2,3,5,8'</t>
  </si>
  <si>
    <t>'1,131,132,133,134,21,22,23,26,27,28,29,30,31,32,33,34,35,36,37,38,39,40,41,42,43,44,45,46,47,48,50,51,52,53,54,55,56,57,59,61,63,64,65,66,67,68,69,70,72,73,74,75,76,77,78,79,80,81,82,83,84,86,87,88,89,90,91,92,93,94,95,96,97,98,99,100,102,103,104,105,106,107,109,108,110,111,112,113,114,115,116,117,118,329,330,331,332,333,334,335,336,337,338,339,340,341,342,343,344,345,346,347,348,349,350,351,352,353'</t>
  </si>
  <si>
    <t>'333'</t>
  </si>
  <si>
    <t>'1,167,168,169,169,169,169,169,67,74,74'</t>
  </si>
  <si>
    <t>'222,223,224,225,226,227'</t>
  </si>
  <si>
    <t>'1,2,3,4,6,7'</t>
  </si>
  <si>
    <t>'1,2,3,4,5,8,7,9,10,11,12,1,1'</t>
  </si>
  <si>
    <t>'1,2,4,6,7,8,9'</t>
  </si>
  <si>
    <t>'1,439,440,441,442,443,444,446,447,448,449,450,451,452,453,454,455,457,458,459,460,461,462,463,464,115,116,117,118,119,120,121,122,123,124,125,126,127,128,129'</t>
  </si>
  <si>
    <t>Wind Power : Turbine Design, Selection, and Optimization</t>
  </si>
  <si>
    <t>Engineering: Mechanical; Engineering: Electrical; Engineering</t>
  </si>
  <si>
    <t>TJ828.L53 2014eb</t>
  </si>
  <si>
    <t>'1,2,7,6,9'</t>
  </si>
  <si>
    <t>'1,1,70,69'</t>
  </si>
  <si>
    <t>'1,1,70,70,71,72,73,74'</t>
  </si>
  <si>
    <t>'1,8,7,9,10,11,12'</t>
  </si>
  <si>
    <t>Hacking : The Art of Exploitation</t>
  </si>
  <si>
    <t>QA76.9.A25 -- E75 2008eb</t>
  </si>
  <si>
    <t>'1,1,15,15,25,,1,1'</t>
  </si>
  <si>
    <t>'1,1,70,70,71'</t>
  </si>
  <si>
    <t>Mozilla/5.0 (iPhone; CPU iPhone OS 14_4_2 like Mac OS X) AppleWebKit/605.1.15 (KHTML, like Gecko) Version/14.0.3 Mobile/15E148 Safari/604.1</t>
  </si>
  <si>
    <t>Clinical Insights: Parkinson's Disease: Diagnosis, Motor Symptoms and Non-Motor Features</t>
  </si>
  <si>
    <t>Future Medicine Ltd</t>
  </si>
  <si>
    <t>RC382.P375 2013</t>
  </si>
  <si>
    <t>'1,2,3,3,3,4,5,6,7,9,145,104,97,79,65,72,1,2,8,10,125,126,127,128,129,130,131,132,133,134,135,136,137,138,139,140,141,142,143'</t>
  </si>
  <si>
    <t>'1,391,429,515'</t>
  </si>
  <si>
    <t>Sisterhood Is Global : The International Women's Movement Anthology</t>
  </si>
  <si>
    <t>HQ1154 -- .M674 2016eb</t>
  </si>
  <si>
    <t>'1,82,81,83,84,85,86,87,88,89,90'</t>
  </si>
  <si>
    <t>'1,3,7,6,37'</t>
  </si>
  <si>
    <t>'1,1,5,13,18,14,17,23'</t>
  </si>
  <si>
    <t>Graphene Oxide : Fundamentals and Applications</t>
  </si>
  <si>
    <t>TA455.G65.G73 2017</t>
  </si>
  <si>
    <t>'1,2,253,254,255,256,258,259,260'</t>
  </si>
  <si>
    <t>Policy and Governance in the Water-Energy-Food Nexus : A Relational Equity Approach</t>
  </si>
  <si>
    <t>RA643.86.A35 .A375 2018</t>
  </si>
  <si>
    <t>'1,1,2,4,6,7,8,9,10,11,12,13,14,,14,14,17,18,92,1'</t>
  </si>
  <si>
    <t>Mozilla/5.0 (Windows NT 10.0; Win64; x64) AppleWebKit/537.36 (KHTML, like Gecko) Chrome/98.0.4758.81 Safari/537.36</t>
  </si>
  <si>
    <t>Graphene : An Introduction to the Fundamentals and Industrial Applications</t>
  </si>
  <si>
    <t>Engineering; Engineering: Chemical; Engineering: Civil</t>
  </si>
  <si>
    <t>662/.9</t>
  </si>
  <si>
    <t>TA455.G65 -- .S537 2015eb</t>
  </si>
  <si>
    <t>'1,134,135,136,137,138,140,141,142,143'</t>
  </si>
  <si>
    <t>'1,1,70,71,72,73,74'</t>
  </si>
  <si>
    <t>'1,1,70,70,70,71,72,73,74,75'</t>
  </si>
  <si>
    <t>Islamism and Modernism : The Changing Discourse in Iran</t>
  </si>
  <si>
    <t>320.5/570955</t>
  </si>
  <si>
    <t>BP63</t>
  </si>
  <si>
    <t>'1,3,11,8,7,9,10,14'</t>
  </si>
  <si>
    <t>'268,269,270,271,272,273,273'</t>
  </si>
  <si>
    <t>'1,1,70,71,72'</t>
  </si>
  <si>
    <t>Maṣlaḥa and the Purpose of the Law : Islamic Discourse on Legal Change from the 4th/10th to 8th/14th Century</t>
  </si>
  <si>
    <t>KBP456 -- .O69 2010eb</t>
  </si>
  <si>
    <t>'1,261,189,189,189,189,190,191,192,193,194,195,196,197,198,199,200,201,202,203,204,207,206'</t>
  </si>
  <si>
    <t>'1,1,70,70,70,70,72,73,71,70,70,71,72,73,73,71,72,70,1,1,70,70,70,70,70,70,71,72,74,73'</t>
  </si>
  <si>
    <t>'1,16,16,15,13,12,11,21,22,24,25,27,28,29,30,31,32,33'</t>
  </si>
  <si>
    <t>'12,13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'</t>
  </si>
  <si>
    <t>'1,1,70,71,73,72,,1,1,70,71,72,73,74'</t>
  </si>
  <si>
    <t>Egypt (Routledge Revival) : MERI Report</t>
  </si>
  <si>
    <t>Business/Management; History</t>
  </si>
  <si>
    <t>HC830 -- .M47 2015eb</t>
  </si>
  <si>
    <t>'15,15,1,2,3,4,5'</t>
  </si>
  <si>
    <t>Mozilla/5.0 (Windows NT 10.0; Win64; x64) AppleWebKit/537.36 (KHTML, like Gecko) Chrome/98.0.4758.102 Safari/537.36 Edg/98.0.1108.55</t>
  </si>
  <si>
    <t>'1,1,,49,15'</t>
  </si>
  <si>
    <t>Current Advances in the Medical Application of Nanotechnology</t>
  </si>
  <si>
    <t>R857.N34 -- C87 2012eb</t>
  </si>
  <si>
    <t>'8,15,48,49,50,51,52,53,54,55,57,56,58,59,60,61,62,63,64,65'</t>
  </si>
  <si>
    <t>The Soviet Middle East (Routledge Revivals) : A Model for Development?</t>
  </si>
  <si>
    <t>HC487.C4 N6 2012</t>
  </si>
  <si>
    <t>'1,439'</t>
  </si>
  <si>
    <t>'1,1,70,71,72,73,74,,1,1,70'</t>
  </si>
  <si>
    <t>'1,115,116,117,118,114,21,23,24,25,26,27,28,29,30'</t>
  </si>
  <si>
    <t>'1,1,3,20,21,22,5,6,8,70,70,71,72,73,74,70,70,71,72,73'</t>
  </si>
  <si>
    <t>'70,71,72,73,74,75,76,77,78,79,80,81,82,83,84,85,86,87,88,89,90,91,92,93,94,95,96,97'</t>
  </si>
  <si>
    <t>'8,1,9,10,11,12,13,14,15,7,16,17,18,19,20,21,22,23,24,25,26,27,28'</t>
  </si>
  <si>
    <t>'8,15,16,16,18,18,27,27,27,15'</t>
  </si>
  <si>
    <t>TL1050 -- .H79 2015eb</t>
  </si>
  <si>
    <t>'1,2,3,5,6,36,37,38,39,40,41,43,45,44,47,48,49'</t>
  </si>
  <si>
    <t>TL3260.D33 2013</t>
  </si>
  <si>
    <t>'1,2,9,10,11,12,85,86,87,88,89,90,91,92,94,95,96,96'</t>
  </si>
  <si>
    <t>'1,1,2,70,71,72,73,74'</t>
  </si>
  <si>
    <t>Lean Six Sigma Pocket Toolbook</t>
  </si>
  <si>
    <t>McGraw-Hill Professional Publishing</t>
  </si>
  <si>
    <t>TS156.L43 2005</t>
  </si>
  <si>
    <t>Mozilla/5.0 (iPhone; CPU iPhone OS 15_2 like Mac OS X) AppleWebKit/605.1.15 (KHTML, like Gecko) Version/15.2 Mobile/15E148 Safari/604.1</t>
  </si>
  <si>
    <t>Lean Six Sigma</t>
  </si>
  <si>
    <t>TS156.G47 2002</t>
  </si>
  <si>
    <t>'1,1,2,3,4,,4,4,5,5,5,4,3,5,5,6,8,7,9,10,11,12,13,14,15,16,17,18,19,20,21'</t>
  </si>
  <si>
    <t>'1,1,3,70,71,72,73,74,,1,1,2,3,5,70,4,71,72,73'</t>
  </si>
  <si>
    <t>'1,1,70,71,72,73,74,75,70'</t>
  </si>
  <si>
    <t>'1,1,70,72,74,74,73,72,71'</t>
  </si>
  <si>
    <t>'74,73'</t>
  </si>
  <si>
    <t>'1,14,39,61,62,63,84,85,103,104,105,123,9'</t>
  </si>
  <si>
    <t>Contesting Feminisms : Gender and Islam in Asia</t>
  </si>
  <si>
    <t>305.48/697095</t>
  </si>
  <si>
    <t>'1,28,27'</t>
  </si>
  <si>
    <t>'1,32,33'</t>
  </si>
  <si>
    <t>Application of Nanotechnology in Water Research : Key Issues for Midwives and Women</t>
  </si>
  <si>
    <t>TD442.5 -- .A67 2014eb</t>
  </si>
  <si>
    <t>'137,139,141,142,144,145,146,147,148,429,430,431,432,433,434,435,437,438,291,293,294,296,297,298,299'</t>
  </si>
  <si>
    <t>'1,1,70,69,71,72,73,74'</t>
  </si>
  <si>
    <t>'1,1,70,71,72,73,,1,1,70,71,72,73,74,75,136,71,70,72,73,74'</t>
  </si>
  <si>
    <t>'70,71,70'</t>
  </si>
  <si>
    <t>'1,1,1,7,9,71,70,72,73,74,72'</t>
  </si>
  <si>
    <t>In Vivo Self-Assembly Nanotechnology for Biomedical Applications</t>
  </si>
  <si>
    <t>'1,1,70,70,71,72,70,72,73,71,71,70'</t>
  </si>
  <si>
    <t>'137,139,141'</t>
  </si>
  <si>
    <t>'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'</t>
  </si>
  <si>
    <t>'1,274,275,276,277,278,279,280,281,282,283,284,285,287,288,290,291,,291,292,290,293,294,295,296,297,298,299,301,302,303,304,305,306,307'</t>
  </si>
  <si>
    <t>Spectroscopy : Atomic and Molecular</t>
  </si>
  <si>
    <t>QC451.C43 2009</t>
  </si>
  <si>
    <t>'1,2,4,6,8,9,10,11,12,13,14'</t>
  </si>
  <si>
    <t>Mozilla/5.0 (Windows NT 10.0) AppleWebKit/537.36 (KHTML, like Gecko) Chrome/98.0.4758.102 Safari/537.36 Edg/98.0.1108.55</t>
  </si>
  <si>
    <t>'1,1,1,70'</t>
  </si>
  <si>
    <t>'170,171,172,173,174,175,176,177,178,179,180,181,182,183,184,185,186,187,188,189,190,191,192,193,194,195,196,197,198,199,200,201,202,203,204,205,206,207,208,209,210,211,212,213,214,215,216,217,218,219,220,221,222,223,224,225,,118,119,120,121,122,123,124,125,126,127,128,129,130,131,132,133,134,135,136,137,138,139,140,141,142,143,144,145,146,147,148,149,150,151,152,153,154,155,156,157,158,159,160,161,162,163,164,165,166,167,168,169'</t>
  </si>
  <si>
    <t>Optical Coherence Tomography : Principles and Applications</t>
  </si>
  <si>
    <t>Science: Physics; Medicine; Science</t>
  </si>
  <si>
    <t>QC449.5.B74 2006</t>
  </si>
  <si>
    <t>Amazon Unbound : Jeff Bezos and the Invention of a Global Empire</t>
  </si>
  <si>
    <t>HF5548.32 .S766 2021</t>
  </si>
  <si>
    <t>Ocean Zoning : Making Marine Management More Effective</t>
  </si>
  <si>
    <t>Environmental Studies; Science: Geology; Science; Economics</t>
  </si>
  <si>
    <t>333.95/616</t>
  </si>
  <si>
    <t>GC1018.5 -- .A43 2010eb</t>
  </si>
  <si>
    <t>'1,15,16,26,69,66,67,68,70'</t>
  </si>
  <si>
    <t>'1,9,37,82,81'</t>
  </si>
  <si>
    <t>Facets of Security in the United Arab Emirates</t>
  </si>
  <si>
    <t>UA853.U5 .F334 2022</t>
  </si>
  <si>
    <t>'130,131,132,,,166,167,168,169,170,171'</t>
  </si>
  <si>
    <t>'145,146,147,148,149,150,151,152,153,,166,167,168,169,170,171,172,173,174,175,176'</t>
  </si>
  <si>
    <t>'1,44,43,45,56,13,14,15,16,17,18,19'</t>
  </si>
  <si>
    <t>'44,45,46,47,48,49,50,51,52,53,54,55'</t>
  </si>
  <si>
    <t>Tintinalli. Manual de medicina de urgencias (8a. ed.)</t>
  </si>
  <si>
    <t>McGraw-Hill Interamericana</t>
  </si>
  <si>
    <t>RC86.7</t>
  </si>
  <si>
    <t>'1,3,438'</t>
  </si>
  <si>
    <t>Strategy : A History</t>
  </si>
  <si>
    <t>Military Science; Political Science</t>
  </si>
  <si>
    <t>U162.F86 2013eb</t>
  </si>
  <si>
    <t>Power System Transient Analysis : Theory and Practice Using Simulation Programs (ATP-EMTP)</t>
  </si>
  <si>
    <t>TK3226 -- .P684 2016eb</t>
  </si>
  <si>
    <t>'21,22,23,25'</t>
  </si>
  <si>
    <t>The Iliad : A New Translation by Peter Green</t>
  </si>
  <si>
    <t>PA4025.A2 -- .H664 2015eb</t>
  </si>
  <si>
    <t>Mozilla/5.0 (Linux; Android 11; SAMSUNG SM-A705FN) AppleWebKit/537.36 (KHTML, like Gecko) SamsungBrowser/16.0 Chrome/92.0.4515.166 Mobile Safari/537.36</t>
  </si>
  <si>
    <t>'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'</t>
  </si>
  <si>
    <t>Mozilla/5.0 (Windows NT 10.0; Win64; x64; rv:96.0) Gecko/20100101 Firefox/96.0</t>
  </si>
  <si>
    <t>'286,285,283,282,281,280,279,284'</t>
  </si>
  <si>
    <t>'1,1,2,3,4,5,6,7,70,71'</t>
  </si>
  <si>
    <t>Enzyme Kinetics : Rapid-Equilibrium Applications of Mathematica</t>
  </si>
  <si>
    <t>QP601.3 -- .A43 2011eb</t>
  </si>
  <si>
    <t>'1,1,2,27,46,70,70,205,69,69,70,70,70,71,72'</t>
  </si>
  <si>
    <t>'286,285,284,287,,286,,286,287,288,289,290,291,292,293,294,296,297,298,299'</t>
  </si>
  <si>
    <t>'1,1,3,70,72,74,75,76,73,78,71'</t>
  </si>
  <si>
    <t>'73,73'</t>
  </si>
  <si>
    <t>'161,162,163'</t>
  </si>
  <si>
    <t>'1,1,4,160'</t>
  </si>
  <si>
    <t>City Rules : How Regulations Affect Urban Form</t>
  </si>
  <si>
    <t>307.1/2160973</t>
  </si>
  <si>
    <t>HT167</t>
  </si>
  <si>
    <t>'1,1,54,54,55'</t>
  </si>
  <si>
    <t>Mozilla/5.0 (Windows NT 10.0; Win64; x64) AppleWebKit/537.36 (KHTML, like Gecko) Chrome/98.0.4758.80 Safari/537.36 Edg/98.0.1108.50</t>
  </si>
  <si>
    <t>Tajikistan's Winter Energy Crisis : Electricity Supply and Demand Alternatives</t>
  </si>
  <si>
    <t>Environmental Studies; Economics; Business/Management</t>
  </si>
  <si>
    <t>333.793/211</t>
  </si>
  <si>
    <t>HD9685 -- .T3452 2013eb</t>
  </si>
  <si>
    <t>'1,17,18,11,10,12,13'</t>
  </si>
  <si>
    <t>A Companion to Second-Century Christian 'Heretics'</t>
  </si>
  <si>
    <t>273/.1</t>
  </si>
  <si>
    <t>BT1319 -- .C65 2005eb</t>
  </si>
  <si>
    <t>Authentic Church : True Spirituality in a Culture of Counterfeits</t>
  </si>
  <si>
    <t>InterVarsity Press</t>
  </si>
  <si>
    <t>227/.206</t>
  </si>
  <si>
    <t>'1,73,74,75,53,53'</t>
  </si>
  <si>
    <t>'1,102,118,110,111,112,113,114,115,170,103'</t>
  </si>
  <si>
    <t>Crystallization : Basic Concepts and Industrial Applications</t>
  </si>
  <si>
    <t>TP156.C7.C79 2013</t>
  </si>
  <si>
    <t>'1,1,2,4,70,72,69,68,71'</t>
  </si>
  <si>
    <t>'1,72,73,74,148,149,150'</t>
  </si>
  <si>
    <t>'1,1,70,71,72,73'</t>
  </si>
  <si>
    <t>'1,14,17,16,17,17,19,20,21,22,23,24,25,26,27,28,29,30,31'</t>
  </si>
  <si>
    <t>Mozilla/5.0 (Windows NT 10.0; Win64; x64) AppleWebKit/537.36 (KHTML, like Gecko) Chrome/97.0.4692.99 Safari/537.36 OPR/83.0.4254.46</t>
  </si>
  <si>
    <t>'1,25,26,27,28,,1,25,26,28,29,39,40'</t>
  </si>
  <si>
    <t>'1,148,149,150,18,19'</t>
  </si>
  <si>
    <t>'1,3,5'</t>
  </si>
  <si>
    <t>Seeing the Light : Exploring Ethics Through Movies</t>
  </si>
  <si>
    <t>Philosophy; Fine Arts</t>
  </si>
  <si>
    <t>PN1995.5 -- .T395 2012eb</t>
  </si>
  <si>
    <t>'1,2,28,26,25,27,29,30,31,32,33,34,34,35,36,37,33,38,39,40,41,42,43,46,45,47,48,49,50,51,52,53,54,55,56'</t>
  </si>
  <si>
    <t>'33,33,33'</t>
  </si>
  <si>
    <t>'1,3,4,6,7,8,9,11,13,16,17,18,19,20,21,22,23,24,25'</t>
  </si>
  <si>
    <t>'1,1,70,73,66,65,71,72,74'</t>
  </si>
  <si>
    <t>'286,472,473,474,475,476,477,478,479,480'</t>
  </si>
  <si>
    <t>Surface Chemistry Essentials</t>
  </si>
  <si>
    <t>QD506.B57 2014eb</t>
  </si>
  <si>
    <t>'150,150,150,151,152,153,154,155,156,157,158,159,160,161,162,163,164,165,166,167,168,178,179,180'</t>
  </si>
  <si>
    <t>'1,268,270,271,272,273,274,275,276,278,279,280,,1,2'</t>
  </si>
  <si>
    <t>'1,118,117'</t>
  </si>
  <si>
    <t>'1,88,87,89,90,92,94,95,97,558,496,116,115,118,117,119,120,121,122,123,124,125,126,127,128,129,130,131,132,,1'</t>
  </si>
  <si>
    <t>'118,119,120,121,122,123,124,125,126,127,128,129,130,131,132,133,134,135,136,137,138,139,140,141,142,143,144,145,146,147,148,149,150,151,152,153,154,155,156,157,158,159,160,161,162,163,164,165,166,167,168,169'</t>
  </si>
  <si>
    <t>'1,4,3,115,329,330,331,332,333,334,335,336,337,338,339,340,341,342'</t>
  </si>
  <si>
    <t>'4,,14,15,16,17,18,19,20,21,22,23,24,25,26,27,28,29,30,31,32,33,34,35,36,37,38,39,40,41,42,43,44,45,46,47,48,49,50,51,52,53,54,55,56,57,58,59,60,61,62,63,64,65,66,67,68,69,,70,,71,72,73,74,75,,76,77,78,79,80,,81,,82,83,84,85,86,87,88,89,90,91,,92,93,94,95,96,97,98,99,100,101,102,103,104,105,106,107,108,109,110,111,112,113,114,115'</t>
  </si>
  <si>
    <t>'1,1,1,1,3,3,4,5,6,7,10,12,12,14'</t>
  </si>
  <si>
    <t>'12,13,14,15,16,17,18,19,20,21,22,23,24,25,26,27,28,29,30,31,32,33,34,35,36,37,38,39,40,41,42,43,44,45,46,47,48,49,50,51,52,53,54,55,56,57,58,59,60,61,62,63,64,65,66,67,68,69'</t>
  </si>
  <si>
    <t>'1,2,3,4,6,7,8,10,11,12'</t>
  </si>
  <si>
    <t>'43,43,8,16,17,8,116'</t>
  </si>
  <si>
    <t>'1,2,3,4,5,7,8,9,11,12,13,14,15,10,17,18,19,20,21,21,21,1,12,24,25,23,22,13,13,13,13,12,11,10,14,12,12,13,12,12,13,13,14,15,12,16,17,18,19,22,23,24,25,10,9,8,7,11,1'</t>
  </si>
  <si>
    <t>'1,2,3,3,4,2,5,6,6,1,1,3,2,2,9,7,8,10,11,12,13,14,15,16,16,13,14,12,11,10,9,9,5,1,2,3'</t>
  </si>
  <si>
    <t>Before and after Muhammad : The First Millennium Refocused</t>
  </si>
  <si>
    <t>Religion; Geography/Travel</t>
  </si>
  <si>
    <t>BP42.F69 2014eb</t>
  </si>
  <si>
    <t>'1,1,1,16,17'</t>
  </si>
  <si>
    <t>'43,43,6,8,8,64,116,116,43,43,79,89,116,117'</t>
  </si>
  <si>
    <t>'116,116,116'</t>
  </si>
  <si>
    <t>Healing Powers and Modernity : Traditional Medicine, Shamanism, and Science in Asian Societies</t>
  </si>
  <si>
    <t>615.5/095</t>
  </si>
  <si>
    <t>RA418.3.A78 -- H43 2000eb</t>
  </si>
  <si>
    <t>'13,14,15,17,18,19,20'</t>
  </si>
  <si>
    <t>'1,3,3,3,5,18,17,19,20,21,22,51,34,33,35'</t>
  </si>
  <si>
    <t>'1,3,6,7,11,12,13,14,15,16,17,18,19,42,43,44,45,46,47,48,49,50,51,177,178,179'</t>
  </si>
  <si>
    <t>'1,3,4,41,42,43,44,45,46,48,49,50,52,54'</t>
  </si>
  <si>
    <t>'1,2,3,18,19'</t>
  </si>
  <si>
    <t>'43,1,3'</t>
  </si>
  <si>
    <t>'19,20,22,21,23,24,25,28,29,30,41,42,43,44,45,46,47,48,49'</t>
  </si>
  <si>
    <t>'283,282,285,289,287,291,284,286,,286,287,135,136,138,139,137,140,141,142,143,299,245,268,275,281,280,282,283,284,285,288,289,290,291,292,293,294,295,296,297,298,300,301,302,303,304,305,306'</t>
  </si>
  <si>
    <t>'1,10,9,16,15,17,18,20,21,22,23,25,24,14,19'</t>
  </si>
  <si>
    <t>'1,41,42,43'</t>
  </si>
  <si>
    <t>'42,42,42,42,42,42,42'</t>
  </si>
  <si>
    <t>'1,4,35,28,17,2,6,8,9,10,11,13,14,,13,14,35,36,37,38,39,40,15,16,17,18,19,20,28,19,19,20,21,22,23,24,25,28,10,10'</t>
  </si>
  <si>
    <t>'1,5,42,10,11,12,12,1,2,6,8,9,10,11,13,14,15,16,11,11,11,11,12,10,10,10,10,10,11'</t>
  </si>
  <si>
    <t>'6,7,42,43,44,70,71,72,73,74,75,76,77,78,79,80,81,110,111,112,113,114,118,119,120'</t>
  </si>
  <si>
    <t>'1,41,43,44,45,42,4,46,47,48,49,50,51,52,40'</t>
  </si>
  <si>
    <t>'41,42'</t>
  </si>
  <si>
    <t>Human Rights : Concepts, Contests, Contingencies</t>
  </si>
  <si>
    <t>JC571</t>
  </si>
  <si>
    <t>'1,10,11,12,13'</t>
  </si>
  <si>
    <t>'277,278,279,280,281,282,,,282,281,280,283,284,285,284,283,285,1314,161,288,275,325,294,293,292,286,287,289,290,291,295,296,297,298,299,300,301,302,303,304,305,306,307,290'</t>
  </si>
  <si>
    <t>'284'</t>
  </si>
  <si>
    <t>'1,18,19,20,21,22,23,24,25,26'</t>
  </si>
  <si>
    <t>Human Rights : The Hard Questions</t>
  </si>
  <si>
    <t>JC571 .H84 2013</t>
  </si>
  <si>
    <t>'1,41,42,19,22,38,39,44,45'</t>
  </si>
  <si>
    <t>Binational Human Rights : The U. S. -Mexico Experience</t>
  </si>
  <si>
    <t>'1,3,2,6,8,12,41,42,43'</t>
  </si>
  <si>
    <t>'41,41'</t>
  </si>
  <si>
    <t>'2,1,4,1,274,277,278,,277,278,279,280,281,282,283'</t>
  </si>
  <si>
    <t>'1,2,3,4,6,7,8,9,11,16,17,18,23,24,41,42,40,43,44,45,46,47,48,50,52'</t>
  </si>
  <si>
    <t>'5,5,6,4,2,1,3,8,9,10,11,12,14,15'</t>
  </si>
  <si>
    <t>'13,1,14,15,16,17,19,20,22,24,25,27,26,29,30,,13,12,11,4,1,,,1,1,2,1,1,3,5,5'</t>
  </si>
  <si>
    <t>'1,2,1,2'</t>
  </si>
  <si>
    <t>'1,1,2,2,3,5,6,9,10,11,12,13,147,14,14,21,13,12,13,12,12,12'</t>
  </si>
  <si>
    <t>'6,7,14,42'</t>
  </si>
  <si>
    <t>'2,3,4,5,8,9,7,10,11,12,13,16'</t>
  </si>
  <si>
    <t>'1,2,3,5,,1,2,274,275,278,283,276,277,273,1314,279,280,281'</t>
  </si>
  <si>
    <t>'1,2,3,5,6,7,8,10,11,12,13,14,15,16,17,18,41,42,43,44,45,46,47,48,49,50,51,52'</t>
  </si>
  <si>
    <t>'43,1,2,4,6,7,,43,12,13,15,17,1,7,8,9,76,77,79,78,,43,76,77,78,79,80,81,82'</t>
  </si>
  <si>
    <t>'8,79,79,79,,78,78,78,78,79,78'</t>
  </si>
  <si>
    <t>Problems for Feminist Criticism (RLE Feminist Theory)</t>
  </si>
  <si>
    <t>PN98.W64 P76 2012</t>
  </si>
  <si>
    <t>'1,16,17,61,62,63,64,65,66,67,68,194,193,195,196,197'</t>
  </si>
  <si>
    <t>Feminist Activist Ethnography : Counterpoints to Neoliberalism in North America</t>
  </si>
  <si>
    <t>GN33.8.F43 2013</t>
  </si>
  <si>
    <t>'1,79,80'</t>
  </si>
  <si>
    <t>Feminist Knowledge : Critique and Construct</t>
  </si>
  <si>
    <t>305.42/01</t>
  </si>
  <si>
    <t>HQ1154 .F44565 2012</t>
  </si>
  <si>
    <t>'1,2,3,5,4,24,25,26,27,28,29,30,31,32,33,280,279,281,216,217,218,219,220,221'</t>
  </si>
  <si>
    <t>Mozilla/5.0 (Linux; Android 10; MRX-AL09) AppleWebKit/537.36 (KHTML, like Gecko) Chrome/91.0.4472.134 Safari/537.36</t>
  </si>
  <si>
    <t>Climate Change, the Indoor Environment, and Health</t>
  </si>
  <si>
    <t>Mozilla/5.0 (iPhone; CPU iPhone OS 15_1 like Mac OS X) AppleWebKit/605.1.15 (KHTML, like Gecko) CriOS/98.0.4758.85 Mobile/15E148 Safari/604.1</t>
  </si>
  <si>
    <t>'1,1,70,1,1,1,70'</t>
  </si>
  <si>
    <t>Mozilla/5.0 (iPhone; CPU iPhone OS 15_1 like Mac OS X) AppleWebKit/605.1.15 (KHTML, like Gecko) Version/15.1 Mobile/15E148 Safari/604.1</t>
  </si>
  <si>
    <t>'70,70,71,72,73'</t>
  </si>
  <si>
    <t>'1,1,74,73,72,71,70,70'</t>
  </si>
  <si>
    <t>'1,1,2,70,71,72,73,74,75,76,77,79,82,83,78,,70,70,71'</t>
  </si>
  <si>
    <t>'1,1,1,70,69,71,72,74,,1,1,70,69,71'</t>
  </si>
  <si>
    <t>'1,1,4,5,6,7,14,16,70,72,74,70,70,70,70,70,,1,1,70,70,70,70,70,70,70,70'</t>
  </si>
  <si>
    <t>'1,3,2,5,5,6,7,70,71,71,72,74,70,71,71,72,70,72,73,72,73,73'</t>
  </si>
  <si>
    <t>'1,1,70,72,69,74,71,68,66,,1,1,70,71,72,73'</t>
  </si>
  <si>
    <t>'1,1,2,70,72,73,74,70,70,70,70,70,70,71,72,73,74,70,70,71,72,73,73'</t>
  </si>
  <si>
    <t>What Is Feminism? : An Introduction to Feminist Theory</t>
  </si>
  <si>
    <t>HQ1190.B39</t>
  </si>
  <si>
    <t>'1,2,8,7,6,5,,1,3,4,5,6,5,5,7,8,11,130,190,186,187,138,137,10,12,13,14,16'</t>
  </si>
  <si>
    <t>Mozilla/5.0 (Macintosh; Intel Mac OS X 10_13_6) AppleWebKit/537.36 (KHTML, like Gecko) Chrome/97.0.4692.99 Safari/537.36</t>
  </si>
  <si>
    <t>Alzheimer : A Journey Together</t>
  </si>
  <si>
    <t>Psychology; Health; Social Science; Medicine</t>
  </si>
  <si>
    <t>362.196/831/0092 B</t>
  </si>
  <si>
    <t>RC523.2.C3713 2006</t>
  </si>
  <si>
    <t>'1,9,13'</t>
  </si>
  <si>
    <t>'125,126,127,128,129,130,131,132,133,134,135,136,137,138,139,140,141,142,143,144,145,146,147,148,149,150,151,152,153,154,155,156,157,158,159,160,161,162,163,164,165,166,167,168,169,170,171,172,173,174,175,176,177,178,179,180,181,182,183,184,185,186,187,188,189,190,191,192,193,194'</t>
  </si>
  <si>
    <t>Globalized Religion and Sexual Identity : Contexts, Contestations, Voices</t>
  </si>
  <si>
    <t>BL65.S4 -- .G563 2014eb</t>
  </si>
  <si>
    <t>'1,2,3,4,27,121,29,28,25,24,23,22,21,20,1,,18,17,16,15,13,14'</t>
  </si>
  <si>
    <t>Pioneers of Islamic Scholarship</t>
  </si>
  <si>
    <t>BP130.8 -- .S25 2013eb</t>
  </si>
  <si>
    <t>'1,2,3,4,5,9,10,11,8,7,6'</t>
  </si>
  <si>
    <t>'1,62,42,108,63,64,61,60,59,65'</t>
  </si>
  <si>
    <t>Condensed Matter Theories, Volume 22 - Proceedings Of The International Workshop : Proceedings of the International Workshop</t>
  </si>
  <si>
    <t>QC173.454.I58eb vol.</t>
  </si>
  <si>
    <t>'1,454,2'</t>
  </si>
  <si>
    <t>Preparing the Mothers of Tomorrow : Education and Islam in Mandate Palestine</t>
  </si>
  <si>
    <t>LC2410</t>
  </si>
  <si>
    <t>'1,3,5,5,6,7,8,9,10,11,12,13,14,15,16,17,18,19,20,21,22,23,24,25,26,27,32'</t>
  </si>
  <si>
    <t>'1,2,7,454,451,449,448,447,450,452,453'</t>
  </si>
  <si>
    <t>'1,2,3,6,6,6,7,18,19,20,21,22,24,25,26,27,28,28,28,27,29,30,30,30,31,32,33,34,18,19,21,22,82,83,84,82'</t>
  </si>
  <si>
    <t>'82,83,84,85,86,87,88,89,90,91,92,93,94,95,96,97,98,99,100,101,102,103,104,105,106,107,108,109,110,111'</t>
  </si>
  <si>
    <t>Situating Islam : The Past and Future of an Academic Discipline</t>
  </si>
  <si>
    <t>BP42 -- .H84 2007eb</t>
  </si>
  <si>
    <t>'1,,1,1,8,9'</t>
  </si>
  <si>
    <t>Logic with Trees : An Introduction to Symbolic Logic</t>
  </si>
  <si>
    <t>BC135.H68</t>
  </si>
  <si>
    <t>'1,1,2,12,11,13,14,15,16,16,71,72,73,74,75'</t>
  </si>
  <si>
    <t>Einführung in Die Logik</t>
  </si>
  <si>
    <t>BC114 -- .B43 2014eb</t>
  </si>
  <si>
    <t>Utilitarianism and the New Liberalism</t>
  </si>
  <si>
    <t>JC574 -- .W43 2007eb</t>
  </si>
  <si>
    <t>'1,15,19,20,21,22'</t>
  </si>
  <si>
    <t>Mozilla/5.0 (Windows NT 10.0; Win64; x64) AppleWebKit/537.36 (KHTML, like Gecko) Chrome/98.0.4758.80 Safari/537.36 Edg/98.0.1108.43</t>
  </si>
  <si>
    <t>Hydrogen Energy : Economic and Social Challenges</t>
  </si>
  <si>
    <t>TP359.H8 -- H858 2010eb</t>
  </si>
  <si>
    <t>'1,9,8'</t>
  </si>
  <si>
    <t>Liberalism, Neoliberalism, Social Democracy : Thin Communitarian Perspectives on Political Philosophy and Education</t>
  </si>
  <si>
    <t>Political Science; Education</t>
  </si>
  <si>
    <t>JC574 -- .L5196 2009eb</t>
  </si>
  <si>
    <t>'1,3,16'</t>
  </si>
  <si>
    <t>'1,1,1,37,52,53,54,55,57'</t>
  </si>
  <si>
    <t>Seven Magnificent</t>
  </si>
  <si>
    <t>658.4;658.4013</t>
  </si>
  <si>
    <t>TS156 -- .N36 2005eb</t>
  </si>
  <si>
    <t>'1,1,1,37,38,39,40,41,42,44,45,46,112,113,114,115,116,117,119,118,120,147,149,148,150,154,155,156,157,158,159,160,161,162,145'</t>
  </si>
  <si>
    <t>SPC for Right-Brain Thinkers : Process Control for Non-Statisticians</t>
  </si>
  <si>
    <t>658.5/62—dc22</t>
  </si>
  <si>
    <t>TS156.8.R53 2005</t>
  </si>
  <si>
    <t>'1,1,1,2,4,7,8,59,60,58,61,62,63,64,65,66,102,103,107,108,109,109,59,60,61,62,56,1,2,3,4'</t>
  </si>
  <si>
    <t>'1,4,3,5,6,7,8,81,82'</t>
  </si>
  <si>
    <t>'12,3,5,29,30,11,9,10'</t>
  </si>
  <si>
    <t>'11,12,13,14,15,16,17,18,19,20,21,22,23,24,25,26,27,28'</t>
  </si>
  <si>
    <t>'1,4,8'</t>
  </si>
  <si>
    <t>Karma and Rebirth : The Karmic Law of Cause and Effect</t>
  </si>
  <si>
    <t>BL2015.K3 -- H86 1994eb</t>
  </si>
  <si>
    <t>A Case for Necessitarianism</t>
  </si>
  <si>
    <t>BD417 .K376 2022</t>
  </si>
  <si>
    <t>'1,49,50,51,52,53,54,53,7,15,41,52,61,67,74,73,157,158,159,160'</t>
  </si>
  <si>
    <t>Intercultural Communication</t>
  </si>
  <si>
    <t>HM1211.I584 2017eb</t>
  </si>
  <si>
    <t>'1,2,151,191,192,193,194,195,196,197,198,199,341,449,469,470,471,472'</t>
  </si>
  <si>
    <t>'471'</t>
  </si>
  <si>
    <t>Poetry and Language Writing : Objective and Surreal</t>
  </si>
  <si>
    <t>'1,15,16'</t>
  </si>
  <si>
    <t>'1,1,48,47,49,49,123,124,124,128,179,45,46,47'</t>
  </si>
  <si>
    <t>El Principio de Pareto : Optimice Su Negocio con la Regla Del 80/20</t>
  </si>
  <si>
    <t>Lemaitre Publishing</t>
  </si>
  <si>
    <t>HD57 -- .D454 2016eb</t>
  </si>
  <si>
    <t>'1,1,3,5,7,13,13,13,1,,1,2,3,3,4,5,6,7,7,6,7,9'</t>
  </si>
  <si>
    <t>Raman Spectroscopy, Fullerenes and Nanotechnology</t>
  </si>
  <si>
    <t>Engineering; Engineering: General; Science: Chemistry; Science</t>
  </si>
  <si>
    <t>QD96.R34 -- A44 2010eb</t>
  </si>
  <si>
    <t>'1,16,15,124,176,175,177,178,179,180,181,182,183'</t>
  </si>
  <si>
    <t>The Extended Mind : The Emergence of Language, the Human Mind, and Culture</t>
  </si>
  <si>
    <t>University of Toronto Press</t>
  </si>
  <si>
    <t>P107.L643 2007</t>
  </si>
  <si>
    <t>'1,246,247,248,249,250'</t>
  </si>
  <si>
    <t>Days of Revolution : Political Unrest in an Iranian Village</t>
  </si>
  <si>
    <t>DS318</t>
  </si>
  <si>
    <t>'12,13,1,3,4,5,6,7,9,10,11,8'</t>
  </si>
  <si>
    <t>Indo-Iranian Studies (RLE Iran B) : Being Commemorative Papers Contributed by European, American and Indian Scholars</t>
  </si>
  <si>
    <t>PK5001 -- .A2 2011eb</t>
  </si>
  <si>
    <t>'40,41,42,43,44,45'</t>
  </si>
  <si>
    <t>Nanotechnology : Health and Environmental Risks, Second Edition</t>
  </si>
  <si>
    <t>T174.7 .S52 2015</t>
  </si>
  <si>
    <t>'1,7,6,21,22,23,24,27,30,31,32,33,35,36,37,38,39'</t>
  </si>
  <si>
    <t>Changing Values, Persisting Cultures : Case Studies in Value Change</t>
  </si>
  <si>
    <t>303.3/7209</t>
  </si>
  <si>
    <t>HM681.H35 2008</t>
  </si>
  <si>
    <t>'1,25,26,27,29'</t>
  </si>
  <si>
    <t>Companies and Environmental Impact: Identification and Visualization of Key Ecological Indicators : Identification and Visualization of Key Ecological Indicators</t>
  </si>
  <si>
    <t>Diplomica Verlag</t>
  </si>
  <si>
    <t>Environmental Studies; Business/Management</t>
  </si>
  <si>
    <t>HD30.255 -- .K58 2014eb</t>
  </si>
  <si>
    <t>Mozilla/5.0 (Macintosh; Intel Mac OS X 10_15_7) AppleWebKit/537.36 (KHTML, like Gecko) Chrome/96.0.4664.55 Safari/537.36</t>
  </si>
  <si>
    <t>Innovation and Entrepreneurship</t>
  </si>
  <si>
    <t>Wiley Textbooks</t>
  </si>
  <si>
    <t>HD53.B477 2015</t>
  </si>
  <si>
    <t>'1,2,3,4,5,6,14,13,13,14,30,31,15,16,17,18,19,20,21,22,23,24,25,26,27,28,29,32,33,34,35,36,37,38,39,40,41,42,43,44,45'</t>
  </si>
  <si>
    <t>Being Human in Islam : The Impact of the Evolutionary Worldview</t>
  </si>
  <si>
    <t>297.2/25</t>
  </si>
  <si>
    <t>B745.E8 -- H68 2011eb</t>
  </si>
  <si>
    <t>Chemical Analysis in the Laboratory : A Basic Guide</t>
  </si>
  <si>
    <t>QD75.22 -- .M84 2002eb</t>
  </si>
  <si>
    <t>'1,2,3,4,,1,2,3,4,5,6,7,8,9,10,13,14,15,16'</t>
  </si>
  <si>
    <t>'1,214,44,43,46'</t>
  </si>
  <si>
    <t>'1,28,27,29,30'</t>
  </si>
  <si>
    <t>'1,39,61,38,14,13'</t>
  </si>
  <si>
    <t>Renaissance Meteorology : Pomponazzi to Descartes</t>
  </si>
  <si>
    <t>Science: Geology; Science; Science: Physics</t>
  </si>
  <si>
    <t>551.5094/09032</t>
  </si>
  <si>
    <t>QC855.M37 2011eb</t>
  </si>
  <si>
    <t>'1,1,70,71,73,74,72,70'</t>
  </si>
  <si>
    <t>A History of Organ Transplantation : Ancient Legends to Modern Practice</t>
  </si>
  <si>
    <t>362.1979/5</t>
  </si>
  <si>
    <t>RD120</t>
  </si>
  <si>
    <t>'1,434,435'</t>
  </si>
  <si>
    <t>'1,2,4,14,15,16,17,109,110,111,194,195,22'</t>
  </si>
  <si>
    <t>Engineering Materials Science</t>
  </si>
  <si>
    <t>TA403 -- .O37 1995eb</t>
  </si>
  <si>
    <t>'208,209,211,213,215,,1'</t>
  </si>
  <si>
    <t>Smoking : Health Effects, Psychological Aspects and Cessation</t>
  </si>
  <si>
    <t>RA1242.T6 -- S613 2012eb</t>
  </si>
  <si>
    <t>'1,1,1,1,,1,1,2,3,4,5,6,7,9,8,12,13,13,13'</t>
  </si>
  <si>
    <t>Mozilla/5.0 (Macintosh; Intel Mac OS X 10_15_7) AppleWebKit/537.36 (KHTML, like Gecko) Chrome/97.0.4692.71 Safari/537.36</t>
  </si>
  <si>
    <t>Shape Classification and Analysis : Theory and Practice, Second Edition</t>
  </si>
  <si>
    <t>TA1637.C67 2009</t>
  </si>
  <si>
    <t>'1,3,4,5,6,7,8,10,11,12,13,14,16,17,18,346,345,348'</t>
  </si>
  <si>
    <t>Things Fall Apart? : The Political Ecology of Forest Governance in Southern Nigeria</t>
  </si>
  <si>
    <t>Environmental Studies; Agriculture; Economics</t>
  </si>
  <si>
    <t>SD242.N5V66 2013</t>
  </si>
  <si>
    <t>'1,1,2,4,5,6,7,8,9,11,12'</t>
  </si>
  <si>
    <t>Agricultural Technologies and Tropical Deforestation</t>
  </si>
  <si>
    <t>CABI</t>
  </si>
  <si>
    <t>333.75/137/0913;634.92</t>
  </si>
  <si>
    <t>SD418.3.T76 -- A47 2001eb</t>
  </si>
  <si>
    <t>'1,1,2,4,5,6,7,9'</t>
  </si>
  <si>
    <t>Causes of Deforestation in the Brazilian Amazon</t>
  </si>
  <si>
    <t>Economics; Agriculture; Environmental Studies</t>
  </si>
  <si>
    <t>SD418.3.B6 -- M27 2004eb</t>
  </si>
  <si>
    <t>'1,1,3,4,5,6,7,9,10,11,12,14,32,33'</t>
  </si>
  <si>
    <t>'1,4,7,6,8,11,12,13,14,14,14'</t>
  </si>
  <si>
    <t>Infrared Spectroscopy : Fundamentals and Applications</t>
  </si>
  <si>
    <t>543/.57</t>
  </si>
  <si>
    <t>QD96.I5S76 2004</t>
  </si>
  <si>
    <t>'1,2,4,6,7,8,9,10,11,12,13'</t>
  </si>
  <si>
    <t>'1,3,4,5,6,7,8,9,11,13,12,14,14,14,14,13'</t>
  </si>
  <si>
    <t>'1,3,2,4,5,6,7,9,10,11,8,1,1,2,4,6,8,7,9,10,12,13,14,14,14,13,15,12,13,13'</t>
  </si>
  <si>
    <t>Air Pollution : Health and Environmental Impacts</t>
  </si>
  <si>
    <t>Environmental Studies; Social Science; Health</t>
  </si>
  <si>
    <t>363.739/2</t>
  </si>
  <si>
    <t>RA576 -- .A49 2010eb</t>
  </si>
  <si>
    <t>'1,2,6,50,51,50,50,48,49,47,45,5,,1'</t>
  </si>
  <si>
    <t>Mozilla/5.0 (Windows NT 10.0; WOW64) AppleWebKit/537.36 (KHTML, like Gecko) Chrome/98.0.4758.82 Safari/537.36</t>
  </si>
  <si>
    <t>Letting Go : The Pathway of Surrender</t>
  </si>
  <si>
    <t>Hay House</t>
  </si>
  <si>
    <t>BF161</t>
  </si>
  <si>
    <t>Understanding the Industrial Revolution</t>
  </si>
  <si>
    <t>330.941/08</t>
  </si>
  <si>
    <t>HD2321 -- .M575 2000eb</t>
  </si>
  <si>
    <t>'1,2,3,6,20'</t>
  </si>
  <si>
    <t>Particle Swarm Optimisation : Classical and Quantum Perspectives</t>
  </si>
  <si>
    <t>531/.16</t>
  </si>
  <si>
    <t>QC20.7.M27 -- S86 2012eb</t>
  </si>
  <si>
    <t>Metaheuristic and Evolutionary Computation: Algorithms and Applications</t>
  </si>
  <si>
    <t>Science; Mathematics</t>
  </si>
  <si>
    <t>'171,172,544,830,828,825,823,821,820,819,817,811,805,803,799,454,15,16,17,19,20,22,23,25,26,28,29,30,829,809,760,759,758,757'</t>
  </si>
  <si>
    <t>'47,49,52,54,56,59,60,61,62,63,64,65,67,68,71,73,74,77,79,82,84,86,88,90,81,85,87,1,2,9,10,11,12,13,14'</t>
  </si>
  <si>
    <t>Nature-Inspired Optimization Algorithms</t>
  </si>
  <si>
    <t>Mathematics; Science</t>
  </si>
  <si>
    <t>Q335 -- .Y36 2014eb</t>
  </si>
  <si>
    <t>'1,3,3,3,3,26,22'</t>
  </si>
  <si>
    <t>Multi-Objective Optimization Using Artificial Intelligence Techniques</t>
  </si>
  <si>
    <t>'36,35,34,37,38,33,,1,3,30,31,32,33,34,35,36,37'</t>
  </si>
  <si>
    <t>Particle Swarm Optimization: Theory, Techniques and Applications : Theory, Techniques and Applications</t>
  </si>
  <si>
    <t>Q337.3 -- .P37 2011eb</t>
  </si>
  <si>
    <t>'15,16,18,19,21,23,25,28,27,30,31,32,33,35,38,37,39,40,41,42,43'</t>
  </si>
  <si>
    <t>'1,20,20,7,21,22,23,27,29,34,35,36,37,38,,1'</t>
  </si>
  <si>
    <t>'1,5,119,168,169,170'</t>
  </si>
  <si>
    <t>'1,2,168,1,2,6,5,120,119,121,127,128,129,143,144,145,146,148,149,150,151,161,169,168'</t>
  </si>
  <si>
    <t>'1,2,14,40,14,10,13,15,16,17,18,19,20,21,22,23,24,25'</t>
  </si>
  <si>
    <t>'1,2,2,2,14,15,13,40'</t>
  </si>
  <si>
    <t>Lithium Batteries : Advanced Technologies and Applications</t>
  </si>
  <si>
    <t>TK2945.L58.L553 2013</t>
  </si>
  <si>
    <t>'1,4,58,59,60,61,57,56,55,55,56,57,58,59,60,61,62,63,64,65,66,66,67,68,69,70,71,72,72,73,73,74,75,76,77,78,79,80,81,91,92,92,,1,1,1,15,16,41,42,45,46,47,48,49,47,48,49,50'</t>
  </si>
  <si>
    <t>'1,4,4,4,2,5,6,7,8,9,10,11,14,14'</t>
  </si>
  <si>
    <t>'1,2,3,4,225,226,,226,227,,1,16,17,18,15'</t>
  </si>
  <si>
    <t>'225,226,227,228,229,230,231,232,233,234,235,236,237,238,239,240,241,242,243,244,245,246,,17,18,19,20,21,22,23,24,25,16,17,18,19,20,21,22,23,24,25,26,27,28,29,30,31,32,33,34,35,36,37,38,39,40,41,42,43,44,45,46,47,48,49,50,51,52,53,54,55'</t>
  </si>
  <si>
    <t>Islam, Civil Society and Social Work : Muslim Voluntary Welfare Associations in Jordan between Patronage and Empowerment</t>
  </si>
  <si>
    <t>361.7/5095695</t>
  </si>
  <si>
    <t>BP170.25 -- .H39 2008eb</t>
  </si>
  <si>
    <t>'6,,6'</t>
  </si>
  <si>
    <t>Neuroanatomy : Draw It to Know It</t>
  </si>
  <si>
    <t>Science; Science: Anatomy/Physiology; Medicine</t>
  </si>
  <si>
    <t>611.8;616.8</t>
  </si>
  <si>
    <t>QM451 -- .F57 2009eb</t>
  </si>
  <si>
    <t>'359,360,361,362,363,364'</t>
  </si>
  <si>
    <t>Feminist Insiders-Outsiders : Muslim Women in Nigeria and the Contemporary Feminist Movement</t>
  </si>
  <si>
    <t>HQ1815.5 -- .U84 2009eb</t>
  </si>
  <si>
    <t>'1,5,71,70,70,70,71,71,72,73,74,75,76,77,78,79,80,81,82,83,84'</t>
  </si>
  <si>
    <t>Peace-Building by, Between, and Beyond Muslims and Evangelical Christians</t>
  </si>
  <si>
    <t>261.2/7</t>
  </si>
  <si>
    <t>BP172.P345 2009</t>
  </si>
  <si>
    <t>Islam and Peacebuilding : Gulen Movement Initiatives</t>
  </si>
  <si>
    <t>Blue Dome, Inc.</t>
  </si>
  <si>
    <t>BP190.5.P34 I842 20</t>
  </si>
  <si>
    <t>'1,4,5,6,7,8,9,10,11,12'</t>
  </si>
  <si>
    <t>Islam in the Digital Age : E-Jihad, Online Fatwas and Cyber Islamic Environments</t>
  </si>
  <si>
    <t>297/.0285</t>
  </si>
  <si>
    <t>BP40.5 -- .B86 2003eb</t>
  </si>
  <si>
    <t>'1,2,14,15,16,17,18,19,20,21,22,23,24,25,25,25,24,26,27,28,30,31,30,31,32,33,35,36,37,38,39,40,29,27,26,25,24,23,28,34,33,17,32,32,42,30,28,28,27,26,29,30,31,32,33,34,35,36,37,38'</t>
  </si>
  <si>
    <t>Mozilla/5.0 (Windows NT 10.0; Win64; x64) AppleWebKit/537.36 (KHTML, like Gecko) Chrome/96.0.4664.110 Safari/537.36 OPR/82.0.4227.50</t>
  </si>
  <si>
    <t>Living Streets : Strategies for Crafting Public Space</t>
  </si>
  <si>
    <t>HT165.5.B35 2012</t>
  </si>
  <si>
    <t>'1,2,,1,3,4,227,227,77,42,159,161,228,230,232,232,228,159,170,169,168,167,166,165,164,162,161,160'</t>
  </si>
  <si>
    <t>Advanced Calculus : Differential Calculus and Stokes' Theorem</t>
  </si>
  <si>
    <t>515/.33</t>
  </si>
  <si>
    <t>QA304.B866 2016</t>
  </si>
  <si>
    <t>'1,7,13,11,198,199,200'</t>
  </si>
  <si>
    <t>Ethical Issues in Pediatric Organ Transplantation</t>
  </si>
  <si>
    <t>Medicine; Philosophy</t>
  </si>
  <si>
    <t>BJ1-1725</t>
  </si>
  <si>
    <t>'213,214,215,216,217,218,219,220,221,222,223,224,225,226,227,228,229,230,231'</t>
  </si>
  <si>
    <t>Water Chemistry : An Introduction to the Chemistry of Natural and Engineered Aquatic Systems</t>
  </si>
  <si>
    <t>GB855 -- .B744 2011eb</t>
  </si>
  <si>
    <t>Global Energy Security</t>
  </si>
  <si>
    <t>Economics; Business/Management; Environmental Studies</t>
  </si>
  <si>
    <t>HD9502.A2 -- G5465 2009eb</t>
  </si>
  <si>
    <t>Mozilla/5.0 (iPhone; CPU iPhone OS 14_3 like Mac OS X) AppleWebKit/605.1.15 (KHTML, like Gecko) Version/14.0.2 Mobile/15E148 Safari/604.1</t>
  </si>
  <si>
    <t>'1,1,2,3,3'</t>
  </si>
  <si>
    <t>Mozilla/5.0 (Macintosh; Intel Mac OS X 10_15_6) AppleWebKit/605.1.15 (KHTML, like Gecko) Version/15.1 Safari/605.1.15</t>
  </si>
  <si>
    <t>Management Accounting</t>
  </si>
  <si>
    <t>HF5657.4.G388 2006</t>
  </si>
  <si>
    <t>'90'</t>
  </si>
  <si>
    <t>'1,2,2,6,28,29,,1,1,1,1,28,29,30,31,33,34,36,37,39,42,43,41,48,49,102,67,74,99,100,101,103,104,105,107,108,109,110,111,112,113,114,116,117,118,119,132,133,167,168'</t>
  </si>
  <si>
    <t>'29,42,99'</t>
  </si>
  <si>
    <t>Culture</t>
  </si>
  <si>
    <t>HM621$b.J43 2005</t>
  </si>
  <si>
    <t>'1,1,6,7,28,28,32,28,25,28,28'</t>
  </si>
  <si>
    <t>Introduction to Civil Engineering Systems : A Systems Perspective to the Development of Civil Engineering Facilities</t>
  </si>
  <si>
    <t>TA145.L335 2014eb</t>
  </si>
  <si>
    <t>Community, Culture, and Economic Development, Second Edition : Continuity and Change in Two Small Southern Towns</t>
  </si>
  <si>
    <t>HN79.M32.S67 2013eb</t>
  </si>
  <si>
    <t>'1,2,3,4,5,6,6,6,5,7,8,10,11,12,13,14,15,15,15,15,15,16,17,18,19,20'</t>
  </si>
  <si>
    <t>'1,108,73,108,108,108,108,108'</t>
  </si>
  <si>
    <t>'1,2,3,4,5,6,7,8,7'</t>
  </si>
  <si>
    <t>'1,,108,109,110'</t>
  </si>
  <si>
    <t>Microgrids : Architectures and Control</t>
  </si>
  <si>
    <t>TK3105.M53 2014eb</t>
  </si>
  <si>
    <t>'1,1,,,3'</t>
  </si>
  <si>
    <t>'1,10,11,11,11'</t>
  </si>
  <si>
    <t>Feminism : A Very Short Introduction</t>
  </si>
  <si>
    <t>HQ1206 -- .W24 2005eb</t>
  </si>
  <si>
    <t>Basic Concepts of Analytical Chemistry</t>
  </si>
  <si>
    <t>New Academic Science</t>
  </si>
  <si>
    <t>QD75.7.K46 2012</t>
  </si>
  <si>
    <t>'1,1,12,13,14,16,18,19,633,28,28,,1,1,1,2,3,6,10,11,16,20,20,21,22,26,27,29,28,29,29,28,29,29,29,29,29,29,29,29,,,1,1,2,3,5,6,9,9,10,11,14,15,17,20,22,24,27,28,29,29,29,30,30,30,29,30,30,30,30,30,30,31,31,31,31,31,31,31,31,31,31,31,31,31'</t>
  </si>
  <si>
    <t>'1,7,9,8,12,14,15,16,17,19,20,21,22,24,25,27,28,28,28,,28,1,5,7,8,10,11,13,13,13,15,14,23,23,25,27,28'</t>
  </si>
  <si>
    <t>'1,1,70,72,71,74,75,76,77'</t>
  </si>
  <si>
    <t>'1,1,70,69,71,73'</t>
  </si>
  <si>
    <t>Mozilla/5.0 (Windows NT 10.0; Win64; x64) AppleWebKit/537.36 (KHTML, like Gecko) Chrome/97.0.4692.99 Safari/537.36 Edg/97.0.1072.76</t>
  </si>
  <si>
    <t>'1,1,70,71,72,73,74,69'</t>
  </si>
  <si>
    <t>'1,1,6,5,70,69,71,72,73,74'</t>
  </si>
  <si>
    <t>'1,1,70,72,74,73,71'</t>
  </si>
  <si>
    <t>History Matters : Patriarchy and the Challenge of Feminism</t>
  </si>
  <si>
    <t>'1,2,3,10,12,15,11,13,14,16,17,18,15,15,8,10,11,12,13,14,16,17,18'</t>
  </si>
  <si>
    <t>'6,6,6,6,7,28,28,28'</t>
  </si>
  <si>
    <t>'1,4,,4'</t>
  </si>
  <si>
    <t>'1,2,3,4,5,7,14,16,17,15,13,15,15,14,3,16,17'</t>
  </si>
  <si>
    <t>'277,278,279,280,281,282,283,284,285,286,287,288,289,290,291,292,293,294'</t>
  </si>
  <si>
    <t>'1,2,3,4,5,,6,7,,8,9,,10,11,12,13,14,15,16,17,18,19,20,21,22,,10,11,12,13,14,15,16,17,18,19,20,21,22,,23,24,25,26,27,28,,29,,30,31,32,33,34,35,36,37,38,39,40,41,42,43,44,45,,46,47,48,49,50,51,52,53,54,55,56,57,58,59,60,61,62,63,64,65,66,67,68,,69,70,71,72,73,74,75,76,77,78,79,80,81,82,83,84,85,,86,,87,88,89,90,91,92,93,94,95,96,97,98,99,100,101,102,103,104,105,106'</t>
  </si>
  <si>
    <t>Imaging in Neurodegenerative Disorders</t>
  </si>
  <si>
    <t>RC524 .S384 2014</t>
  </si>
  <si>
    <t>'1,1,24,25'</t>
  </si>
  <si>
    <t>Mozilla/5.0 (iPhone; CPU iPhone OS 15_3 like Mac OS X) AppleWebKit/605.1.15 (KHTML, like Gecko) Version/15.3 Mobile/15E148 Safari/604.1</t>
  </si>
  <si>
    <t>'1,2,5,127,126,125,124,122,121,101,104'</t>
  </si>
  <si>
    <t>Culture : A Problem That Cannot Be Solved</t>
  </si>
  <si>
    <t>University of Wisconsin Press</t>
  </si>
  <si>
    <t>GN357</t>
  </si>
  <si>
    <t>'1,2,3,4,5,6,7,7,7,6,8,9,10,11,16,26,27,27,27,16,26,26,27,28,29,30,30,30,31,32,33,34'</t>
  </si>
  <si>
    <t>'1,6,76,77,78,79,80,81,82,83,84,85,86,87,88,89,90,2,247,246,244,243,241,238,237,233,222,219'</t>
  </si>
  <si>
    <t>'1,2,3,5,4,7,6,8,9,10,11,12,13,14,15,16,17,18,19,20,21,22,23,24,25,26,27,28,29,30'</t>
  </si>
  <si>
    <t>'1,1,70,71,72,1,1,72,74,75,76,77,81,82,70,71,73'</t>
  </si>
  <si>
    <t>'1,2,3,4,5,7,8,11,112,101,99,98,95,94,92,91,90,10,12,13,14,15,15'</t>
  </si>
  <si>
    <t>'1,1,1,20,21,22,23,24,25,26,27,28,2,3,4,5,6,7'</t>
  </si>
  <si>
    <t>'1,9,10,11,12,13,14,15'</t>
  </si>
  <si>
    <t>'1,122,121,123,124,125,126,127,128,129,130,144,143,28,27,29,30,31,32,33,34,35,36,37,38,39,40,41,42'</t>
  </si>
  <si>
    <t>'124'</t>
  </si>
  <si>
    <t>'1,2,3,4,5,6,7,8,9,10,12,13,14,15,21,22,23,24'</t>
  </si>
  <si>
    <t>'1,2,5,8,10,12,23,53'</t>
  </si>
  <si>
    <t>'168,169,170,171,172,173,174,175,176,177,178,179,180,181,182,183,184'</t>
  </si>
  <si>
    <t>'88,89,90,91,92,93,94,95,96,97,98,99,100,101,102,103,104,105,106,107,108,109,110,111,112,113,114,115,116,117'</t>
  </si>
  <si>
    <t>Fatigue Testing and Analysis : Theory and Practice</t>
  </si>
  <si>
    <t>620.1/126</t>
  </si>
  <si>
    <t>TA418.38$b.F576 2005</t>
  </si>
  <si>
    <t>'1,5,5,252,253,254,255,256,257,258,259,260,261,262,263,264,265,266,268,269,270,271'</t>
  </si>
  <si>
    <t>'1,2,1'</t>
  </si>
  <si>
    <t>Mozilla/5.0 (Linux; Android 11; HD1913) AppleWebKit/537.36 (KHTML, like Gecko) Chrome/97.0.4692.98 Mobile Safari/537.36</t>
  </si>
  <si>
    <t>'1,5,119,120,122,124,125,168,169,170,171,173,175,175'</t>
  </si>
  <si>
    <t>Mozilla/5.0 (Macintosh; Intel Mac OS X 10_14_6) AppleWebKit/605.1.15 (KHTML, like Gecko) Version/14.0.3 Safari/605.1.15</t>
  </si>
  <si>
    <t>'1,1,1,1,1,1'</t>
  </si>
  <si>
    <t>'1,2,3,4,4,5,6,9,24'</t>
  </si>
  <si>
    <t>Utilitarianism</t>
  </si>
  <si>
    <t>Floating Press, The</t>
  </si>
  <si>
    <t>171/.5</t>
  </si>
  <si>
    <t>BJ1012 -- .M555 1879eb</t>
  </si>
  <si>
    <t>Utilitarianism: a Guide for the Perplexed : A Guide for the Perplexed</t>
  </si>
  <si>
    <t>B843.B95 2010</t>
  </si>
  <si>
    <t>'1,3,4,9'</t>
  </si>
  <si>
    <t>Bank Fraud : Using Technology to Combat Losses</t>
  </si>
  <si>
    <t>332.1068/4</t>
  </si>
  <si>
    <t>HG1616.S37 -- .S837 2014eb</t>
  </si>
  <si>
    <t>'1,2,4,6,7,9,10,11,13,14,12'</t>
  </si>
  <si>
    <t>'1,2,4,168,170,170,168,169,185,186'</t>
  </si>
  <si>
    <t>'1,2,3,4,5,6,7,8,10,11,14,12,13,15,17,16,18,20,21,22,24,26,27,28,29'</t>
  </si>
  <si>
    <t>Dracula</t>
  </si>
  <si>
    <t>Lerner Publishing Group</t>
  </si>
  <si>
    <t>823/.8</t>
  </si>
  <si>
    <t>PR6037.T617 .S765 2015</t>
  </si>
  <si>
    <t>'1,73'</t>
  </si>
  <si>
    <t>Mozilla/5.0 (Windows NT 10.0; Win64; x64) AppleWebKit/537.36 (KHTML, like Gecko) Chrome/96.0.4664.110 Safari/537.36</t>
  </si>
  <si>
    <t>'1,1,2,,23,24,24,24,25,70,25,26,24,,1,1'</t>
  </si>
  <si>
    <t>'1,2,3,4,5,6,7,8,9,10,,,11,12,13,14,15,16,17,18,19,20,21,22,23,24,25'</t>
  </si>
  <si>
    <t>'1,1,,1,1,150,151,152,152,153,154,155,156,157,158,160,161,162,163,164,165,166,167,168,169,170,171,172,173,174,175,176,177,178,179,180,181,182,183,184,185,186,187,188,189,190,191,192,193,194,195,196,14,15,16,17,18,19,20,21,22,23,24,25,26,27,28,29,30,31'</t>
  </si>
  <si>
    <t>'24,24,25,26,27,28,29,30,32,33,34,34,33,35,35,36,37,38,39,39,38,38,38,39,40,41,42,43,44,45,42,42,42,42,42,42,42'</t>
  </si>
  <si>
    <t>'24,41,40,37,36,35,34,33,32,30,29'</t>
  </si>
  <si>
    <t>'29'</t>
  </si>
  <si>
    <t>Solid State Chemistry</t>
  </si>
  <si>
    <t>QD478.C53 2012</t>
  </si>
  <si>
    <t>'16,17,18,19,20,21,22,23,24,25,26,27,28,29,30,31,32,33,34,35,36,37,38,,39,40,41,42,43,44,45,46,47,48,49,50,51,52,53,54,55,56,,57,58,59,60,61,62,63,64,65,66,67,68,69,70,71,,182,183,184,185,186,187,188,189,190,191,192,193,194,195,196,197,198,199,200,201,202,203,204,205,206,207'</t>
  </si>
  <si>
    <t>'1,16,18,19,20,21,22,23,24,25,26,27,28,29,31,30,32,33,34,35,36,37,38,39,40,41,42,43,44,45,47,48,49,51,52,53,54,55,56,17'</t>
  </si>
  <si>
    <t>'286,287,250,251,252,253,24,24,24,24,23,,24,,24,25,24,24,24,25,26,27,27,27,,27,27,28'</t>
  </si>
  <si>
    <t>'1,2,3,5,16,17,18'</t>
  </si>
  <si>
    <t>International Construction Contract Law</t>
  </si>
  <si>
    <t>343.07/8624</t>
  </si>
  <si>
    <t>K7298 -- .K54 2015eb</t>
  </si>
  <si>
    <t>'8,,1,2,2,2'</t>
  </si>
  <si>
    <t>Marriage and Slavery in Early Islam</t>
  </si>
  <si>
    <t>297.5/77</t>
  </si>
  <si>
    <t>KBP542</t>
  </si>
  <si>
    <t>Mozilla/5.0 (Macintosh; Intel Mac OS X 10_15_7) AppleWebKit/537.36 (KHTML, like Gecko) Chrome/96.0.4664.110 Safari/537.36</t>
  </si>
  <si>
    <t>Energy Materials : A Short Introduction to Functional Materials for Energy Conversion and Storage</t>
  </si>
  <si>
    <t>621.31/26</t>
  </si>
  <si>
    <t>TK2910 .B363 2022</t>
  </si>
  <si>
    <t>'1,,4,,8,9,10,11,,14,15,,16,17,,18,19,20,21,22,23,24,25,26,27,28,29,,30,31,32,33,34,35,36,37,38,39,40,41,42,43,44,45,46,47,48,49,50,51,,238,239,240,241,242,243,244,245,246,247,248,249'</t>
  </si>
  <si>
    <t>Mozilla/5.0 (Windows NT 10.0; Win64; x64) AppleWebKit/537.36 (KHTML, like Gecko) Chrome/97.0.4692.71 Safari/537.36 Edg/97.0.1072.62</t>
  </si>
  <si>
    <t>Japanese Kanji Power : (JLPT Levels N5 &amp; N4) A Workbook for Mastering Japanese Characters</t>
  </si>
  <si>
    <t>495.6/82421</t>
  </si>
  <si>
    <t>PL528 -- .M555 2010eb</t>
  </si>
  <si>
    <t>'1,2,3,4,5,84,817,818,861,862'</t>
  </si>
  <si>
    <t>Essential Japanese Kanji Volume 1 : (JLPT Level N5) Learn the Essential Kanji Characters Needed for Everyday Interactions in Japan</t>
  </si>
  <si>
    <t>495.6/11</t>
  </si>
  <si>
    <t>PL679</t>
  </si>
  <si>
    <t>'1,2,206,205,207,196'</t>
  </si>
  <si>
    <t>Kanji Handbook : (JLPT All Levels) This Japanese Character Dictionary and Kanji Textbook Uses an Innovative and Effective System</t>
  </si>
  <si>
    <t>PL677.6 -- .D38 2006eb</t>
  </si>
  <si>
    <t>'24,48,47,49,50,51,53,56,56,62,63,368,664,1038,1071,1123,1137,1138,1136,1139,1172'</t>
  </si>
  <si>
    <t>'48,49,50,51,52,53,54,55,56,57,58,59,60,61'</t>
  </si>
  <si>
    <t>Big Data and Differential Privacy : Analysis Strategies for Railway Track Engineering</t>
  </si>
  <si>
    <t>TF241.A886 2017</t>
  </si>
  <si>
    <t>'1,2,5,6,16,17,19,12,128,129,130,131,126'</t>
  </si>
  <si>
    <t>Ending the Fossil Fuel Era</t>
  </si>
  <si>
    <t>Engineering: Chemical; Science: Geology; Science; Engineering</t>
  </si>
  <si>
    <t>TP318 -- .E535 2015eb</t>
  </si>
  <si>
    <t>CubeSat Antenna Design</t>
  </si>
  <si>
    <t>TL3035 .C83 2021</t>
  </si>
  <si>
    <t>Biomechanics of the Musculoskeletal System : Modeling of Data Uncertainty and Knowledge</t>
  </si>
  <si>
    <t>617.4/7</t>
  </si>
  <si>
    <t>QP301 -- .D36 2014eb</t>
  </si>
  <si>
    <t>'23,24,25,26,27,29,28,31,32,307,308,309,310,311,312,313,314,315,316,317,318,319,320,321,322,323,324,325,326,327,328,329,330,331,332,333'</t>
  </si>
  <si>
    <t>'1,88,87'</t>
  </si>
  <si>
    <t>Introduction to Environmental Engineering</t>
  </si>
  <si>
    <t>'46,48,53,146,144,,1,,46'</t>
  </si>
  <si>
    <t>Russia's Relations with the GCC and Iran</t>
  </si>
  <si>
    <t>HF1351-1647</t>
  </si>
  <si>
    <t>'39,40,,244,245,246,247,,39,40,40,41,42,43,44,45,46,47,48,49,50,51,52,53,54,55,56,57,58,59,60,61,63,64,65,66,67,68,69,1,2,4,5,6,8,9,10,11,245,246,,,,96,97,98,99,100,101,101,102,103,104,105,100,99,98,97,96,106,107,108,109,110,111,113,114,115,,96,,96,96,96,100,101,102,103,104,106,107,108,109,110,111,112,113,114,115,116,117,118,119,120,121,122,123,124,125,,70,70,70,71,72,73,74,75,76,77,78,80,81,82,82,83,84,85,86,87,88,89,1'</t>
  </si>
  <si>
    <t>'126,127,128,129,130,131,132,133,134,135,136,137,138,139,140,141,142,143,144,145,146,147,148,,193,194,195,196,197,198,199,200,201,202,203,204,205,206,207,208,209,210,211,212,213,214,215,216,217,218,219'</t>
  </si>
  <si>
    <t>'1,2,3,3,1,2,4,5,7,8,9,11,12,14,74,34,13,15,16,17,18,19,20,21,22,23,24,25,26,27,28,29,30,31,32,33,35,36,37,38,39,40,41,42,43,44,45,46,47,48,49,50,51,52,53,55,56,57,58,59,60,61,62,63,64,65'</t>
  </si>
  <si>
    <t>'1,2,3,5,4,7,6,8,9'</t>
  </si>
  <si>
    <t>'1,40,16,4,2,5,6,7,8,9,10,11,12,13,14,15,17,18,19,20,21'</t>
  </si>
  <si>
    <t>Automated Planning : Theory and Practice</t>
  </si>
  <si>
    <t>Computer Science/IT; Business/Management</t>
  </si>
  <si>
    <t>TS183.3.M35 2004</t>
  </si>
  <si>
    <t>'1,12,14,7,13'</t>
  </si>
  <si>
    <t>Information and Communication Technologies : A World Bank Group Strategy</t>
  </si>
  <si>
    <t>384/.09172/4</t>
  </si>
  <si>
    <t>HC59.72.I55 -- I497 2002eb</t>
  </si>
  <si>
    <t>'1,1,1,1,3,2,4'</t>
  </si>
  <si>
    <t>'1,6,4,3,2,5,5,5,7,9,9,10,11,13,14,16,17,18,22,21,22,23,11,12,35,42,43,44,45,1'</t>
  </si>
  <si>
    <t>Atmosphere, Ocean and Climate Dynamics : An Introductory Text</t>
  </si>
  <si>
    <t>QC880.4.A8M348 2008</t>
  </si>
  <si>
    <t>'1,3,2,4,5,6,7,8,8,9,10,11,12,13,15,16,17,18,19,20,21,22,23,24,24,1,15,19,10,4,8,9,11,12,13'</t>
  </si>
  <si>
    <t>'1,88,87,89,90,91,92,92,92,92,93,94,94,95,96,97,98,99,100,101,102,103,104,105,106,107,108,109,110,111,112,113,114,115,116'</t>
  </si>
  <si>
    <t>'89,89'</t>
  </si>
  <si>
    <t>'1,3,4,6,7,14,15,16,17,18,19,20,21,22,23,24,25,27,28,28,28,29,31,33,34,35,36,37,38,39,40,41,43,44,46,47,48,49,51,52,54,57,58,59,60,61,62,65,66,67,69,70,70,71,72,73,74,75,76,77,78,79,80,81,82,83,84,85,87,88,89,90,91,92,93,94,95,96,97,98,99,101,102,103,105,104,106,107,108,109,110,111,112,113,114,115,116,117,118,119,120,121,123,124,125,126,127,128,129,130,131,132'</t>
  </si>
  <si>
    <t>'70,70,70'</t>
  </si>
  <si>
    <t>Keepers of the Golden Shore : A History of the United Arab Emirates</t>
  </si>
  <si>
    <t>DS247.T88 M678 2016</t>
  </si>
  <si>
    <t>'1,132'</t>
  </si>
  <si>
    <t>Wetland Systems to Control Urban Runoff</t>
  </si>
  <si>
    <t>TD756.5 .S36 2016</t>
  </si>
  <si>
    <t>'6,5,1,2,3,34,33'</t>
  </si>
  <si>
    <t>Project Management Essentials : A Quick and Easy Guide to the Most Important Concepts and Best Practices for Managing Your Projects Right</t>
  </si>
  <si>
    <t>Maven House</t>
  </si>
  <si>
    <t>HD69.P75 .A843 2013</t>
  </si>
  <si>
    <t>'1,1,3,4,5,6,7,10,13,20'</t>
  </si>
  <si>
    <t>Construction Process Planning and Management : An Owner's Guide to Successful Projects</t>
  </si>
  <si>
    <t>TH438.L48 2010</t>
  </si>
  <si>
    <t>'1,2,3,4,5,7,8,9,10,13,14,15,18,19,20,21,23,24,25,26,28,27,29,30,31,32,33,308,308,308,288,287,289,291,290,176,175,177,178,179,179,179,179,179,12,13,14,15,16,17,18,19,21,22,23,25'</t>
  </si>
  <si>
    <t>'289,290,177,178,179,180,181,182,183,184,185,186,187,188,189,190,191,192,193,194,195,196,197,198,199,200,201,202,203'</t>
  </si>
  <si>
    <t>Space Environment and Its Effects on Space Systems</t>
  </si>
  <si>
    <t>629.47/2</t>
  </si>
  <si>
    <t>TL1489 -- .P57 2008eb</t>
  </si>
  <si>
    <t>'1,3,10,11,12,6'</t>
  </si>
  <si>
    <t>Mozilla/5.0 (Macintosh; Intel Mac OS X 10_14_6) AppleWebKit/537.36 (KHTML, like Gecko) Chrome/96.0.4664.110 Safari/537.36</t>
  </si>
  <si>
    <t>'1,3,5,8,9,12,13,13,18,19,33,35,50,50,51,52,53,54,55,56,57'</t>
  </si>
  <si>
    <t>Mozilla/5.0 (Windows NT 10.0; Win64; x64) AppleWebKit/537.36 (KHTML, like Gecko) Chrome/97.0.4692.99 Safari/537.36 Edg/97.0.1072.69</t>
  </si>
  <si>
    <t>Physical Chemistry : How Chemistry Works</t>
  </si>
  <si>
    <t>QD453.3.K65 2016</t>
  </si>
  <si>
    <t>'1,9,9,9,10,11,12,13,14,509,510,511,512,513,514,590,591,592,726,727,728,221,222,223,224,225,226,227,228,229,230,231,232,232,232'</t>
  </si>
  <si>
    <t>Physical Chemistry : A Modern Introduction, Second Edition</t>
  </si>
  <si>
    <t>QD453.3 .D38 2015</t>
  </si>
  <si>
    <t>'1,5,5,4,6,7,213,215,216,217,218,219,220,221,223,222,224,225,227,228,229,230,231'</t>
  </si>
  <si>
    <t>Aquatic Chemistry : Chemical Equilibria and Rates in Natural Waters</t>
  </si>
  <si>
    <t>Military Science; Science: Geology; Science</t>
  </si>
  <si>
    <t>GB855.S78 1996eb</t>
  </si>
  <si>
    <t>'19,20,21,22,23,24,25,26,27,28,29,30,31,32,33,,34,35,36,37,38,39,40,41,42,43,44,45,46,47,48,49,50,51,52,53,54,55,56,57,58,59,60,61,62,63,64,65,66,67,68,69,70,71,72,73,74,75,76,77,78,79,80,81,82,83,84,85,86,87,88,89,90,91,92,93,94,95,96,97,98,99,100,101,102,103,104,105,,106,107,108,109,110,111,112,113,114,115,116,117,118,119,120,121,122,123,124,125,126,127,128,129,130,131,132,133,134,135,136,137,138,139,140,141,142,143,144,145,146,147,148,149,150,151,152,153,154,155,156,157,158,159,160,161,162,163,164,165,,34,35,36,37,38,39,40,41,42,43,44,45,46,47,48,49,50,51,52,53,54,55,56,57,58,59,60,61,62,63,64,65,66,67,68,69,70,71,72,73,74,75,76,77,78,79,80,81,82,83,84,85,86,87,88,89,90,91,92,93,94,95,96,97,98,99,100,101,102,103,104,105'</t>
  </si>
  <si>
    <t>'1,2,3,4,6,5,7,8,9,10,11,13'</t>
  </si>
  <si>
    <t>'1,3,4,5,7,39,286,,96'</t>
  </si>
  <si>
    <t>Neural Networks and Psychopathology : Connectionist Models in Practice and Research</t>
  </si>
  <si>
    <t>RC455.2.D38 N48 1998</t>
  </si>
  <si>
    <t>'9,25,30,33,47,4,6,10'</t>
  </si>
  <si>
    <t>'1,64,179'</t>
  </si>
  <si>
    <t>'1,4,2,9'</t>
  </si>
  <si>
    <t>'1,3,4,5,6,7,8,11,12,13,14,15,16,17'</t>
  </si>
  <si>
    <t>'1,2,9,10,12'</t>
  </si>
  <si>
    <t>Women, Islam and International Law : Within the Context of the Convention on the Elimination of All Forms of Discrimination Against Women</t>
  </si>
  <si>
    <t>341.4/858</t>
  </si>
  <si>
    <t>KBP526.3.Y34 2009</t>
  </si>
  <si>
    <t>'1,2,3,7,6'</t>
  </si>
  <si>
    <t>'1,52'</t>
  </si>
  <si>
    <t>'1,2,3,6,7,8,9'</t>
  </si>
  <si>
    <t>'1,2,4,6,7,8,9,10,11,12'</t>
  </si>
  <si>
    <t>'1,,1,2,3,4,5,6,7,8,9,10,11,12'</t>
  </si>
  <si>
    <t>'14,15,16,17,18,19,20,21,22,23,24,25,26,27,28,29,30,31,32,33,34,35,36,37,38,39,40,41,42,43,44,45,46,47,48,49,50,51,52,53,54,55,56,57,58,59,60,61,62,63,64,65,66,67,68,69'</t>
  </si>
  <si>
    <t>Airplane Flying Handbook</t>
  </si>
  <si>
    <t>Aviation Supplies &amp; Academics, Incorporated</t>
  </si>
  <si>
    <t>TL710 -- .A49 2009eb</t>
  </si>
  <si>
    <t>'1,134,135,137'</t>
  </si>
  <si>
    <t>Modern Computer Architecture and Organization : Learn X86, ARM, and RISC-V Architectures and the Design of Smartphones, PCs, and Cloud Servers</t>
  </si>
  <si>
    <t>QA76.9.A73$b.L435 2020</t>
  </si>
  <si>
    <t>'1,1,2,2,2,2,2,9,11,13,15,16,14,17,357,358,359,360,361,362,363,364,365,366,367,368,369,370,371,372,374,12,315,316,317,318,319'</t>
  </si>
  <si>
    <t>'1,1,2,3,4,4,4,5,7,8,9,10,11'</t>
  </si>
  <si>
    <t>'1,2,3,4,5,6,7,8,9,10,11,28,29,52,53,54,50'</t>
  </si>
  <si>
    <t>Medicine in the Qur'an and Sunnah : An Intellectual Reappraisal of the Legacy and Future of Islamic Medicine and Its Represent</t>
  </si>
  <si>
    <t>Safari Books Ltd.</t>
  </si>
  <si>
    <t>Medicine; Religion</t>
  </si>
  <si>
    <t>R143 .A385 2012</t>
  </si>
  <si>
    <t>'1,3,3,7,7,8,9,10,28,29,30,31,32,33,34,35,36,41,42,51,53,55,56,57,58,59,60'</t>
  </si>
  <si>
    <t>Material Selection for Thermoplastic Parts : Practical and Advanced Information</t>
  </si>
  <si>
    <t>TP1180.T5 B576 2016</t>
  </si>
  <si>
    <t>'3,4,4,5,6'</t>
  </si>
  <si>
    <t>Science and Religion : Christian and Muslim Perspectives</t>
  </si>
  <si>
    <t>BL240.3 -- .B85 2009eb</t>
  </si>
  <si>
    <t>'1,6,50,51,52,55,54,57'</t>
  </si>
  <si>
    <t>Militarizing the Environment : Climate Change and the Security State</t>
  </si>
  <si>
    <t>TD195.A75M375 2015</t>
  </si>
  <si>
    <t>'1,40,204,205,156,201,88,87,85,84'</t>
  </si>
  <si>
    <t>Islam on the Street : Religion in Modern Arabic Literature</t>
  </si>
  <si>
    <t>'1,3,6,7,153,153,153,154,155,156,157,158,159,160,162,163,164'</t>
  </si>
  <si>
    <t>Handbook of Pumps and Pumping : Pumping Manual International</t>
  </si>
  <si>
    <t>621.6/9</t>
  </si>
  <si>
    <t>TJ900.H335 2006</t>
  </si>
  <si>
    <t>'1,2,4,6,7,9,11,12,13,14'</t>
  </si>
  <si>
    <t>Real Options in Engineering Design, Operations, and Management</t>
  </si>
  <si>
    <t>TA174.R376 2010</t>
  </si>
  <si>
    <t>'232,234,235'</t>
  </si>
  <si>
    <t>'88,89,90,91,92,93,94,95,96,97,98,99,100,101,102,103,104,105,106,107,108,109,110,111,,136,137,138,139,140,141,142,143,144,145,146,147,148,149,150,151,152,153,154,155,156,157,158,159,160,161,162,163'</t>
  </si>
  <si>
    <t>Crystallography and Surface Structure : An Introduction for Surface Scientists and Nanoscientists</t>
  </si>
  <si>
    <t>QD921.H47 2017</t>
  </si>
  <si>
    <t>'1,183,185,186,187,223,189,224,226,228'</t>
  </si>
  <si>
    <t>'8,9,10,11,12,13,14,15'</t>
  </si>
  <si>
    <t>Rethinking Islamic Studies : From Orientalism to Cosmopolitanism</t>
  </si>
  <si>
    <t>BP42 .R48 2010</t>
  </si>
  <si>
    <t>'1,2,3,4,5,6,7,8,10,11,12,13,14,15,16,17,19,20,22,23,21,24,25,26,27,28,29,30,31'</t>
  </si>
  <si>
    <t>Converging on Culture : Theologians in Dialogue with Cultural Analysis and Criticism</t>
  </si>
  <si>
    <t>BR115.C8 -- C594 2001eb</t>
  </si>
  <si>
    <t>'1,16,15,17,18,10,9,11,86,85,87,88,89,90,91,92,95,96,97,98,99,100'</t>
  </si>
  <si>
    <t>Women, Islam, and Identity : Public Life in Private Spaces in Uzbekistan</t>
  </si>
  <si>
    <t>305.48/69709587</t>
  </si>
  <si>
    <t>HQ1735.27.P47 2014</t>
  </si>
  <si>
    <t>'6,1,7'</t>
  </si>
  <si>
    <t>'8,1,9'</t>
  </si>
  <si>
    <t>'204'</t>
  </si>
  <si>
    <t>'95,96,97,98,99,100,101,102,103,104,105,106,107,108,109,110,111,112,113,114,115,116,117,118,119,120,121,122,123,124,125,126,127,128,,129,130,131,132,133,134,135,136,137,138,139,140,141,142,143,144,145,146,147,148,149,150,151,152,153,154,155,156,157,158,159,160,161,162,163,164,165,166,167,168,169,,170,171,172,173,174,175,176,177,178,179,180,181,182,183,184,185,186,187,188,189,190,191,192,193,194,195,196,197,198,199,200,201,202,203'</t>
  </si>
  <si>
    <t>'64,65,66,67,68,69,70,71,72,73,74,75,76,77,78,79,80,81,82,83,84,85,86,87,88,89,90,91,92,93,94,95,96,97,98,99,,100,101,102,103,104,105,106,107,108,109,110,111,112,113,114,115,116,117,118,119,120,121,122,123,124,125,126,127,128,129,130,131,132,133'</t>
  </si>
  <si>
    <t>'1,2,3,4,,5,,6,,7,8,9,,10,11,,12,13,14,15,16,17,18,19,20,21,22,23,24,25,26,27,28,29,30,31,32,33,34,35,36,37,38,39,40,41,42,43,44,,45,46,47,48,49,50,51,52,53,54,55,56,57,58,59,60,61,62,63'</t>
  </si>
  <si>
    <t>The Moral Economy of the Madrasa : Islam and Education Today</t>
  </si>
  <si>
    <t>LC904 -- .M67 2011eb</t>
  </si>
  <si>
    <t>'1,2,3,4,68'</t>
  </si>
  <si>
    <t>'1,1,7,8,9,252,285,284,283,282,281,279,277,276,231,252,253,274,275,277,278,279,280,281,282,283,284,285'</t>
  </si>
  <si>
    <t>Essentials of Hydraulic Fracturing : Vertical and Horizontal Wellbores</t>
  </si>
  <si>
    <t>Pennwell Books</t>
  </si>
  <si>
    <t>Engineering: Mining</t>
  </si>
  <si>
    <t>'1,,11,12,13,14,15,16,17,,,,,,,1'</t>
  </si>
  <si>
    <t>'54,55,,57,58,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,,,749,750,751,752,753,754,755,756,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'</t>
  </si>
  <si>
    <t>Integrating Safety and Security Management to Protect Chemical Industrial Areas from Domino Effects</t>
  </si>
  <si>
    <t>TP149 .C446 2022</t>
  </si>
  <si>
    <t>Drug Delivery Applications of Noninvasive Imaging : Validation from Biodistribution to Sites of Action</t>
  </si>
  <si>
    <t>615.1/9</t>
  </si>
  <si>
    <t>RS431.R34.D78 2014eb</t>
  </si>
  <si>
    <t>'1,1,2,3,5,7,7,8,11,53'</t>
  </si>
  <si>
    <t>Time Series Clustering and Classification</t>
  </si>
  <si>
    <t>QA280 .M343 2019</t>
  </si>
  <si>
    <t>'18,20,19,21,22,23,24,25,27'</t>
  </si>
  <si>
    <t>Introduction to Time Series Analysis and Forecasting</t>
  </si>
  <si>
    <t>519.5/5</t>
  </si>
  <si>
    <t>QA280 -- .M668 2015eb</t>
  </si>
  <si>
    <t>'1,1,2,3,5,6,7,8,9,10,11,13,14,16,17,18,19,20,22,23,24,25,26,27,28,29,30,31,32,33,34,35,36,37,38,39,40,41,42,43,44,45,46,47,48,49,50,51,52,53,54,55,56,57,59,60,61,62,63,64,65,66'</t>
  </si>
  <si>
    <t>Time Series Analysis : Nonstationary and Noninvertible Distribution Theory</t>
  </si>
  <si>
    <t>QA280.T363 2017</t>
  </si>
  <si>
    <t>'1,2,3,4,6,7,8,9,11,12,13,15,16,17,18'</t>
  </si>
  <si>
    <t>Radiation Effects in Silicon Carbide</t>
  </si>
  <si>
    <t>TA403.6.L434 2017</t>
  </si>
  <si>
    <t>'1,2,2,2,1,12,19,18,17,13,12,12,2,1,2,2,2,3,4,5,6,7,8,9,10,11,12,13,14,15,16,17,18,19,21,23,24,25,26,27,28,29,31,32,33,35,36,37,38,39,41,43,45,47,49,51,53,55,57,59,61,63,66,68,69,70,71,72,73,75,77,76,78,80,82,84,85,86,88,90,91,92,93,94,96,98,99,101,103,105,107,109,110,113,114,116,118,120,122,124,126,128,130,131,132,133,134,136,137,139,141,143,145,147,148,150,152,154,156,158,160,161,163,164,165,166,168,169,171,172,170,167,1,1,2,3,5,4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'</t>
  </si>
  <si>
    <t>Mozilla/5.0 (Windows NT 10.0; Win64; x64) AppleWebKit/537.36 (KHTML, like Gecko) Chrome/97.0.4692.71 Safari/537.36 Edg/97.0.1072.55</t>
  </si>
  <si>
    <t>Love</t>
  </si>
  <si>
    <t>BD436 -- .M55 2011eb</t>
  </si>
  <si>
    <t>'38,39,40'</t>
  </si>
  <si>
    <t>Advances in Geophysics</t>
  </si>
  <si>
    <t>QC806.A3eb vol. 49</t>
  </si>
  <si>
    <t>'6,7,8,9'</t>
  </si>
  <si>
    <t>'1,2,56,55,57,58,59'</t>
  </si>
  <si>
    <t>'1,8,7,9,10,11,12,13,14,15,16,17,18,19,20'</t>
  </si>
  <si>
    <t>'30,31,33,37,35,39,41,158,43,45,47,157,,1,,30'</t>
  </si>
  <si>
    <t>'1,178,178,190'</t>
  </si>
  <si>
    <t>'178,179,180,181,182,183,184,185,186,187,188,189,190,191,192,193,194,195,196,197,198,199'</t>
  </si>
  <si>
    <t>Power Systems Electromagnetic Transients Simulation</t>
  </si>
  <si>
    <t>'44,45,46,47,48,49,50,51,52,53,54,55,56,57,58,59,60,61,62,63,64,65,66,67,,154,155,156,157,158,159,160,161,162,163,164,165,166,167,168,169,170,171,172,173,174,175,176,177,178,179,180,181,182,183,184,185,186,187,,188,189,190,191,192,193,194,195,196,197,198,199,200,201,202,203,204,205,206,207,208,209,210,211,212,213,214,215,216,217,218,219,220,221,222,223,,348,349,350,351,352,353,354,355,356,357,358,359,360,361,,364,365,366,367,368,369,370,371,372,373,,457,458,,442,443,444,445,446,447,448,449,450,451,,406,407,408,409,410,411,412,413,414,415,416'</t>
  </si>
  <si>
    <t>'48,49,50,51,52,53,54,55,56,57,58,59,60,61,62,63,65,66,67,68,69,70,71,72,73,74,75,76,77,78,80,81,82,83,84,85,86,87,88,89,90,91,92,93,94,95,96,97,98,99,100,101,102'</t>
  </si>
  <si>
    <t>Transient Analysis of Power Systems : Solution Techniques, Tools and Applications</t>
  </si>
  <si>
    <t>621.319/21</t>
  </si>
  <si>
    <t>TK1010 -- .M37 2015eb</t>
  </si>
  <si>
    <t>'1,1,2,3,6,7,8,9'</t>
  </si>
  <si>
    <t>'1,1,5,7,6,8,14,34,49,48,47,45,46,50,51,52,53,54,55,57,58,59,60,61,187,188,189,190,191,192,193,194,195,196,197,198,202,68,69,70,71,72,73'</t>
  </si>
  <si>
    <t>Matlab : A Practical Introduction to Programming and Problem Solving</t>
  </si>
  <si>
    <t>QA297 .A883 2013</t>
  </si>
  <si>
    <t>'1,3,6,7,9,8,12,25,26,27,28,29,30,31'</t>
  </si>
  <si>
    <t>'32,33,34,35,36'</t>
  </si>
  <si>
    <t>Probabilistic Graphical Models for Computer Vision</t>
  </si>
  <si>
    <t>'28,30,29'</t>
  </si>
  <si>
    <t>'1,168,168'</t>
  </si>
  <si>
    <t>'168,169,170,171,172,173,174,175,176,177'</t>
  </si>
  <si>
    <t>Applied Nonlinear Programming</t>
  </si>
  <si>
    <t>519.7;519.76</t>
  </si>
  <si>
    <t>T57.8 -- .S53 2006eb</t>
  </si>
  <si>
    <t>'58,57,56,59,60,61,62,63,64,65,66,67,68,69'</t>
  </si>
  <si>
    <t>An Elementary Introduction to Statistical Learning Theory</t>
  </si>
  <si>
    <t>Q325.5.K85 2011</t>
  </si>
  <si>
    <t>'1,2,3,5,6,7,8,10'</t>
  </si>
  <si>
    <t>Mozilla/5.0 (Macintosh; Intel Mac OS X 10.15; rv:95.0) Gecko/20100101 Firefox/95.0</t>
  </si>
  <si>
    <t>Fluid Mechanics and Machinery</t>
  </si>
  <si>
    <t>TA357.3 -- .K684 2013eb</t>
  </si>
  <si>
    <t>'20,21,22,23,24,25,26,27,28,29,30,31,32,33,34,35,36,37,38,39,40,41,42,43,44,45,46,47,48,49,50,51,52,53,54,55,56,57,58,59,60,61,62,63,64,65,66,67'</t>
  </si>
  <si>
    <t>Manipulation and Expression of Recombinant DNA</t>
  </si>
  <si>
    <t>Engineering; Science; Engineering: Chemical; Science: Biology/Natural History</t>
  </si>
  <si>
    <t>QH442.R58 2006</t>
  </si>
  <si>
    <t>Forensic DNA Biology : A Laboratory Manual</t>
  </si>
  <si>
    <t>RA1057.55 -- .E45 2012eb</t>
  </si>
  <si>
    <t>'1,3,4,6,7,22,23,66,67,68,69,70,71,72'</t>
  </si>
  <si>
    <t>Foreland Basins : Special Publication 8 of the IAS</t>
  </si>
  <si>
    <t>QE571;QE621.F57 1986</t>
  </si>
  <si>
    <t>'340,341,343,345,346,347,348,350,351,352,353,354,355'</t>
  </si>
  <si>
    <t>Space Traffic Control</t>
  </si>
  <si>
    <t>Environmental Studies; Engineering; Engineering: Mechanical</t>
  </si>
  <si>
    <t>TL1499 .E947 2017</t>
  </si>
  <si>
    <t>'9'</t>
  </si>
  <si>
    <t>'1,3,4,9,34,63,145,144,142,141,139,113,5,6,7,8,10,,1'</t>
  </si>
  <si>
    <t>'340,340,340,339,338,337,336,337,459,337,337'</t>
  </si>
  <si>
    <t>'340'</t>
  </si>
  <si>
    <t>Understanding Islamic Architecture</t>
  </si>
  <si>
    <t>NA380 -- .U53 2002eb</t>
  </si>
  <si>
    <t>'54,55,56,57,58,59,60,61,62,63,60'</t>
  </si>
  <si>
    <t>'1,25,26,27,28,29,30,31,32,33,34,35,36,37,38,39,40,41,42,43,44,45,46,47,48,49,87,337,338,339,340,341,342,343,344,345,347,346,348,349'</t>
  </si>
  <si>
    <t>'1,4,2,2,2,3,6,7,8,9,10'</t>
  </si>
  <si>
    <t>'1,2,5,104'</t>
  </si>
  <si>
    <t>Halophytes for Food Security in Dry Lands</t>
  </si>
  <si>
    <t>Science: Botany; Science</t>
  </si>
  <si>
    <t>QK922 .H356 2016</t>
  </si>
  <si>
    <t>'18,19,20,21,22,23,24,25,26,27,28,29,30,31,32,33,34,,35,36,37,38,39,40,41,42,43,44,45,46,47,48,49,50,51,52,53,54,55,56,57,58,59,60,61,,62,63,64,65,66,67,68,69,70,71,72,73,74,75,76,77,78,79,80,81,82,83,84,85,86,87,88,89,90,91,92,93,94,,95,96,97,98,99,100,101,102,103,104,105,106,107,108,109,110,111,112,113,114,115,116,117,118,119,120,121,122,123,124,125,126,127,128'</t>
  </si>
  <si>
    <t>Rubidium Atomic Clock: The Workhorse Of Satellite Navigation</t>
  </si>
  <si>
    <t>TL798.N3$b.S294 2020</t>
  </si>
  <si>
    <t>Mozilla/5.0 (Windows NT 6.3; Win64; x64; rv:95.0) Gecko/20100101 Firefox/95.0</t>
  </si>
  <si>
    <t>Composites And Metamaterials</t>
  </si>
  <si>
    <t>620.1/18</t>
  </si>
  <si>
    <t>TA418.9.C6$b.L354 2020</t>
  </si>
  <si>
    <t>Contemporary Entrepreneurship Issues In International Business</t>
  </si>
  <si>
    <t>HB615 .C668 2021</t>
  </si>
  <si>
    <t>The MCAT Biology Book : with Verbal Reasoning</t>
  </si>
  <si>
    <t>610/.76</t>
  </si>
  <si>
    <t>R838.5 -- .M67 2006eb</t>
  </si>
  <si>
    <t>'1,4,3'</t>
  </si>
  <si>
    <t>Structural Design of Buildings</t>
  </si>
  <si>
    <t>690/.1</t>
  </si>
  <si>
    <t>TA658 -- .S58 2016eb</t>
  </si>
  <si>
    <t>'1,2,3,5,4,6,25,26'</t>
  </si>
  <si>
    <t>Robbins Basic Pathology E-Book</t>
  </si>
  <si>
    <t>RB111 .K863 2018</t>
  </si>
  <si>
    <t>'1,130,131,130,130,140,140,156'</t>
  </si>
  <si>
    <t>'130,131,132,133,134,135,136,137,138,139,140,141,142,143,144,145,146,147,148,149,150,151,152,153,154,155,156,157,158,159,160,161,162,163,164,165,166,167'</t>
  </si>
  <si>
    <t>'1,2,3,4,,1,,1,2,3'</t>
  </si>
  <si>
    <t>Theology and Modern Physics</t>
  </si>
  <si>
    <t>201/.653</t>
  </si>
  <si>
    <t>BL265.P4 -- H63 2005eb</t>
  </si>
  <si>
    <t>'8,10,9,11,12,13,15,16,17,18,19,20,21,22,23,24,25,26,27,28,29,30,31,32,33,34,35,36,37,38,39,40,41,42,43,44,45,46,47,48,49,50,51,53,54,55,56,57,58,59,60,61,62,63,64,65,66'</t>
  </si>
  <si>
    <t>'1,1,129,69,130,70,71,72,134,138,141,143,145,148,150,151,153,154,155'</t>
  </si>
  <si>
    <t>'155,155'</t>
  </si>
  <si>
    <t>'14,18,19,20,22,24,272,,1'</t>
  </si>
  <si>
    <t>'16,18,15,1,416,,1'</t>
  </si>
  <si>
    <t>In the Images of Development : City Design in the Global South</t>
  </si>
  <si>
    <t>'142,142,144,145,145'</t>
  </si>
  <si>
    <t>'372,373,374,375,376,377,378,379,380,381,382,383,384,385,386,387,388,389,390,391,392,393,394,395,396,397,,140,141,142,143,144,145,146,147,148,149,150,151,152,153,154,155,156,157,158'</t>
  </si>
  <si>
    <t>'1,129,139,140,141,142,143,144,145,146,147,148,149'</t>
  </si>
  <si>
    <t>'1,16,1,5,11,,1'</t>
  </si>
  <si>
    <t>Quantum Mechanics : Theory and Experiment</t>
  </si>
  <si>
    <t>QC174.12 -- .B43 2012eb</t>
  </si>
  <si>
    <t>'1,1,2,3,6,6,9,9,9,10,8,11,12,14,16,16,30,17,19,214,214,215,216,217,218'</t>
  </si>
  <si>
    <t>'1,129,129,160,159,160,133,158,134,135,136,137,139,140,141,143,144,145,146,147,148,149,150,150,133,152,151,153,171,196,195,197,199'</t>
  </si>
  <si>
    <t>Computer Science and Artificial Intelligence</t>
  </si>
  <si>
    <t>Computer Science/IT; Military Science</t>
  </si>
  <si>
    <t>'1,11,12'</t>
  </si>
  <si>
    <t>Sign of the Four</t>
  </si>
  <si>
    <t>PR4622 -- .S44 1994eb</t>
  </si>
  <si>
    <t>Practical Guide to ICP-MS : A Tutorial for Beginners, Third Edition</t>
  </si>
  <si>
    <t>QD96.I47</t>
  </si>
  <si>
    <t>'1,31,30,32,33'</t>
  </si>
  <si>
    <t>'1,129,130,131,132,133,134,135,136,137,138,139,140,141,142,143,144,145,146,147,148,149,150,151,152,153,154,155,151,175,176,129,129,129,135,138,136,137,139,140,141,142,143,144,145,146,147,148,149,150'</t>
  </si>
  <si>
    <t>'1,120,121,122,118,119,117,116,108,109,110,111,112,113,113'</t>
  </si>
  <si>
    <t>'108,109,110,111,112,113,114,115,116,117,118,119'</t>
  </si>
  <si>
    <t>'1,98,99,100,101,101,101,100,100,100,101,102,103,104,105,106,107,108,109,110,111,112'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</si>
  <si>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</si>
  <si>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</si>
  <si>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</si>
  <si>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</si>
  <si>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</si>
  <si>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</si>
  <si>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</si>
  <si>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</si>
  <si>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</si>
  <si>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</si>
  <si>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</si>
  <si>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</si>
  <si>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</si>
  <si>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Pages Read</t>
  </si>
  <si>
    <t>Sum of Total Pages Printed</t>
  </si>
  <si>
    <t>Sum of Total Pages Copied</t>
  </si>
  <si>
    <t>Sum of Book Downloads</t>
  </si>
  <si>
    <t>Sum of Chapter Downloads</t>
  </si>
  <si>
    <t>Khalifa University</t>
  </si>
  <si>
    <t>Ebooks Usage - 2022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</si>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</sst>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A17" sqref="A17"/>
    </sheetView>
  </sheetViews>
  <sheetFormatPr defaultRowHeight="14.5" x14ac:dyDescent="0.35"/>
  <cols>
    <col min="1" max="1" width="12.36328125" bestFit="1" customWidth="1"/>
    <col min="2" max="2" width="21.54296875" bestFit="1" customWidth="1"/>
    <col min="3" max="3" width="23.54296875" bestFit="1" customWidth="1"/>
    <col min="4" max="4" width="23.1796875" bestFit="1" customWidth="1"/>
    <col min="5" max="5" width="21.453125" bestFit="1" customWidth="1"/>
    <col min="6" max="6" width="23.90625" bestFit="1" customWidth="1"/>
  </cols>
  <sheetData>
    <row r="1" spans="1:6" x14ac:dyDescent="0.35">
      <c r="A1" s="5" t="s">
        <v>9705</v>
      </c>
    </row>
    <row r="2" spans="1:6" x14ac:dyDescent="0.35">
      <c r="A2" s="4" t="s">
        <v>9706</v>
      </c>
    </row>
    <row r="4" spans="1:6" x14ac:dyDescent="0.35">
      <c r="A4" s="7" t="s">
        <v>9707</v>
      </c>
      <c r="B4" s="7" t="s">
        <v>9700</v>
      </c>
      <c r="C4" s="7" t="s">
        <v>9701</v>
      </c>
      <c r="D4" s="7" t="s">
        <v>9702</v>
      </c>
      <c r="E4" s="7" t="s">
        <v>9703</v>
      </c>
      <c r="F4" s="7" t="s">
        <v>9704</v>
      </c>
    </row>
    <row r="5" spans="1:6" x14ac:dyDescent="0.35">
      <c r="A5" s="6" t="s">
        <v>9688</v>
      </c>
      <c r="B5" s="6">
        <v>1828</v>
      </c>
      <c r="C5" s="6">
        <v>1291</v>
      </c>
      <c r="D5" s="6">
        <v>7</v>
      </c>
      <c r="E5" s="6">
        <v>21</v>
      </c>
      <c r="F5" s="6">
        <v>51</v>
      </c>
    </row>
    <row r="6" spans="1:6" x14ac:dyDescent="0.35">
      <c r="A6" s="6" t="s">
        <v>9689</v>
      </c>
      <c r="B6" s="6">
        <v>6412</v>
      </c>
      <c r="C6" s="6">
        <v>1625</v>
      </c>
      <c r="D6" s="6">
        <v>85</v>
      </c>
      <c r="E6" s="6">
        <v>66</v>
      </c>
      <c r="F6" s="6">
        <v>85</v>
      </c>
    </row>
    <row r="7" spans="1:6" x14ac:dyDescent="0.35">
      <c r="A7" s="6" t="s">
        <v>9690</v>
      </c>
      <c r="B7" s="6">
        <v>4602</v>
      </c>
      <c r="C7" s="6">
        <v>1742</v>
      </c>
      <c r="D7" s="6">
        <v>104</v>
      </c>
      <c r="E7" s="6">
        <v>25</v>
      </c>
      <c r="F7" s="6">
        <v>72</v>
      </c>
    </row>
    <row r="8" spans="1:6" x14ac:dyDescent="0.35">
      <c r="A8" s="6" t="s">
        <v>9691</v>
      </c>
      <c r="B8" s="6">
        <v>1719</v>
      </c>
      <c r="C8" s="6">
        <v>646</v>
      </c>
      <c r="D8" s="6">
        <v>4</v>
      </c>
      <c r="E8" s="6">
        <v>21</v>
      </c>
      <c r="F8" s="6">
        <v>22</v>
      </c>
    </row>
    <row r="9" spans="1:6" x14ac:dyDescent="0.35">
      <c r="A9" s="6" t="s">
        <v>9692</v>
      </c>
      <c r="B9" s="6">
        <v>1999</v>
      </c>
      <c r="C9" s="6">
        <v>1833</v>
      </c>
      <c r="D9" s="6">
        <v>25</v>
      </c>
      <c r="E9" s="6">
        <v>22</v>
      </c>
      <c r="F9" s="6">
        <v>95</v>
      </c>
    </row>
    <row r="10" spans="1:6" x14ac:dyDescent="0.35">
      <c r="A10" s="6" t="s">
        <v>9693</v>
      </c>
      <c r="B10" s="6">
        <v>2486</v>
      </c>
      <c r="C10" s="6">
        <v>1043</v>
      </c>
      <c r="D10" s="6">
        <v>63</v>
      </c>
      <c r="E10" s="6">
        <v>12</v>
      </c>
      <c r="F10" s="6">
        <v>49</v>
      </c>
    </row>
    <row r="11" spans="1:6" x14ac:dyDescent="0.35">
      <c r="A11" s="6" t="s">
        <v>9694</v>
      </c>
      <c r="B11" s="6">
        <v>2598</v>
      </c>
      <c r="C11" s="6">
        <v>1334</v>
      </c>
      <c r="D11" s="6">
        <v>279</v>
      </c>
      <c r="E11" s="6">
        <v>19</v>
      </c>
      <c r="F11" s="6">
        <v>70</v>
      </c>
    </row>
    <row r="12" spans="1:6" x14ac:dyDescent="0.35">
      <c r="A12" s="6" t="s">
        <v>9695</v>
      </c>
      <c r="B12" s="6">
        <v>1465</v>
      </c>
      <c r="C12" s="6">
        <v>3075</v>
      </c>
      <c r="D12" s="6">
        <v>37</v>
      </c>
      <c r="E12" s="6">
        <v>46</v>
      </c>
      <c r="F12" s="6">
        <v>138</v>
      </c>
    </row>
    <row r="13" spans="1:6" x14ac:dyDescent="0.35">
      <c r="A13" s="6" t="s">
        <v>9696</v>
      </c>
      <c r="B13" s="6">
        <v>6539</v>
      </c>
      <c r="C13" s="6">
        <v>3413</v>
      </c>
      <c r="D13" s="6">
        <v>57</v>
      </c>
      <c r="E13" s="6">
        <v>58</v>
      </c>
      <c r="F13" s="6">
        <v>148</v>
      </c>
    </row>
    <row r="14" spans="1:6" x14ac:dyDescent="0.35">
      <c r="A14" s="6" t="s">
        <v>9697</v>
      </c>
      <c r="B14" s="6">
        <v>7896</v>
      </c>
      <c r="C14" s="6">
        <v>4099</v>
      </c>
      <c r="D14" s="6">
        <v>60</v>
      </c>
      <c r="E14" s="6">
        <v>77</v>
      </c>
      <c r="F14" s="6">
        <v>159</v>
      </c>
    </row>
    <row r="15" spans="1:6" x14ac:dyDescent="0.35">
      <c r="A15" s="6" t="s">
        <v>9698</v>
      </c>
      <c r="B15" s="6">
        <v>13824</v>
      </c>
      <c r="C15" s="6">
        <v>6033</v>
      </c>
      <c r="D15" s="6">
        <v>284</v>
      </c>
      <c r="E15" s="6">
        <v>67</v>
      </c>
      <c r="F15" s="6">
        <v>249</v>
      </c>
    </row>
    <row r="16" spans="1:6" x14ac:dyDescent="0.35">
      <c r="A16" s="6" t="s">
        <v>9699</v>
      </c>
      <c r="B16" s="6">
        <v>7218</v>
      </c>
      <c r="C16" s="6">
        <v>2326</v>
      </c>
      <c r="D16" s="6">
        <v>64</v>
      </c>
      <c r="E16" s="6">
        <v>33</v>
      </c>
      <c r="F16" s="6">
        <v>105</v>
      </c>
    </row>
    <row r="17" spans="1:6" x14ac:dyDescent="0.35">
      <c r="A17" s="7" t="s">
        <v>9687</v>
      </c>
      <c r="B17" s="7">
        <v>58586</v>
      </c>
      <c r="C17" s="7">
        <v>28460</v>
      </c>
      <c r="D17" s="7">
        <v>1069</v>
      </c>
      <c r="E17" s="7">
        <v>467</v>
      </c>
      <c r="F17" s="7">
        <v>1243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86"/>
  <sheetViews>
    <sheetView workbookViewId="0">
      <selection activeCell="C16" sqref="C16"/>
    </sheetView>
  </sheetViews>
  <sheetFormatPr defaultRowHeight="14.5" x14ac:dyDescent="0.35"/>
  <cols>
    <col min="1" max="1" width="16.81640625" customWidth="1"/>
  </cols>
  <sheetData>
    <row r="1" spans="1:41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spans="1:41" x14ac:dyDescent="0.35">
      <c r="A2" s="1">
        <v>44926.920138888891</v>
      </c>
      <c r="B2">
        <v>564137</v>
      </c>
      <c r="C2" t="s">
        <v>41</v>
      </c>
      <c r="D2" t="s">
        <v>42</v>
      </c>
      <c r="E2" s="2">
        <v>40389</v>
      </c>
      <c r="F2" t="str">
        <f>"9781416611226"</f>
        <v>9781416611226</v>
      </c>
      <c r="G2" t="str">
        <f>"9781416610366"</f>
        <v>9781416610366</v>
      </c>
      <c r="H2" t="s">
        <v>43</v>
      </c>
      <c r="I2">
        <v>510.71</v>
      </c>
      <c r="K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44</v>
      </c>
      <c r="S2">
        <v>0</v>
      </c>
      <c r="W2" s="3">
        <v>1.0763888888888889E-3</v>
      </c>
      <c r="X2" t="s">
        <v>48</v>
      </c>
      <c r="Y2">
        <v>11</v>
      </c>
      <c r="Z2">
        <v>0</v>
      </c>
      <c r="AA2" t="s">
        <v>49</v>
      </c>
      <c r="AB2">
        <v>0</v>
      </c>
      <c r="AC2" t="s">
        <v>49</v>
      </c>
      <c r="AD2">
        <v>0</v>
      </c>
      <c r="AE2">
        <v>10408617</v>
      </c>
      <c r="AF2" t="s">
        <v>50</v>
      </c>
      <c r="AG2" t="s">
        <v>51</v>
      </c>
    </row>
    <row r="3" spans="1:41" x14ac:dyDescent="0.35">
      <c r="A3" s="1">
        <v>44925.852777777778</v>
      </c>
      <c r="B3">
        <v>5742551</v>
      </c>
      <c r="C3" t="s">
        <v>52</v>
      </c>
      <c r="D3" t="s">
        <v>53</v>
      </c>
      <c r="E3" s="2">
        <v>43662</v>
      </c>
      <c r="F3" t="str">
        <f>"9780691189161"</f>
        <v>9780691189161</v>
      </c>
      <c r="G3" t="str">
        <f>"9780691181318"</f>
        <v>9780691181318</v>
      </c>
      <c r="H3" t="s">
        <v>43</v>
      </c>
      <c r="I3">
        <v>515.09</v>
      </c>
      <c r="J3" t="s">
        <v>54</v>
      </c>
      <c r="K3" t="s">
        <v>55</v>
      </c>
      <c r="Q3" t="s">
        <v>47</v>
      </c>
      <c r="R3" t="s">
        <v>44</v>
      </c>
      <c r="S3">
        <v>0</v>
      </c>
      <c r="W3" s="3">
        <v>2.4305555555555552E-4</v>
      </c>
      <c r="X3" t="s">
        <v>56</v>
      </c>
      <c r="Y3">
        <v>3</v>
      </c>
      <c r="Z3">
        <v>0</v>
      </c>
      <c r="AA3" t="s">
        <v>49</v>
      </c>
      <c r="AB3">
        <v>0</v>
      </c>
      <c r="AC3" t="s">
        <v>49</v>
      </c>
      <c r="AD3">
        <v>0</v>
      </c>
      <c r="AE3">
        <v>-1</v>
      </c>
      <c r="AF3" t="s">
        <v>50</v>
      </c>
      <c r="AG3" t="s">
        <v>57</v>
      </c>
    </row>
    <row r="4" spans="1:41" x14ac:dyDescent="0.35">
      <c r="A4" s="1">
        <v>44925.659722222219</v>
      </c>
      <c r="B4">
        <v>6739237</v>
      </c>
      <c r="C4" t="s">
        <v>58</v>
      </c>
      <c r="D4" t="s">
        <v>59</v>
      </c>
      <c r="E4" s="2">
        <v>44502</v>
      </c>
      <c r="F4" t="str">
        <f>"9781119796725"</f>
        <v>9781119796725</v>
      </c>
      <c r="G4" t="str">
        <f>"9781119796718"</f>
        <v>9781119796718</v>
      </c>
      <c r="H4" t="s">
        <v>60</v>
      </c>
      <c r="I4">
        <v>658.40129999999999</v>
      </c>
      <c r="J4" t="s">
        <v>61</v>
      </c>
      <c r="K4" t="s">
        <v>55</v>
      </c>
      <c r="Q4" t="s">
        <v>47</v>
      </c>
      <c r="R4" t="s">
        <v>44</v>
      </c>
      <c r="S4">
        <v>0</v>
      </c>
      <c r="W4" s="3">
        <v>3.0902777777777779E-2</v>
      </c>
      <c r="X4" t="s">
        <v>62</v>
      </c>
      <c r="Y4">
        <v>31</v>
      </c>
      <c r="Z4">
        <v>0</v>
      </c>
      <c r="AA4" t="s">
        <v>49</v>
      </c>
      <c r="AB4">
        <v>0</v>
      </c>
      <c r="AC4" t="s">
        <v>49</v>
      </c>
      <c r="AD4">
        <v>0</v>
      </c>
      <c r="AE4">
        <v>-1</v>
      </c>
      <c r="AF4" t="s">
        <v>63</v>
      </c>
      <c r="AG4" t="s">
        <v>57</v>
      </c>
    </row>
    <row r="5" spans="1:41" x14ac:dyDescent="0.35">
      <c r="A5" s="1">
        <v>44925.574305555558</v>
      </c>
      <c r="B5">
        <v>6788116</v>
      </c>
      <c r="C5" t="s">
        <v>64</v>
      </c>
      <c r="D5" t="s">
        <v>65</v>
      </c>
      <c r="E5" s="2">
        <v>44490</v>
      </c>
      <c r="F5" t="str">
        <f>"9780323900058"</f>
        <v>9780323900058</v>
      </c>
      <c r="G5" t="str">
        <f>"9780323897754"</f>
        <v>9780323897754</v>
      </c>
      <c r="H5" t="s">
        <v>66</v>
      </c>
      <c r="I5">
        <v>570.28499999999997</v>
      </c>
      <c r="J5" t="s">
        <v>67</v>
      </c>
      <c r="K5" t="s">
        <v>55</v>
      </c>
      <c r="Q5" t="s">
        <v>47</v>
      </c>
      <c r="R5" t="s">
        <v>44</v>
      </c>
      <c r="S5">
        <v>0</v>
      </c>
      <c r="W5" s="3">
        <v>1.8865740740740742E-3</v>
      </c>
      <c r="X5" t="s">
        <v>68</v>
      </c>
      <c r="Y5">
        <v>4</v>
      </c>
      <c r="Z5">
        <v>0</v>
      </c>
      <c r="AA5" t="s">
        <v>49</v>
      </c>
      <c r="AB5">
        <v>0</v>
      </c>
      <c r="AC5" t="s">
        <v>49</v>
      </c>
      <c r="AD5">
        <v>0</v>
      </c>
      <c r="AE5">
        <v>-1</v>
      </c>
      <c r="AF5" t="s">
        <v>50</v>
      </c>
      <c r="AG5" t="s">
        <v>69</v>
      </c>
    </row>
    <row r="6" spans="1:41" x14ac:dyDescent="0.35">
      <c r="A6" s="1">
        <v>44925.563194444447</v>
      </c>
      <c r="B6">
        <v>919102</v>
      </c>
      <c r="C6" t="s">
        <v>70</v>
      </c>
      <c r="D6" t="s">
        <v>71</v>
      </c>
      <c r="E6" s="2">
        <v>40908</v>
      </c>
      <c r="F6" t="str">
        <f>"9789814374927"</f>
        <v>9789814374927</v>
      </c>
      <c r="G6" t="str">
        <f>"9789814374910"</f>
        <v>9789814374910</v>
      </c>
      <c r="H6" t="s">
        <v>72</v>
      </c>
      <c r="I6">
        <v>530.13300000000004</v>
      </c>
      <c r="J6" t="s">
        <v>73</v>
      </c>
      <c r="K6" t="s">
        <v>44</v>
      </c>
      <c r="N6" t="s">
        <v>45</v>
      </c>
      <c r="O6" t="s">
        <v>46</v>
      </c>
      <c r="P6" t="s">
        <v>45</v>
      </c>
      <c r="Q6" t="s">
        <v>47</v>
      </c>
      <c r="R6" t="s">
        <v>44</v>
      </c>
      <c r="S6">
        <v>1</v>
      </c>
      <c r="W6" s="3">
        <v>0</v>
      </c>
      <c r="X6" t="s">
        <v>49</v>
      </c>
      <c r="Y6">
        <v>0</v>
      </c>
      <c r="Z6">
        <v>0</v>
      </c>
      <c r="AA6" t="s">
        <v>49</v>
      </c>
      <c r="AB6">
        <v>0</v>
      </c>
      <c r="AC6" t="s">
        <v>49</v>
      </c>
      <c r="AD6">
        <v>0</v>
      </c>
      <c r="AE6">
        <v>10563566</v>
      </c>
      <c r="AF6" t="s">
        <v>63</v>
      </c>
      <c r="AG6" t="s">
        <v>74</v>
      </c>
    </row>
    <row r="7" spans="1:41" x14ac:dyDescent="0.35">
      <c r="A7" s="1">
        <v>44925.518055555556</v>
      </c>
      <c r="B7">
        <v>6884717</v>
      </c>
      <c r="C7" t="s">
        <v>75</v>
      </c>
      <c r="D7" t="s">
        <v>76</v>
      </c>
      <c r="E7" s="2">
        <v>44652</v>
      </c>
      <c r="F7" t="str">
        <f>"9781000565812"</f>
        <v>9781000565812</v>
      </c>
      <c r="G7" t="str">
        <f>"9780367619176"</f>
        <v>9780367619176</v>
      </c>
      <c r="H7" t="s">
        <v>77</v>
      </c>
      <c r="I7">
        <v>610.28499999999997</v>
      </c>
      <c r="J7" t="s">
        <v>78</v>
      </c>
      <c r="K7" t="s">
        <v>55</v>
      </c>
      <c r="N7" t="s">
        <v>79</v>
      </c>
      <c r="P7" t="s">
        <v>80</v>
      </c>
      <c r="Q7" t="s">
        <v>47</v>
      </c>
      <c r="R7" t="s">
        <v>44</v>
      </c>
      <c r="S7">
        <v>0</v>
      </c>
      <c r="W7" s="3">
        <v>4.9768518518518521E-4</v>
      </c>
      <c r="X7" t="s">
        <v>81</v>
      </c>
      <c r="Y7">
        <v>8</v>
      </c>
      <c r="Z7">
        <v>0</v>
      </c>
      <c r="AA7" t="s">
        <v>49</v>
      </c>
      <c r="AB7">
        <v>0</v>
      </c>
      <c r="AC7" t="s">
        <v>49</v>
      </c>
      <c r="AD7">
        <v>0</v>
      </c>
      <c r="AE7">
        <v>-1</v>
      </c>
      <c r="AF7" t="s">
        <v>50</v>
      </c>
      <c r="AG7" t="s">
        <v>82</v>
      </c>
    </row>
    <row r="8" spans="1:41" x14ac:dyDescent="0.35">
      <c r="A8" s="1">
        <v>44925.484027777777</v>
      </c>
      <c r="B8">
        <v>3058870</v>
      </c>
      <c r="C8" t="s">
        <v>83</v>
      </c>
      <c r="D8" t="s">
        <v>59</v>
      </c>
      <c r="E8" s="2">
        <v>41365</v>
      </c>
      <c r="F8" t="str">
        <f>"9781118511046"</f>
        <v>9781118511046</v>
      </c>
      <c r="G8" t="str">
        <f>"9781405194174"</f>
        <v>9781405194174</v>
      </c>
      <c r="H8" t="s">
        <v>84</v>
      </c>
      <c r="I8" t="s">
        <v>85</v>
      </c>
      <c r="J8" t="s">
        <v>86</v>
      </c>
      <c r="K8" t="s">
        <v>44</v>
      </c>
      <c r="N8" t="s">
        <v>45</v>
      </c>
      <c r="O8" t="s">
        <v>46</v>
      </c>
      <c r="P8" t="s">
        <v>45</v>
      </c>
      <c r="Q8" t="s">
        <v>47</v>
      </c>
      <c r="R8" t="s">
        <v>44</v>
      </c>
      <c r="S8">
        <v>0</v>
      </c>
      <c r="W8" s="3">
        <v>2.5277777777777777E-2</v>
      </c>
      <c r="X8" t="s">
        <v>87</v>
      </c>
      <c r="Y8">
        <v>16</v>
      </c>
      <c r="Z8">
        <v>0</v>
      </c>
      <c r="AA8" t="s">
        <v>49</v>
      </c>
      <c r="AB8">
        <v>0</v>
      </c>
      <c r="AC8" t="s">
        <v>49</v>
      </c>
      <c r="AD8">
        <v>0</v>
      </c>
      <c r="AE8">
        <v>10657582</v>
      </c>
      <c r="AF8" t="s">
        <v>50</v>
      </c>
      <c r="AG8" t="s">
        <v>57</v>
      </c>
    </row>
    <row r="9" spans="1:41" x14ac:dyDescent="0.35">
      <c r="A9" s="1">
        <v>44924.780555555553</v>
      </c>
      <c r="B9">
        <v>4812964</v>
      </c>
      <c r="C9" t="s">
        <v>88</v>
      </c>
      <c r="D9" t="s">
        <v>89</v>
      </c>
      <c r="E9" s="2">
        <v>42614</v>
      </c>
      <c r="F9" t="str">
        <f>"9780787735012"</f>
        <v>9780787735012</v>
      </c>
      <c r="G9" t="str">
        <f>""</f>
        <v/>
      </c>
      <c r="H9" t="s">
        <v>90</v>
      </c>
      <c r="I9">
        <v>379.26</v>
      </c>
      <c r="J9" t="s">
        <v>91</v>
      </c>
      <c r="K9" t="s">
        <v>44</v>
      </c>
      <c r="N9" t="s">
        <v>45</v>
      </c>
      <c r="O9" t="s">
        <v>46</v>
      </c>
      <c r="P9" t="s">
        <v>45</v>
      </c>
      <c r="Q9" t="s">
        <v>47</v>
      </c>
      <c r="R9" t="s">
        <v>44</v>
      </c>
      <c r="S9">
        <v>0</v>
      </c>
      <c r="W9" s="3">
        <v>5.3240740740740744E-4</v>
      </c>
      <c r="X9" t="s">
        <v>92</v>
      </c>
      <c r="Y9">
        <v>7</v>
      </c>
      <c r="Z9">
        <v>0</v>
      </c>
      <c r="AA9" t="s">
        <v>49</v>
      </c>
      <c r="AB9">
        <v>0</v>
      </c>
      <c r="AC9" t="s">
        <v>49</v>
      </c>
      <c r="AD9">
        <v>0</v>
      </c>
      <c r="AE9">
        <v>11352961</v>
      </c>
      <c r="AF9" t="s">
        <v>50</v>
      </c>
      <c r="AG9" t="s">
        <v>57</v>
      </c>
    </row>
    <row r="10" spans="1:41" x14ac:dyDescent="0.35">
      <c r="A10" s="1">
        <v>44924.738888888889</v>
      </c>
      <c r="B10">
        <v>4959194</v>
      </c>
      <c r="C10" t="s">
        <v>93</v>
      </c>
      <c r="D10" t="s">
        <v>94</v>
      </c>
      <c r="E10" s="2">
        <v>41167</v>
      </c>
      <c r="F10" t="str">
        <f>"9780071777131"</f>
        <v>9780071777131</v>
      </c>
      <c r="G10" t="str">
        <f>"9780071777148"</f>
        <v>9780071777148</v>
      </c>
      <c r="H10" t="s">
        <v>95</v>
      </c>
      <c r="I10">
        <v>620.11270000000002</v>
      </c>
      <c r="J10" t="s">
        <v>96</v>
      </c>
      <c r="K10" t="s">
        <v>55</v>
      </c>
      <c r="P10" t="s">
        <v>97</v>
      </c>
      <c r="Q10" t="s">
        <v>47</v>
      </c>
      <c r="R10" t="s">
        <v>44</v>
      </c>
      <c r="S10">
        <v>0</v>
      </c>
      <c r="W10" s="3">
        <v>0</v>
      </c>
      <c r="X10" t="s">
        <v>49</v>
      </c>
      <c r="Y10">
        <v>0</v>
      </c>
      <c r="Z10">
        <v>2</v>
      </c>
      <c r="AA10" t="s">
        <v>98</v>
      </c>
      <c r="AB10">
        <v>182</v>
      </c>
      <c r="AC10" t="s">
        <v>49</v>
      </c>
      <c r="AD10">
        <v>0</v>
      </c>
      <c r="AE10">
        <v>-1</v>
      </c>
      <c r="AF10" t="s">
        <v>63</v>
      </c>
      <c r="AG10" t="s">
        <v>57</v>
      </c>
    </row>
    <row r="11" spans="1:41" x14ac:dyDescent="0.35">
      <c r="A11" s="1">
        <v>44924.533333333333</v>
      </c>
      <c r="B11">
        <v>1446430</v>
      </c>
      <c r="C11" t="s">
        <v>99</v>
      </c>
      <c r="D11" t="s">
        <v>76</v>
      </c>
      <c r="E11" s="2">
        <v>40274</v>
      </c>
      <c r="F11" t="str">
        <f>"9781439882573"</f>
        <v>9781439882573</v>
      </c>
      <c r="G11" t="str">
        <f>"9781420085983"</f>
        <v>9781420085983</v>
      </c>
      <c r="H11" t="s">
        <v>100</v>
      </c>
      <c r="I11" t="s">
        <v>101</v>
      </c>
      <c r="J11" t="s">
        <v>102</v>
      </c>
      <c r="K11" t="s">
        <v>44</v>
      </c>
      <c r="N11" t="s">
        <v>45</v>
      </c>
      <c r="O11" t="s">
        <v>46</v>
      </c>
      <c r="P11" t="s">
        <v>45</v>
      </c>
      <c r="Q11" t="s">
        <v>47</v>
      </c>
      <c r="R11" t="s">
        <v>44</v>
      </c>
      <c r="S11">
        <v>0</v>
      </c>
      <c r="W11" s="3">
        <v>1.273148148148148E-4</v>
      </c>
      <c r="X11" t="s">
        <v>103</v>
      </c>
      <c r="Y11">
        <v>3</v>
      </c>
      <c r="Z11">
        <v>0</v>
      </c>
      <c r="AA11" t="s">
        <v>49</v>
      </c>
      <c r="AB11">
        <v>0</v>
      </c>
      <c r="AC11" t="s">
        <v>49</v>
      </c>
      <c r="AD11">
        <v>0</v>
      </c>
      <c r="AE11">
        <v>11166018</v>
      </c>
      <c r="AF11" t="s">
        <v>50</v>
      </c>
      <c r="AG11" t="s">
        <v>57</v>
      </c>
    </row>
    <row r="12" spans="1:41" x14ac:dyDescent="0.35">
      <c r="A12" s="1">
        <v>44922.563194444447</v>
      </c>
      <c r="B12">
        <v>5725435</v>
      </c>
      <c r="C12" t="s">
        <v>104</v>
      </c>
      <c r="D12" t="s">
        <v>105</v>
      </c>
      <c r="E12" s="2">
        <v>43531</v>
      </c>
      <c r="F12" t="str">
        <f>"9783030119287"</f>
        <v>9783030119287</v>
      </c>
      <c r="G12" t="str">
        <f>"9783030119270"</f>
        <v>9783030119270</v>
      </c>
      <c r="H12" t="s">
        <v>106</v>
      </c>
      <c r="I12">
        <v>6.3</v>
      </c>
      <c r="J12" t="s">
        <v>107</v>
      </c>
      <c r="K12" t="s">
        <v>55</v>
      </c>
      <c r="Q12" t="s">
        <v>47</v>
      </c>
      <c r="R12" t="s">
        <v>44</v>
      </c>
      <c r="S12">
        <v>0</v>
      </c>
      <c r="W12" s="3">
        <v>3.7962962962962963E-3</v>
      </c>
      <c r="X12" t="s">
        <v>108</v>
      </c>
      <c r="Y12">
        <v>7</v>
      </c>
      <c r="Z12">
        <v>0</v>
      </c>
      <c r="AA12" t="s">
        <v>49</v>
      </c>
      <c r="AB12">
        <v>0</v>
      </c>
      <c r="AC12" t="s">
        <v>49</v>
      </c>
      <c r="AD12">
        <v>0</v>
      </c>
      <c r="AE12">
        <v>-1</v>
      </c>
      <c r="AF12" t="s">
        <v>50</v>
      </c>
      <c r="AG12" t="s">
        <v>51</v>
      </c>
    </row>
    <row r="13" spans="1:41" x14ac:dyDescent="0.35">
      <c r="A13" s="1">
        <v>44922.530555555553</v>
      </c>
      <c r="B13">
        <v>3058870</v>
      </c>
      <c r="C13" t="s">
        <v>83</v>
      </c>
      <c r="D13" t="s">
        <v>59</v>
      </c>
      <c r="E13" s="2">
        <v>41365</v>
      </c>
      <c r="F13" t="str">
        <f>"9781118511046"</f>
        <v>9781118511046</v>
      </c>
      <c r="G13" t="str">
        <f>"9781405194174"</f>
        <v>9781405194174</v>
      </c>
      <c r="H13" t="s">
        <v>84</v>
      </c>
      <c r="I13" t="s">
        <v>85</v>
      </c>
      <c r="J13" t="s">
        <v>86</v>
      </c>
      <c r="K13" t="s">
        <v>44</v>
      </c>
      <c r="N13" t="s">
        <v>45</v>
      </c>
      <c r="O13" t="s">
        <v>46</v>
      </c>
      <c r="P13" t="s">
        <v>45</v>
      </c>
      <c r="Q13" t="s">
        <v>47</v>
      </c>
      <c r="R13" t="s">
        <v>44</v>
      </c>
      <c r="S13">
        <v>0</v>
      </c>
      <c r="W13" s="3">
        <v>3.7662037037037036E-2</v>
      </c>
      <c r="X13" t="s">
        <v>109</v>
      </c>
      <c r="Y13">
        <v>26</v>
      </c>
      <c r="Z13">
        <v>0</v>
      </c>
      <c r="AA13" t="s">
        <v>49</v>
      </c>
      <c r="AB13">
        <v>0</v>
      </c>
      <c r="AC13" t="s">
        <v>49</v>
      </c>
      <c r="AD13">
        <v>0</v>
      </c>
      <c r="AE13">
        <v>10657582</v>
      </c>
      <c r="AF13" t="s">
        <v>63</v>
      </c>
      <c r="AG13" t="s">
        <v>57</v>
      </c>
    </row>
    <row r="14" spans="1:41" x14ac:dyDescent="0.35">
      <c r="A14" s="1">
        <v>44922.529861111114</v>
      </c>
      <c r="B14">
        <v>6838693</v>
      </c>
      <c r="C14" t="s">
        <v>110</v>
      </c>
      <c r="D14" t="s">
        <v>105</v>
      </c>
      <c r="E14" s="2">
        <v>44525</v>
      </c>
      <c r="F14" t="str">
        <f>"9783030762315"</f>
        <v>9783030762315</v>
      </c>
      <c r="G14" t="str">
        <f>"9783030762308"</f>
        <v>9783030762308</v>
      </c>
      <c r="H14" t="s">
        <v>111</v>
      </c>
      <c r="I14">
        <v>363.70499999999998</v>
      </c>
      <c r="J14" t="s">
        <v>112</v>
      </c>
      <c r="K14" t="s">
        <v>55</v>
      </c>
      <c r="Q14" t="s">
        <v>47</v>
      </c>
      <c r="R14" t="s">
        <v>44</v>
      </c>
      <c r="S14">
        <v>0</v>
      </c>
      <c r="W14" s="3">
        <v>6.9444444444444444E-5</v>
      </c>
      <c r="X14" t="s">
        <v>113</v>
      </c>
      <c r="Y14">
        <v>2</v>
      </c>
      <c r="Z14">
        <v>0</v>
      </c>
      <c r="AA14" t="s">
        <v>49</v>
      </c>
      <c r="AB14">
        <v>0</v>
      </c>
      <c r="AC14" t="s">
        <v>49</v>
      </c>
      <c r="AD14">
        <v>0</v>
      </c>
      <c r="AE14">
        <v>-1</v>
      </c>
      <c r="AF14" t="s">
        <v>50</v>
      </c>
      <c r="AG14" t="s">
        <v>57</v>
      </c>
    </row>
    <row r="15" spans="1:41" x14ac:dyDescent="0.35">
      <c r="A15" s="1">
        <v>44922.46875</v>
      </c>
      <c r="B15">
        <v>4793899</v>
      </c>
      <c r="C15" t="s">
        <v>114</v>
      </c>
      <c r="D15" t="s">
        <v>115</v>
      </c>
      <c r="E15" s="2">
        <v>42709</v>
      </c>
      <c r="F15" t="str">
        <f>"9783110369632"</f>
        <v>9783110369632</v>
      </c>
      <c r="G15" t="str">
        <f>"9783110374575"</f>
        <v>9783110374575</v>
      </c>
      <c r="H15" t="s">
        <v>116</v>
      </c>
      <c r="I15">
        <v>662.88</v>
      </c>
      <c r="J15" t="s">
        <v>117</v>
      </c>
      <c r="K15" t="s">
        <v>44</v>
      </c>
      <c r="N15" t="s">
        <v>45</v>
      </c>
      <c r="O15" t="s">
        <v>46</v>
      </c>
      <c r="P15" t="s">
        <v>45</v>
      </c>
      <c r="Q15" t="s">
        <v>47</v>
      </c>
      <c r="R15" t="s">
        <v>44</v>
      </c>
      <c r="S15">
        <v>1</v>
      </c>
      <c r="W15" s="3">
        <v>1.1574074074074073E-5</v>
      </c>
      <c r="X15" t="s">
        <v>49</v>
      </c>
      <c r="Y15">
        <v>0</v>
      </c>
      <c r="Z15">
        <v>0</v>
      </c>
      <c r="AA15" t="s">
        <v>49</v>
      </c>
      <c r="AB15">
        <v>0</v>
      </c>
      <c r="AC15" t="s">
        <v>49</v>
      </c>
      <c r="AD15">
        <v>0</v>
      </c>
      <c r="AE15">
        <v>11334797</v>
      </c>
      <c r="AF15" t="s">
        <v>63</v>
      </c>
      <c r="AG15" t="s">
        <v>118</v>
      </c>
    </row>
    <row r="16" spans="1:41" x14ac:dyDescent="0.35">
      <c r="A16" s="1">
        <v>44922.104166666664</v>
      </c>
      <c r="B16">
        <v>4952448</v>
      </c>
      <c r="C16" t="s">
        <v>119</v>
      </c>
      <c r="D16" t="s">
        <v>65</v>
      </c>
      <c r="E16" s="2">
        <v>40957</v>
      </c>
      <c r="F16" t="str">
        <f>"9781283735179"</f>
        <v>9781283735179</v>
      </c>
      <c r="G16" t="str">
        <f>""</f>
        <v/>
      </c>
      <c r="H16" t="s">
        <v>120</v>
      </c>
      <c r="I16">
        <v>629.13229999999999</v>
      </c>
      <c r="K16" t="s">
        <v>55</v>
      </c>
      <c r="P16" t="s">
        <v>97</v>
      </c>
      <c r="Q16" t="s">
        <v>47</v>
      </c>
      <c r="R16" t="s">
        <v>44</v>
      </c>
      <c r="S16">
        <v>0</v>
      </c>
      <c r="W16" s="3">
        <v>2.3148148148148147E-5</v>
      </c>
      <c r="X16" t="s">
        <v>121</v>
      </c>
      <c r="Y16">
        <v>1</v>
      </c>
      <c r="Z16">
        <v>0</v>
      </c>
      <c r="AA16" t="s">
        <v>49</v>
      </c>
      <c r="AB16">
        <v>0</v>
      </c>
      <c r="AC16" t="s">
        <v>49</v>
      </c>
      <c r="AD16">
        <v>0</v>
      </c>
      <c r="AE16">
        <v>-1</v>
      </c>
      <c r="AF16" t="s">
        <v>50</v>
      </c>
      <c r="AG16" t="s">
        <v>122</v>
      </c>
    </row>
    <row r="17" spans="1:33" x14ac:dyDescent="0.35">
      <c r="A17" s="1">
        <v>44922.025000000001</v>
      </c>
      <c r="B17">
        <v>4952448</v>
      </c>
      <c r="C17" t="s">
        <v>119</v>
      </c>
      <c r="D17" t="s">
        <v>65</v>
      </c>
      <c r="E17" s="2">
        <v>40957</v>
      </c>
      <c r="F17" t="str">
        <f>"9781283735179"</f>
        <v>9781283735179</v>
      </c>
      <c r="G17" t="str">
        <f>""</f>
        <v/>
      </c>
      <c r="H17" t="s">
        <v>120</v>
      </c>
      <c r="I17">
        <v>629.13229999999999</v>
      </c>
      <c r="K17" t="s">
        <v>55</v>
      </c>
      <c r="P17" t="s">
        <v>97</v>
      </c>
      <c r="Q17" t="s">
        <v>47</v>
      </c>
      <c r="R17" t="s">
        <v>44</v>
      </c>
      <c r="S17">
        <v>0</v>
      </c>
      <c r="W17" s="3">
        <v>3.5497685185185188E-2</v>
      </c>
      <c r="X17" t="s">
        <v>123</v>
      </c>
      <c r="Y17">
        <v>127</v>
      </c>
      <c r="Z17">
        <v>0</v>
      </c>
      <c r="AA17" t="s">
        <v>49</v>
      </c>
      <c r="AB17">
        <v>0</v>
      </c>
      <c r="AC17" t="s">
        <v>49</v>
      </c>
      <c r="AD17">
        <v>0</v>
      </c>
      <c r="AE17">
        <v>-1</v>
      </c>
      <c r="AF17" t="s">
        <v>50</v>
      </c>
      <c r="AG17" t="s">
        <v>122</v>
      </c>
    </row>
    <row r="18" spans="1:33" x14ac:dyDescent="0.35">
      <c r="A18" s="1">
        <v>44922.004861111112</v>
      </c>
      <c r="B18">
        <v>5824874</v>
      </c>
      <c r="C18" t="s">
        <v>124</v>
      </c>
      <c r="D18" t="s">
        <v>125</v>
      </c>
      <c r="E18" s="2">
        <v>43672</v>
      </c>
      <c r="F18" t="str">
        <f>"9780192568052"</f>
        <v>9780192568052</v>
      </c>
      <c r="G18" t="str">
        <f>"9780198832102"</f>
        <v>9780198832102</v>
      </c>
      <c r="H18" t="s">
        <v>126</v>
      </c>
      <c r="I18">
        <v>621.03</v>
      </c>
      <c r="J18" t="s">
        <v>127</v>
      </c>
      <c r="K18" t="s">
        <v>55</v>
      </c>
      <c r="Q18" t="s">
        <v>47</v>
      </c>
      <c r="R18" t="s">
        <v>44</v>
      </c>
      <c r="S18">
        <v>0</v>
      </c>
      <c r="W18" s="3">
        <v>2.7777777777777778E-4</v>
      </c>
      <c r="X18" t="s">
        <v>128</v>
      </c>
      <c r="Y18">
        <v>5</v>
      </c>
      <c r="Z18">
        <v>0</v>
      </c>
      <c r="AA18" t="s">
        <v>49</v>
      </c>
      <c r="AB18">
        <v>0</v>
      </c>
      <c r="AC18" t="s">
        <v>49</v>
      </c>
      <c r="AD18">
        <v>0</v>
      </c>
      <c r="AE18">
        <v>-1</v>
      </c>
      <c r="AF18" t="s">
        <v>50</v>
      </c>
      <c r="AG18" t="s">
        <v>122</v>
      </c>
    </row>
    <row r="19" spans="1:33" x14ac:dyDescent="0.35">
      <c r="A19" s="1">
        <v>44921.82916666667</v>
      </c>
      <c r="B19">
        <v>4952448</v>
      </c>
      <c r="C19" t="s">
        <v>119</v>
      </c>
      <c r="D19" t="s">
        <v>65</v>
      </c>
      <c r="E19" s="2">
        <v>40957</v>
      </c>
      <c r="F19" t="str">
        <f>"9781283735179"</f>
        <v>9781283735179</v>
      </c>
      <c r="G19" t="str">
        <f>""</f>
        <v/>
      </c>
      <c r="H19" t="s">
        <v>120</v>
      </c>
      <c r="I19">
        <v>629.13229999999999</v>
      </c>
      <c r="K19" t="s">
        <v>55</v>
      </c>
      <c r="P19" t="s">
        <v>97</v>
      </c>
      <c r="Q19" t="s">
        <v>47</v>
      </c>
      <c r="R19" t="s">
        <v>44</v>
      </c>
      <c r="S19">
        <v>0</v>
      </c>
      <c r="W19" s="3">
        <v>7.858796296296296E-3</v>
      </c>
      <c r="X19" t="s">
        <v>129</v>
      </c>
      <c r="Y19">
        <v>33</v>
      </c>
      <c r="Z19">
        <v>0</v>
      </c>
      <c r="AA19" t="s">
        <v>49</v>
      </c>
      <c r="AB19">
        <v>0</v>
      </c>
      <c r="AC19" t="s">
        <v>49</v>
      </c>
      <c r="AD19">
        <v>0</v>
      </c>
      <c r="AE19">
        <v>-1</v>
      </c>
      <c r="AF19" t="s">
        <v>50</v>
      </c>
      <c r="AG19" t="s">
        <v>122</v>
      </c>
    </row>
    <row r="20" spans="1:33" x14ac:dyDescent="0.35">
      <c r="A20" s="1">
        <v>44921.779861111114</v>
      </c>
      <c r="B20">
        <v>4952448</v>
      </c>
      <c r="C20" t="s">
        <v>119</v>
      </c>
      <c r="D20" t="s">
        <v>65</v>
      </c>
      <c r="E20" s="2">
        <v>40957</v>
      </c>
      <c r="F20" t="str">
        <f>"9781283735179"</f>
        <v>9781283735179</v>
      </c>
      <c r="G20" t="str">
        <f>""</f>
        <v/>
      </c>
      <c r="H20" t="s">
        <v>120</v>
      </c>
      <c r="I20">
        <v>629.13229999999999</v>
      </c>
      <c r="K20" t="s">
        <v>55</v>
      </c>
      <c r="P20" t="s">
        <v>97</v>
      </c>
      <c r="Q20" t="s">
        <v>47</v>
      </c>
      <c r="R20" t="s">
        <v>44</v>
      </c>
      <c r="S20">
        <v>0</v>
      </c>
      <c r="W20" s="3">
        <v>2.5925925925925925E-3</v>
      </c>
      <c r="X20" t="s">
        <v>130</v>
      </c>
      <c r="Y20">
        <v>57</v>
      </c>
      <c r="Z20">
        <v>0</v>
      </c>
      <c r="AA20" t="s">
        <v>49</v>
      </c>
      <c r="AB20">
        <v>0</v>
      </c>
      <c r="AC20" t="s">
        <v>49</v>
      </c>
      <c r="AD20">
        <v>0</v>
      </c>
      <c r="AE20">
        <v>-1</v>
      </c>
      <c r="AF20" t="s">
        <v>50</v>
      </c>
      <c r="AG20" t="s">
        <v>122</v>
      </c>
    </row>
    <row r="21" spans="1:33" x14ac:dyDescent="0.35">
      <c r="A21" s="1">
        <v>44919.495138888888</v>
      </c>
      <c r="B21">
        <v>683252</v>
      </c>
      <c r="C21" t="s">
        <v>131</v>
      </c>
      <c r="D21" t="s">
        <v>132</v>
      </c>
      <c r="E21" s="2">
        <v>40484</v>
      </c>
      <c r="F21" t="str">
        <f>"9780804776417"</f>
        <v>9780804776417</v>
      </c>
      <c r="G21" t="str">
        <f>"9780804748537"</f>
        <v>9780804748537</v>
      </c>
      <c r="H21" t="s">
        <v>133</v>
      </c>
      <c r="I21">
        <v>332.024</v>
      </c>
      <c r="J21" t="s">
        <v>134</v>
      </c>
      <c r="K21" t="s">
        <v>44</v>
      </c>
      <c r="N21" t="s">
        <v>45</v>
      </c>
      <c r="O21" t="s">
        <v>46</v>
      </c>
      <c r="P21" t="s">
        <v>45</v>
      </c>
      <c r="Q21" t="s">
        <v>47</v>
      </c>
      <c r="R21" t="s">
        <v>44</v>
      </c>
      <c r="S21">
        <v>1</v>
      </c>
      <c r="W21" s="3">
        <v>0</v>
      </c>
      <c r="X21" t="s">
        <v>49</v>
      </c>
      <c r="Y21">
        <v>0</v>
      </c>
      <c r="Z21">
        <v>0</v>
      </c>
      <c r="AA21" t="s">
        <v>49</v>
      </c>
      <c r="AB21">
        <v>0</v>
      </c>
      <c r="AC21" t="s">
        <v>49</v>
      </c>
      <c r="AD21">
        <v>0</v>
      </c>
      <c r="AE21">
        <v>10459581</v>
      </c>
      <c r="AF21" t="s">
        <v>63</v>
      </c>
      <c r="AG21" t="s">
        <v>135</v>
      </c>
    </row>
    <row r="22" spans="1:33" x14ac:dyDescent="0.35">
      <c r="A22" s="1">
        <v>44919.48541666667</v>
      </c>
      <c r="B22">
        <v>6854227</v>
      </c>
      <c r="C22" t="s">
        <v>136</v>
      </c>
      <c r="D22" t="s">
        <v>137</v>
      </c>
      <c r="E22" s="2">
        <v>44550</v>
      </c>
      <c r="F22" t="str">
        <f>"9781685075057"</f>
        <v>9781685075057</v>
      </c>
      <c r="G22" t="str">
        <f>"9781685074289"</f>
        <v>9781685074289</v>
      </c>
      <c r="H22" t="s">
        <v>138</v>
      </c>
      <c r="I22">
        <v>5.8</v>
      </c>
      <c r="J22" t="s">
        <v>139</v>
      </c>
      <c r="K22" t="s">
        <v>55</v>
      </c>
      <c r="Q22" t="s">
        <v>47</v>
      </c>
      <c r="R22" t="s">
        <v>44</v>
      </c>
      <c r="S22">
        <v>0</v>
      </c>
      <c r="W22" s="3">
        <v>7.291666666666667E-4</v>
      </c>
      <c r="X22" t="s">
        <v>113</v>
      </c>
      <c r="Y22">
        <v>2</v>
      </c>
      <c r="Z22">
        <v>0</v>
      </c>
      <c r="AA22" t="s">
        <v>49</v>
      </c>
      <c r="AB22">
        <v>0</v>
      </c>
      <c r="AC22" t="s">
        <v>49</v>
      </c>
      <c r="AD22">
        <v>0</v>
      </c>
      <c r="AE22">
        <v>-1</v>
      </c>
      <c r="AF22" t="s">
        <v>63</v>
      </c>
      <c r="AG22" t="s">
        <v>57</v>
      </c>
    </row>
    <row r="23" spans="1:33" x14ac:dyDescent="0.35">
      <c r="A23" s="1">
        <v>44919.481249999997</v>
      </c>
      <c r="B23">
        <v>6507009</v>
      </c>
      <c r="C23" t="s">
        <v>140</v>
      </c>
      <c r="D23" t="s">
        <v>141</v>
      </c>
      <c r="E23" s="2">
        <v>44253</v>
      </c>
      <c r="F23" t="str">
        <f>"9781838985912"</f>
        <v>9781838985912</v>
      </c>
      <c r="G23" t="str">
        <f>"9781838989309"</f>
        <v>9781838989309</v>
      </c>
      <c r="H23" t="s">
        <v>60</v>
      </c>
      <c r="I23">
        <v>658.40407600000003</v>
      </c>
      <c r="J23" t="s">
        <v>142</v>
      </c>
      <c r="K23" t="s">
        <v>55</v>
      </c>
      <c r="Q23" t="s">
        <v>47</v>
      </c>
      <c r="R23" t="s">
        <v>44</v>
      </c>
      <c r="S23">
        <v>0</v>
      </c>
      <c r="W23" s="3">
        <v>3.4722222222222224E-4</v>
      </c>
      <c r="X23" t="s">
        <v>143</v>
      </c>
      <c r="Y23">
        <v>6</v>
      </c>
      <c r="Z23">
        <v>0</v>
      </c>
      <c r="AA23" t="s">
        <v>49</v>
      </c>
      <c r="AB23">
        <v>0</v>
      </c>
      <c r="AC23" t="s">
        <v>49</v>
      </c>
      <c r="AD23">
        <v>0</v>
      </c>
      <c r="AE23">
        <v>-1</v>
      </c>
      <c r="AF23" t="s">
        <v>50</v>
      </c>
      <c r="AG23" t="s">
        <v>144</v>
      </c>
    </row>
    <row r="24" spans="1:33" x14ac:dyDescent="0.35">
      <c r="A24" s="1">
        <v>44919.479166666664</v>
      </c>
      <c r="B24">
        <v>6507009</v>
      </c>
      <c r="C24" t="s">
        <v>140</v>
      </c>
      <c r="D24" t="s">
        <v>141</v>
      </c>
      <c r="E24" s="2">
        <v>44253</v>
      </c>
      <c r="F24" t="str">
        <f>"9781838985912"</f>
        <v>9781838985912</v>
      </c>
      <c r="G24" t="str">
        <f>"9781838989309"</f>
        <v>9781838989309</v>
      </c>
      <c r="H24" t="s">
        <v>60</v>
      </c>
      <c r="I24">
        <v>658.40407600000003</v>
      </c>
      <c r="J24" t="s">
        <v>142</v>
      </c>
      <c r="K24" t="s">
        <v>55</v>
      </c>
      <c r="Q24" t="s">
        <v>47</v>
      </c>
      <c r="R24" t="s">
        <v>44</v>
      </c>
      <c r="S24">
        <v>0</v>
      </c>
      <c r="W24" s="3">
        <v>2.4074074074074076E-3</v>
      </c>
      <c r="X24" t="s">
        <v>113</v>
      </c>
      <c r="Y24">
        <v>2</v>
      </c>
      <c r="Z24">
        <v>0</v>
      </c>
      <c r="AA24" t="s">
        <v>49</v>
      </c>
      <c r="AB24">
        <v>0</v>
      </c>
      <c r="AC24" t="s">
        <v>49</v>
      </c>
      <c r="AD24">
        <v>0</v>
      </c>
      <c r="AE24">
        <v>-1</v>
      </c>
      <c r="AF24" t="s">
        <v>63</v>
      </c>
      <c r="AG24" t="s">
        <v>57</v>
      </c>
    </row>
    <row r="25" spans="1:33" x14ac:dyDescent="0.35">
      <c r="A25" s="1">
        <v>44918.481249999997</v>
      </c>
      <c r="B25">
        <v>1676155</v>
      </c>
      <c r="C25" t="s">
        <v>145</v>
      </c>
      <c r="D25" t="s">
        <v>146</v>
      </c>
      <c r="E25" s="2">
        <v>41686</v>
      </c>
      <c r="F25" t="str">
        <f>"9780335247295"</f>
        <v>9780335247295</v>
      </c>
      <c r="G25" t="str">
        <f>"9780335247288"</f>
        <v>9780335247288</v>
      </c>
      <c r="H25" t="s">
        <v>147</v>
      </c>
      <c r="J25" t="s">
        <v>148</v>
      </c>
      <c r="K25" t="s">
        <v>44</v>
      </c>
      <c r="N25" t="s">
        <v>45</v>
      </c>
      <c r="O25" t="s">
        <v>46</v>
      </c>
      <c r="P25" t="s">
        <v>45</v>
      </c>
      <c r="Q25" t="s">
        <v>47</v>
      </c>
      <c r="R25" t="s">
        <v>44</v>
      </c>
      <c r="S25">
        <v>1</v>
      </c>
      <c r="W25" s="3">
        <v>1.1574074074074073E-5</v>
      </c>
      <c r="X25" t="s">
        <v>49</v>
      </c>
      <c r="Y25">
        <v>0</v>
      </c>
      <c r="Z25">
        <v>0</v>
      </c>
      <c r="AA25" t="s">
        <v>49</v>
      </c>
      <c r="AB25">
        <v>0</v>
      </c>
      <c r="AC25" t="s">
        <v>49</v>
      </c>
      <c r="AD25">
        <v>0</v>
      </c>
      <c r="AE25">
        <v>10859957</v>
      </c>
      <c r="AF25" t="s">
        <v>63</v>
      </c>
      <c r="AG25" t="s">
        <v>51</v>
      </c>
    </row>
    <row r="26" spans="1:33" x14ac:dyDescent="0.35">
      <c r="A26" s="1">
        <v>44918.477083333331</v>
      </c>
      <c r="B26">
        <v>6408493</v>
      </c>
      <c r="C26" t="s">
        <v>149</v>
      </c>
      <c r="D26" t="s">
        <v>150</v>
      </c>
      <c r="E26" s="2">
        <v>43463</v>
      </c>
      <c r="F26" t="str">
        <f>"9781526461551"</f>
        <v>9781526461551</v>
      </c>
      <c r="G26" t="str">
        <f>"9781526419491"</f>
        <v>9781526419491</v>
      </c>
      <c r="H26" t="s">
        <v>151</v>
      </c>
      <c r="I26">
        <v>616.89142500000003</v>
      </c>
      <c r="J26" t="s">
        <v>152</v>
      </c>
      <c r="K26" t="s">
        <v>44</v>
      </c>
      <c r="N26" t="s">
        <v>45</v>
      </c>
      <c r="O26" t="s">
        <v>46</v>
      </c>
      <c r="P26" t="s">
        <v>45</v>
      </c>
      <c r="Q26" t="s">
        <v>47</v>
      </c>
      <c r="R26" t="s">
        <v>44</v>
      </c>
      <c r="S26">
        <v>3</v>
      </c>
      <c r="W26" s="3">
        <v>1.1574074074074073E-5</v>
      </c>
      <c r="X26" t="s">
        <v>49</v>
      </c>
      <c r="Y26">
        <v>0</v>
      </c>
      <c r="Z26">
        <v>0</v>
      </c>
      <c r="AA26" t="s">
        <v>49</v>
      </c>
      <c r="AB26">
        <v>0</v>
      </c>
      <c r="AC26" t="s">
        <v>49</v>
      </c>
      <c r="AD26">
        <v>0</v>
      </c>
      <c r="AE26">
        <v>-1</v>
      </c>
      <c r="AF26" t="s">
        <v>63</v>
      </c>
      <c r="AG26" t="s">
        <v>51</v>
      </c>
    </row>
    <row r="27" spans="1:33" x14ac:dyDescent="0.35">
      <c r="A27" s="1">
        <v>44918.443055555559</v>
      </c>
      <c r="B27">
        <v>3058870</v>
      </c>
      <c r="C27" t="s">
        <v>83</v>
      </c>
      <c r="D27" t="s">
        <v>59</v>
      </c>
      <c r="E27" s="2">
        <v>41365</v>
      </c>
      <c r="F27" t="str">
        <f>"9781118511046"</f>
        <v>9781118511046</v>
      </c>
      <c r="G27" t="str">
        <f>"9781405194174"</f>
        <v>9781405194174</v>
      </c>
      <c r="H27" t="s">
        <v>84</v>
      </c>
      <c r="I27" t="s">
        <v>85</v>
      </c>
      <c r="J27" t="s">
        <v>86</v>
      </c>
      <c r="K27" t="s">
        <v>44</v>
      </c>
      <c r="N27" t="s">
        <v>45</v>
      </c>
      <c r="O27" t="s">
        <v>46</v>
      </c>
      <c r="P27" t="s">
        <v>45</v>
      </c>
      <c r="Q27" t="s">
        <v>47</v>
      </c>
      <c r="R27" t="s">
        <v>44</v>
      </c>
      <c r="S27">
        <v>0</v>
      </c>
      <c r="W27" s="3">
        <v>3.3923611111111113E-2</v>
      </c>
      <c r="X27" t="s">
        <v>153</v>
      </c>
      <c r="Y27">
        <v>11</v>
      </c>
      <c r="Z27">
        <v>0</v>
      </c>
      <c r="AA27" t="s">
        <v>49</v>
      </c>
      <c r="AB27">
        <v>0</v>
      </c>
      <c r="AC27" t="s">
        <v>49</v>
      </c>
      <c r="AD27">
        <v>0</v>
      </c>
      <c r="AE27">
        <v>10657582</v>
      </c>
      <c r="AF27" t="s">
        <v>50</v>
      </c>
      <c r="AG27" t="s">
        <v>57</v>
      </c>
    </row>
    <row r="28" spans="1:33" x14ac:dyDescent="0.35">
      <c r="A28" s="1">
        <v>44918.399305555555</v>
      </c>
      <c r="B28">
        <v>3058870</v>
      </c>
      <c r="C28" t="s">
        <v>83</v>
      </c>
      <c r="D28" t="s">
        <v>59</v>
      </c>
      <c r="E28" s="2">
        <v>41365</v>
      </c>
      <c r="F28" t="str">
        <f>"9781118511046"</f>
        <v>9781118511046</v>
      </c>
      <c r="G28" t="str">
        <f>"9781405194174"</f>
        <v>9781405194174</v>
      </c>
      <c r="H28" t="s">
        <v>84</v>
      </c>
      <c r="I28" t="s">
        <v>85</v>
      </c>
      <c r="J28" t="s">
        <v>86</v>
      </c>
      <c r="K28" t="s">
        <v>44</v>
      </c>
      <c r="N28" t="s">
        <v>45</v>
      </c>
      <c r="O28" t="s">
        <v>46</v>
      </c>
      <c r="P28" t="s">
        <v>45</v>
      </c>
      <c r="Q28" t="s">
        <v>47</v>
      </c>
      <c r="R28" t="s">
        <v>44</v>
      </c>
      <c r="S28">
        <v>0</v>
      </c>
      <c r="W28" s="3">
        <v>1.105324074074074E-2</v>
      </c>
      <c r="X28" t="s">
        <v>154</v>
      </c>
      <c r="Y28">
        <v>21</v>
      </c>
      <c r="Z28">
        <v>0</v>
      </c>
      <c r="AA28" t="s">
        <v>49</v>
      </c>
      <c r="AB28">
        <v>0</v>
      </c>
      <c r="AC28" t="s">
        <v>49</v>
      </c>
      <c r="AD28">
        <v>0</v>
      </c>
      <c r="AE28">
        <v>10657582</v>
      </c>
      <c r="AF28" t="s">
        <v>63</v>
      </c>
      <c r="AG28" t="s">
        <v>57</v>
      </c>
    </row>
    <row r="29" spans="1:33" x14ac:dyDescent="0.35">
      <c r="A29" s="1">
        <v>44917.65</v>
      </c>
      <c r="B29">
        <v>273464</v>
      </c>
      <c r="C29" t="s">
        <v>155</v>
      </c>
      <c r="D29" t="s">
        <v>156</v>
      </c>
      <c r="E29" s="2">
        <v>38769</v>
      </c>
      <c r="F29" t="str">
        <f>"9780253111616"</f>
        <v>9780253111616</v>
      </c>
      <c r="G29" t="str">
        <f>"9780253346582"</f>
        <v>9780253346582</v>
      </c>
      <c r="H29" t="s">
        <v>157</v>
      </c>
      <c r="I29" t="s">
        <v>158</v>
      </c>
      <c r="J29" t="s">
        <v>159</v>
      </c>
      <c r="K29" t="s">
        <v>44</v>
      </c>
      <c r="N29" t="s">
        <v>45</v>
      </c>
      <c r="O29" t="s">
        <v>46</v>
      </c>
      <c r="P29" t="s">
        <v>45</v>
      </c>
      <c r="Q29" t="s">
        <v>47</v>
      </c>
      <c r="R29" t="s">
        <v>44</v>
      </c>
      <c r="S29">
        <v>0</v>
      </c>
      <c r="W29" s="3">
        <v>0</v>
      </c>
      <c r="X29" t="s">
        <v>49</v>
      </c>
      <c r="Y29">
        <v>0</v>
      </c>
      <c r="Z29">
        <v>5</v>
      </c>
      <c r="AA29" t="s">
        <v>160</v>
      </c>
      <c r="AB29">
        <v>45</v>
      </c>
      <c r="AC29" t="s">
        <v>49</v>
      </c>
      <c r="AD29">
        <v>0</v>
      </c>
      <c r="AE29">
        <v>10141050</v>
      </c>
      <c r="AF29" t="s">
        <v>50</v>
      </c>
      <c r="AG29" t="s">
        <v>57</v>
      </c>
    </row>
    <row r="30" spans="1:33" x14ac:dyDescent="0.35">
      <c r="A30" s="1">
        <v>44917.643055555556</v>
      </c>
      <c r="B30">
        <v>1782436</v>
      </c>
      <c r="C30" t="s">
        <v>161</v>
      </c>
      <c r="D30" t="s">
        <v>76</v>
      </c>
      <c r="E30" s="2">
        <v>41486</v>
      </c>
      <c r="F30" t="str">
        <f>"9781317546450"</f>
        <v>9781317546450</v>
      </c>
      <c r="G30" t="str">
        <f>"9781844652228"</f>
        <v>9781844652228</v>
      </c>
      <c r="H30" t="s">
        <v>162</v>
      </c>
      <c r="I30">
        <v>210.90299999999999</v>
      </c>
      <c r="J30" t="s">
        <v>163</v>
      </c>
      <c r="K30" t="s">
        <v>44</v>
      </c>
      <c r="N30" t="s">
        <v>45</v>
      </c>
      <c r="O30" t="s">
        <v>46</v>
      </c>
      <c r="P30" t="s">
        <v>45</v>
      </c>
      <c r="Q30" t="s">
        <v>47</v>
      </c>
      <c r="R30" t="s">
        <v>44</v>
      </c>
      <c r="S30">
        <v>0</v>
      </c>
      <c r="W30" s="3">
        <v>0</v>
      </c>
      <c r="X30" t="s">
        <v>49</v>
      </c>
      <c r="Y30">
        <v>0</v>
      </c>
      <c r="Z30">
        <v>7</v>
      </c>
      <c r="AA30" t="s">
        <v>164</v>
      </c>
      <c r="AB30">
        <v>92</v>
      </c>
      <c r="AC30" t="s">
        <v>49</v>
      </c>
      <c r="AD30">
        <v>0</v>
      </c>
      <c r="AE30">
        <v>10553849</v>
      </c>
      <c r="AF30" t="s">
        <v>50</v>
      </c>
      <c r="AG30" t="s">
        <v>57</v>
      </c>
    </row>
    <row r="31" spans="1:33" x14ac:dyDescent="0.35">
      <c r="A31" s="1">
        <v>44917.606944444444</v>
      </c>
      <c r="B31">
        <v>415636</v>
      </c>
      <c r="C31" t="s">
        <v>165</v>
      </c>
      <c r="D31" t="s">
        <v>125</v>
      </c>
      <c r="E31" s="2">
        <v>39644</v>
      </c>
      <c r="F31" t="str">
        <f>"9780191562204"</f>
        <v>9780191562204</v>
      </c>
      <c r="G31" t="str">
        <f>"9780199542659"</f>
        <v>9780199542659</v>
      </c>
      <c r="H31" t="s">
        <v>162</v>
      </c>
      <c r="I31">
        <v>210</v>
      </c>
      <c r="J31" t="s">
        <v>166</v>
      </c>
      <c r="K31" t="s">
        <v>44</v>
      </c>
      <c r="N31" t="s">
        <v>45</v>
      </c>
      <c r="O31" t="s">
        <v>46</v>
      </c>
      <c r="P31" t="s">
        <v>45</v>
      </c>
      <c r="Q31" t="s">
        <v>47</v>
      </c>
      <c r="R31" t="s">
        <v>44</v>
      </c>
      <c r="S31">
        <v>0</v>
      </c>
      <c r="W31" s="3">
        <v>8.2175925925925917E-4</v>
      </c>
      <c r="X31" t="s">
        <v>167</v>
      </c>
      <c r="Y31">
        <v>2</v>
      </c>
      <c r="Z31">
        <v>6</v>
      </c>
      <c r="AA31" t="s">
        <v>168</v>
      </c>
      <c r="AB31">
        <v>96</v>
      </c>
      <c r="AC31" t="s">
        <v>49</v>
      </c>
      <c r="AD31">
        <v>0</v>
      </c>
      <c r="AE31">
        <v>10254403</v>
      </c>
      <c r="AF31" t="s">
        <v>50</v>
      </c>
      <c r="AG31" t="s">
        <v>57</v>
      </c>
    </row>
    <row r="32" spans="1:33" x14ac:dyDescent="0.35">
      <c r="A32" s="1">
        <v>44917.57916666667</v>
      </c>
      <c r="B32">
        <v>3029211</v>
      </c>
      <c r="C32" t="s">
        <v>169</v>
      </c>
      <c r="D32" t="s">
        <v>170</v>
      </c>
      <c r="E32" s="2">
        <v>41590</v>
      </c>
      <c r="F32" t="str">
        <f>"9781462914821"</f>
        <v>9781462914821</v>
      </c>
      <c r="G32" t="str">
        <f>"9784805311738"</f>
        <v>9784805311738</v>
      </c>
      <c r="H32" t="s">
        <v>171</v>
      </c>
      <c r="I32">
        <v>495.68242099999998</v>
      </c>
      <c r="J32" t="s">
        <v>172</v>
      </c>
      <c r="K32" t="s">
        <v>44</v>
      </c>
      <c r="N32" t="s">
        <v>45</v>
      </c>
      <c r="O32" t="s">
        <v>46</v>
      </c>
      <c r="P32" t="s">
        <v>45</v>
      </c>
      <c r="Q32" t="s">
        <v>47</v>
      </c>
      <c r="R32" t="s">
        <v>44</v>
      </c>
      <c r="S32">
        <v>0</v>
      </c>
      <c r="W32" s="3">
        <v>2.0949074074074073E-3</v>
      </c>
      <c r="X32" t="s">
        <v>173</v>
      </c>
      <c r="Y32">
        <v>23</v>
      </c>
      <c r="Z32">
        <v>0</v>
      </c>
      <c r="AA32" t="s">
        <v>49</v>
      </c>
      <c r="AB32">
        <v>0</v>
      </c>
      <c r="AC32" t="s">
        <v>49</v>
      </c>
      <c r="AD32">
        <v>0</v>
      </c>
      <c r="AE32">
        <v>10860919</v>
      </c>
      <c r="AF32" t="s">
        <v>50</v>
      </c>
      <c r="AG32" t="s">
        <v>57</v>
      </c>
    </row>
    <row r="33" spans="1:33" x14ac:dyDescent="0.35">
      <c r="A33" s="1">
        <v>44917.57708333333</v>
      </c>
      <c r="B33">
        <v>3375380</v>
      </c>
      <c r="C33" t="s">
        <v>174</v>
      </c>
      <c r="D33" t="s">
        <v>175</v>
      </c>
      <c r="E33" s="2">
        <v>36617</v>
      </c>
      <c r="F33" t="str">
        <f>"9780309515634"</f>
        <v>9780309515634</v>
      </c>
      <c r="G33" t="str">
        <f>"9780309068376"</f>
        <v>9780309068376</v>
      </c>
      <c r="H33" t="s">
        <v>176</v>
      </c>
      <c r="I33">
        <v>362.1</v>
      </c>
      <c r="K33" t="s">
        <v>44</v>
      </c>
      <c r="N33" t="s">
        <v>45</v>
      </c>
      <c r="O33" t="s">
        <v>46</v>
      </c>
      <c r="P33" t="s">
        <v>177</v>
      </c>
      <c r="Q33" t="s">
        <v>47</v>
      </c>
      <c r="R33" t="s">
        <v>55</v>
      </c>
      <c r="S33">
        <v>0</v>
      </c>
      <c r="W33" s="3">
        <v>5.4513888888888884E-3</v>
      </c>
      <c r="X33" t="s">
        <v>178</v>
      </c>
      <c r="Y33">
        <v>39</v>
      </c>
      <c r="Z33">
        <v>1</v>
      </c>
      <c r="AA33" t="s">
        <v>179</v>
      </c>
      <c r="AB33">
        <v>16</v>
      </c>
      <c r="AC33" t="s">
        <v>49</v>
      </c>
      <c r="AD33">
        <v>0</v>
      </c>
      <c r="AE33">
        <v>10038653</v>
      </c>
      <c r="AF33" t="s">
        <v>50</v>
      </c>
      <c r="AG33" t="s">
        <v>57</v>
      </c>
    </row>
    <row r="34" spans="1:33" x14ac:dyDescent="0.35">
      <c r="A34" s="1">
        <v>44917.564583333333</v>
      </c>
      <c r="B34">
        <v>1986938</v>
      </c>
      <c r="C34" t="s">
        <v>180</v>
      </c>
      <c r="D34" t="s">
        <v>59</v>
      </c>
      <c r="E34" s="2">
        <v>42275</v>
      </c>
      <c r="F34" t="str">
        <f>"9781118777503"</f>
        <v>9781118777503</v>
      </c>
      <c r="G34" t="str">
        <f>"9781118777527"</f>
        <v>9781118777527</v>
      </c>
      <c r="H34" t="s">
        <v>77</v>
      </c>
      <c r="I34" t="s">
        <v>181</v>
      </c>
      <c r="J34" t="s">
        <v>182</v>
      </c>
      <c r="K34" t="s">
        <v>44</v>
      </c>
      <c r="N34" t="s">
        <v>45</v>
      </c>
      <c r="O34" t="s">
        <v>46</v>
      </c>
      <c r="P34" t="s">
        <v>45</v>
      </c>
      <c r="Q34" t="s">
        <v>47</v>
      </c>
      <c r="R34" t="s">
        <v>44</v>
      </c>
      <c r="S34">
        <v>0</v>
      </c>
      <c r="W34" s="3">
        <v>4.6296296296296294E-5</v>
      </c>
      <c r="X34" t="s">
        <v>121</v>
      </c>
      <c r="Y34">
        <v>1</v>
      </c>
      <c r="Z34">
        <v>0</v>
      </c>
      <c r="AA34" t="s">
        <v>49</v>
      </c>
      <c r="AB34">
        <v>0</v>
      </c>
      <c r="AC34" t="s">
        <v>49</v>
      </c>
      <c r="AD34">
        <v>0</v>
      </c>
      <c r="AE34">
        <v>11083280</v>
      </c>
      <c r="AF34" t="s">
        <v>50</v>
      </c>
      <c r="AG34" t="s">
        <v>183</v>
      </c>
    </row>
    <row r="35" spans="1:33" x14ac:dyDescent="0.35">
      <c r="A35" s="1">
        <v>44917.558333333334</v>
      </c>
      <c r="B35">
        <v>5475454</v>
      </c>
      <c r="C35" t="s">
        <v>184</v>
      </c>
      <c r="D35" t="s">
        <v>76</v>
      </c>
      <c r="E35" s="2">
        <v>42572</v>
      </c>
      <c r="F35" t="str">
        <f>"9781498739405"</f>
        <v>9781498739405</v>
      </c>
      <c r="G35" t="str">
        <f>"9781138445079"</f>
        <v>9781138445079</v>
      </c>
      <c r="H35" t="s">
        <v>77</v>
      </c>
      <c r="I35">
        <v>610.76</v>
      </c>
      <c r="J35" t="s">
        <v>185</v>
      </c>
      <c r="K35" t="s">
        <v>44</v>
      </c>
      <c r="N35" t="s">
        <v>45</v>
      </c>
      <c r="O35" t="s">
        <v>46</v>
      </c>
      <c r="P35" t="s">
        <v>45</v>
      </c>
      <c r="Q35" t="s">
        <v>47</v>
      </c>
      <c r="R35" t="s">
        <v>44</v>
      </c>
      <c r="S35">
        <v>0</v>
      </c>
      <c r="W35" s="3">
        <v>7.4421296296296293E-3</v>
      </c>
      <c r="X35" t="s">
        <v>186</v>
      </c>
      <c r="Y35">
        <v>41</v>
      </c>
      <c r="Z35">
        <v>0</v>
      </c>
      <c r="AA35" t="s">
        <v>49</v>
      </c>
      <c r="AB35">
        <v>0</v>
      </c>
      <c r="AC35" t="s">
        <v>49</v>
      </c>
      <c r="AD35">
        <v>0</v>
      </c>
      <c r="AE35">
        <v>11595457</v>
      </c>
      <c r="AF35" t="s">
        <v>50</v>
      </c>
      <c r="AG35" t="s">
        <v>57</v>
      </c>
    </row>
    <row r="36" spans="1:33" x14ac:dyDescent="0.35">
      <c r="A36" s="1">
        <v>44916.713888888888</v>
      </c>
      <c r="B36">
        <v>1934461</v>
      </c>
      <c r="C36" t="s">
        <v>187</v>
      </c>
      <c r="D36" t="s">
        <v>65</v>
      </c>
      <c r="E36" s="2">
        <v>41953</v>
      </c>
      <c r="F36" t="str">
        <f>"9780857097224"</f>
        <v>9780857097224</v>
      </c>
      <c r="G36" t="str">
        <f>"9780857095978"</f>
        <v>9780857095978</v>
      </c>
      <c r="H36" t="s">
        <v>77</v>
      </c>
      <c r="I36">
        <v>617.95000000000005</v>
      </c>
      <c r="J36" t="s">
        <v>188</v>
      </c>
      <c r="K36" t="s">
        <v>44</v>
      </c>
      <c r="N36" t="s">
        <v>45</v>
      </c>
      <c r="O36" t="s">
        <v>46</v>
      </c>
      <c r="P36" t="s">
        <v>45</v>
      </c>
      <c r="Q36" t="s">
        <v>47</v>
      </c>
      <c r="R36" t="s">
        <v>44</v>
      </c>
      <c r="S36">
        <v>0</v>
      </c>
      <c r="W36" s="3">
        <v>0</v>
      </c>
      <c r="X36" t="s">
        <v>49</v>
      </c>
      <c r="Y36">
        <v>0</v>
      </c>
      <c r="Z36">
        <v>2</v>
      </c>
      <c r="AA36" t="s">
        <v>189</v>
      </c>
      <c r="AB36">
        <v>33</v>
      </c>
      <c r="AC36" t="s">
        <v>49</v>
      </c>
      <c r="AD36">
        <v>0</v>
      </c>
      <c r="AE36">
        <v>10990611</v>
      </c>
      <c r="AF36" t="s">
        <v>63</v>
      </c>
      <c r="AG36" t="s">
        <v>57</v>
      </c>
    </row>
    <row r="37" spans="1:33" x14ac:dyDescent="0.35">
      <c r="A37" s="1">
        <v>44916.603472222225</v>
      </c>
      <c r="B37">
        <v>4183127</v>
      </c>
      <c r="C37" t="s">
        <v>190</v>
      </c>
      <c r="D37" t="s">
        <v>59</v>
      </c>
      <c r="E37" s="2">
        <v>42310</v>
      </c>
      <c r="F37" t="str">
        <f>"9783527684649"</f>
        <v>9783527684649</v>
      </c>
      <c r="G37" t="str">
        <f>"9783527331659"</f>
        <v>9783527331659</v>
      </c>
      <c r="H37" t="s">
        <v>191</v>
      </c>
      <c r="I37" t="s">
        <v>192</v>
      </c>
      <c r="J37" t="s">
        <v>193</v>
      </c>
      <c r="K37" t="s">
        <v>44</v>
      </c>
      <c r="N37" t="s">
        <v>45</v>
      </c>
      <c r="O37" t="s">
        <v>46</v>
      </c>
      <c r="P37" t="s">
        <v>45</v>
      </c>
      <c r="Q37" t="s">
        <v>47</v>
      </c>
      <c r="R37" t="s">
        <v>44</v>
      </c>
      <c r="S37">
        <v>0</v>
      </c>
      <c r="W37" s="3">
        <v>1.1342592592592592E-2</v>
      </c>
      <c r="X37" t="s">
        <v>194</v>
      </c>
      <c r="Y37">
        <v>16</v>
      </c>
      <c r="Z37">
        <v>0</v>
      </c>
      <c r="AA37" t="s">
        <v>49</v>
      </c>
      <c r="AB37">
        <v>0</v>
      </c>
      <c r="AC37" t="s">
        <v>49</v>
      </c>
      <c r="AD37">
        <v>0</v>
      </c>
      <c r="AE37">
        <v>11125579</v>
      </c>
      <c r="AF37" t="s">
        <v>50</v>
      </c>
      <c r="AG37" t="s">
        <v>195</v>
      </c>
    </row>
    <row r="38" spans="1:33" x14ac:dyDescent="0.35">
      <c r="A38" s="1">
        <v>44916.529861111114</v>
      </c>
      <c r="B38">
        <v>4183127</v>
      </c>
      <c r="C38" t="s">
        <v>190</v>
      </c>
      <c r="D38" t="s">
        <v>59</v>
      </c>
      <c r="E38" s="2">
        <v>42310</v>
      </c>
      <c r="F38" t="str">
        <f>"9783527684649"</f>
        <v>9783527684649</v>
      </c>
      <c r="G38" t="str">
        <f>"9783527331659"</f>
        <v>9783527331659</v>
      </c>
      <c r="H38" t="s">
        <v>191</v>
      </c>
      <c r="I38" t="s">
        <v>192</v>
      </c>
      <c r="J38" t="s">
        <v>193</v>
      </c>
      <c r="K38" t="s">
        <v>44</v>
      </c>
      <c r="N38" t="s">
        <v>45</v>
      </c>
      <c r="O38" t="s">
        <v>46</v>
      </c>
      <c r="P38" t="s">
        <v>45</v>
      </c>
      <c r="Q38" t="s">
        <v>47</v>
      </c>
      <c r="R38" t="s">
        <v>44</v>
      </c>
      <c r="S38">
        <v>0</v>
      </c>
      <c r="W38" s="3">
        <v>6.9444444444444444E-5</v>
      </c>
      <c r="X38" t="s">
        <v>196</v>
      </c>
      <c r="Y38">
        <v>2</v>
      </c>
      <c r="Z38">
        <v>0</v>
      </c>
      <c r="AA38" t="s">
        <v>49</v>
      </c>
      <c r="AB38">
        <v>0</v>
      </c>
      <c r="AC38" t="s">
        <v>49</v>
      </c>
      <c r="AD38">
        <v>0</v>
      </c>
      <c r="AE38">
        <v>11125579</v>
      </c>
      <c r="AF38" t="s">
        <v>50</v>
      </c>
      <c r="AG38" t="s">
        <v>197</v>
      </c>
    </row>
    <row r="39" spans="1:33" x14ac:dyDescent="0.35">
      <c r="A39" s="1">
        <v>44916.52847222222</v>
      </c>
      <c r="B39">
        <v>4876972</v>
      </c>
      <c r="C39" t="s">
        <v>198</v>
      </c>
      <c r="D39" t="s">
        <v>199</v>
      </c>
      <c r="E39" s="2">
        <v>41790</v>
      </c>
      <c r="F39" t="str">
        <f>"9781423223368"</f>
        <v>9781423223368</v>
      </c>
      <c r="G39" t="str">
        <f>"9781423222941"</f>
        <v>9781423222941</v>
      </c>
      <c r="H39" t="s">
        <v>43</v>
      </c>
      <c r="I39">
        <v>516.00711999999999</v>
      </c>
      <c r="J39" t="s">
        <v>200</v>
      </c>
      <c r="K39" t="s">
        <v>44</v>
      </c>
      <c r="N39" t="s">
        <v>45</v>
      </c>
      <c r="O39" t="s">
        <v>46</v>
      </c>
      <c r="P39" t="s">
        <v>45</v>
      </c>
      <c r="Q39" t="s">
        <v>47</v>
      </c>
      <c r="R39" t="s">
        <v>44</v>
      </c>
      <c r="S39">
        <v>0</v>
      </c>
      <c r="W39" s="3">
        <v>2.5462962962962961E-4</v>
      </c>
      <c r="X39" t="s">
        <v>121</v>
      </c>
      <c r="Y39">
        <v>1</v>
      </c>
      <c r="Z39">
        <v>0</v>
      </c>
      <c r="AA39" t="s">
        <v>201</v>
      </c>
      <c r="AB39">
        <v>2</v>
      </c>
      <c r="AC39" t="s">
        <v>49</v>
      </c>
      <c r="AD39">
        <v>0</v>
      </c>
      <c r="AE39">
        <v>11397673</v>
      </c>
      <c r="AF39" t="s">
        <v>50</v>
      </c>
      <c r="AG39" t="s">
        <v>57</v>
      </c>
    </row>
    <row r="40" spans="1:33" x14ac:dyDescent="0.35">
      <c r="A40" s="1">
        <v>44916.527777777781</v>
      </c>
      <c r="B40">
        <v>4876969</v>
      </c>
      <c r="C40" t="s">
        <v>202</v>
      </c>
      <c r="D40" t="s">
        <v>199</v>
      </c>
      <c r="E40" s="2">
        <v>41790</v>
      </c>
      <c r="F40" t="str">
        <f>"9781423223375"</f>
        <v>9781423223375</v>
      </c>
      <c r="G40" t="str">
        <f>"9781423222958"</f>
        <v>9781423222958</v>
      </c>
      <c r="H40" t="s">
        <v>43</v>
      </c>
      <c r="I40">
        <v>512.07119999999998</v>
      </c>
      <c r="J40" t="s">
        <v>203</v>
      </c>
      <c r="K40" t="s">
        <v>44</v>
      </c>
      <c r="N40" t="s">
        <v>45</v>
      </c>
      <c r="O40" t="s">
        <v>46</v>
      </c>
      <c r="P40" t="s">
        <v>45</v>
      </c>
      <c r="Q40" t="s">
        <v>47</v>
      </c>
      <c r="R40" t="s">
        <v>44</v>
      </c>
      <c r="S40">
        <v>0</v>
      </c>
      <c r="W40" s="3">
        <v>3.8194444444444446E-4</v>
      </c>
      <c r="X40" t="s">
        <v>121</v>
      </c>
      <c r="Y40">
        <v>1</v>
      </c>
      <c r="Z40">
        <v>0</v>
      </c>
      <c r="AA40" t="s">
        <v>201</v>
      </c>
      <c r="AB40">
        <v>2</v>
      </c>
      <c r="AC40" t="s">
        <v>49</v>
      </c>
      <c r="AD40">
        <v>0</v>
      </c>
      <c r="AE40">
        <v>11397670</v>
      </c>
      <c r="AF40" t="s">
        <v>50</v>
      </c>
      <c r="AG40" t="s">
        <v>57</v>
      </c>
    </row>
    <row r="41" spans="1:33" x14ac:dyDescent="0.35">
      <c r="A41" s="1">
        <v>44916.527083333334</v>
      </c>
      <c r="B41">
        <v>4876976</v>
      </c>
      <c r="C41" t="s">
        <v>204</v>
      </c>
      <c r="D41" t="s">
        <v>199</v>
      </c>
      <c r="E41" s="2">
        <v>41790</v>
      </c>
      <c r="F41" t="str">
        <f>"9781423223351"</f>
        <v>9781423223351</v>
      </c>
      <c r="G41" t="str">
        <f>"9781423222934"</f>
        <v>9781423222934</v>
      </c>
      <c r="H41" t="s">
        <v>43</v>
      </c>
      <c r="I41">
        <v>512.07119999999998</v>
      </c>
      <c r="J41" t="s">
        <v>203</v>
      </c>
      <c r="K41" t="s">
        <v>44</v>
      </c>
      <c r="N41" t="s">
        <v>45</v>
      </c>
      <c r="O41" t="s">
        <v>46</v>
      </c>
      <c r="P41" t="s">
        <v>45</v>
      </c>
      <c r="Q41" t="s">
        <v>47</v>
      </c>
      <c r="R41" t="s">
        <v>44</v>
      </c>
      <c r="S41">
        <v>0</v>
      </c>
      <c r="W41" s="3">
        <v>3.4722222222222224E-4</v>
      </c>
      <c r="X41" t="s">
        <v>196</v>
      </c>
      <c r="Y41">
        <v>2</v>
      </c>
      <c r="Z41">
        <v>0</v>
      </c>
      <c r="AA41" t="s">
        <v>205</v>
      </c>
      <c r="AB41">
        <v>2</v>
      </c>
      <c r="AC41" t="s">
        <v>49</v>
      </c>
      <c r="AD41">
        <v>0</v>
      </c>
      <c r="AE41">
        <v>11397677</v>
      </c>
      <c r="AF41" t="s">
        <v>50</v>
      </c>
      <c r="AG41" t="s">
        <v>57</v>
      </c>
    </row>
    <row r="42" spans="1:33" x14ac:dyDescent="0.35">
      <c r="A42" s="1">
        <v>44916.523611111108</v>
      </c>
      <c r="B42">
        <v>4876972</v>
      </c>
      <c r="C42" t="s">
        <v>198</v>
      </c>
      <c r="D42" t="s">
        <v>199</v>
      </c>
      <c r="E42" s="2">
        <v>41790</v>
      </c>
      <c r="F42" t="str">
        <f>"9781423223368"</f>
        <v>9781423223368</v>
      </c>
      <c r="G42" t="str">
        <f>"9781423222941"</f>
        <v>9781423222941</v>
      </c>
      <c r="H42" t="s">
        <v>43</v>
      </c>
      <c r="I42">
        <v>516.00711999999999</v>
      </c>
      <c r="J42" t="s">
        <v>200</v>
      </c>
      <c r="K42" t="s">
        <v>44</v>
      </c>
      <c r="N42" t="s">
        <v>45</v>
      </c>
      <c r="O42" t="s">
        <v>46</v>
      </c>
      <c r="P42" t="s">
        <v>45</v>
      </c>
      <c r="Q42" t="s">
        <v>47</v>
      </c>
      <c r="R42" t="s">
        <v>44</v>
      </c>
      <c r="S42">
        <v>0</v>
      </c>
      <c r="W42" s="3">
        <v>2.6620370370370372E-4</v>
      </c>
      <c r="X42" t="s">
        <v>121</v>
      </c>
      <c r="Y42">
        <v>1</v>
      </c>
      <c r="Z42">
        <v>0</v>
      </c>
      <c r="AA42" t="s">
        <v>206</v>
      </c>
      <c r="AB42">
        <v>2</v>
      </c>
      <c r="AC42" t="s">
        <v>49</v>
      </c>
      <c r="AD42">
        <v>0</v>
      </c>
      <c r="AE42">
        <v>11397673</v>
      </c>
      <c r="AF42" t="s">
        <v>50</v>
      </c>
      <c r="AG42" t="s">
        <v>51</v>
      </c>
    </row>
    <row r="43" spans="1:33" x14ac:dyDescent="0.35">
      <c r="A43" s="1">
        <v>44916.522916666669</v>
      </c>
      <c r="B43">
        <v>4876969</v>
      </c>
      <c r="C43" t="s">
        <v>202</v>
      </c>
      <c r="D43" t="s">
        <v>199</v>
      </c>
      <c r="E43" s="2">
        <v>41790</v>
      </c>
      <c r="F43" t="str">
        <f>"9781423223375"</f>
        <v>9781423223375</v>
      </c>
      <c r="G43" t="str">
        <f>"9781423222958"</f>
        <v>9781423222958</v>
      </c>
      <c r="H43" t="s">
        <v>43</v>
      </c>
      <c r="I43">
        <v>512.07119999999998</v>
      </c>
      <c r="J43" t="s">
        <v>203</v>
      </c>
      <c r="K43" t="s">
        <v>44</v>
      </c>
      <c r="N43" t="s">
        <v>45</v>
      </c>
      <c r="O43" t="s">
        <v>46</v>
      </c>
      <c r="P43" t="s">
        <v>45</v>
      </c>
      <c r="Q43" t="s">
        <v>47</v>
      </c>
      <c r="R43" t="s">
        <v>44</v>
      </c>
      <c r="S43">
        <v>0</v>
      </c>
      <c r="W43" s="3">
        <v>3.2407407407407406E-4</v>
      </c>
      <c r="X43" t="s">
        <v>121</v>
      </c>
      <c r="Y43">
        <v>1</v>
      </c>
      <c r="Z43">
        <v>0</v>
      </c>
      <c r="AA43" t="s">
        <v>206</v>
      </c>
      <c r="AB43">
        <v>2</v>
      </c>
      <c r="AC43" t="s">
        <v>49</v>
      </c>
      <c r="AD43">
        <v>0</v>
      </c>
      <c r="AE43">
        <v>11397670</v>
      </c>
      <c r="AF43" t="s">
        <v>50</v>
      </c>
      <c r="AG43" t="s">
        <v>51</v>
      </c>
    </row>
    <row r="44" spans="1:33" x14ac:dyDescent="0.35">
      <c r="A44" s="1">
        <v>44916.520833333336</v>
      </c>
      <c r="B44">
        <v>4876972</v>
      </c>
      <c r="C44" t="s">
        <v>198</v>
      </c>
      <c r="D44" t="s">
        <v>199</v>
      </c>
      <c r="E44" s="2">
        <v>41790</v>
      </c>
      <c r="F44" t="str">
        <f>"9781423223368"</f>
        <v>9781423223368</v>
      </c>
      <c r="G44" t="str">
        <f>"9781423222941"</f>
        <v>9781423222941</v>
      </c>
      <c r="H44" t="s">
        <v>43</v>
      </c>
      <c r="I44">
        <v>516.00711999999999</v>
      </c>
      <c r="J44" t="s">
        <v>200</v>
      </c>
      <c r="K44" t="s">
        <v>44</v>
      </c>
      <c r="N44" t="s">
        <v>45</v>
      </c>
      <c r="O44" t="s">
        <v>46</v>
      </c>
      <c r="P44" t="s">
        <v>45</v>
      </c>
      <c r="Q44" t="s">
        <v>47</v>
      </c>
      <c r="R44" t="s">
        <v>44</v>
      </c>
      <c r="S44">
        <v>0</v>
      </c>
      <c r="W44" s="3">
        <v>3.1250000000000001E-4</v>
      </c>
      <c r="X44" t="s">
        <v>121</v>
      </c>
      <c r="Y44">
        <v>1</v>
      </c>
      <c r="Z44">
        <v>0</v>
      </c>
      <c r="AA44" t="s">
        <v>205</v>
      </c>
      <c r="AB44">
        <v>2</v>
      </c>
      <c r="AC44" t="s">
        <v>49</v>
      </c>
      <c r="AD44">
        <v>0</v>
      </c>
      <c r="AE44">
        <v>11397673</v>
      </c>
      <c r="AF44" t="s">
        <v>50</v>
      </c>
      <c r="AG44" t="s">
        <v>57</v>
      </c>
    </row>
    <row r="45" spans="1:33" x14ac:dyDescent="0.35">
      <c r="A45" s="1">
        <v>44916.520138888889</v>
      </c>
      <c r="B45">
        <v>4876969</v>
      </c>
      <c r="C45" t="s">
        <v>202</v>
      </c>
      <c r="D45" t="s">
        <v>199</v>
      </c>
      <c r="E45" s="2">
        <v>41790</v>
      </c>
      <c r="F45" t="str">
        <f>"9781423223375"</f>
        <v>9781423223375</v>
      </c>
      <c r="G45" t="str">
        <f>"9781423222958"</f>
        <v>9781423222958</v>
      </c>
      <c r="H45" t="s">
        <v>43</v>
      </c>
      <c r="I45">
        <v>512.07119999999998</v>
      </c>
      <c r="J45" t="s">
        <v>203</v>
      </c>
      <c r="K45" t="s">
        <v>44</v>
      </c>
      <c r="N45" t="s">
        <v>45</v>
      </c>
      <c r="O45" t="s">
        <v>46</v>
      </c>
      <c r="P45" t="s">
        <v>45</v>
      </c>
      <c r="Q45" t="s">
        <v>47</v>
      </c>
      <c r="R45" t="s">
        <v>44</v>
      </c>
      <c r="S45">
        <v>0</v>
      </c>
      <c r="W45" s="3">
        <v>3.3564814814814812E-4</v>
      </c>
      <c r="X45" t="s">
        <v>113</v>
      </c>
      <c r="Y45">
        <v>2</v>
      </c>
      <c r="Z45">
        <v>0</v>
      </c>
      <c r="AA45" t="s">
        <v>205</v>
      </c>
      <c r="AB45">
        <v>2</v>
      </c>
      <c r="AC45" t="s">
        <v>49</v>
      </c>
      <c r="AD45">
        <v>0</v>
      </c>
      <c r="AE45">
        <v>11397670</v>
      </c>
      <c r="AF45" t="s">
        <v>50</v>
      </c>
      <c r="AG45" t="s">
        <v>57</v>
      </c>
    </row>
    <row r="46" spans="1:33" x14ac:dyDescent="0.35">
      <c r="A46" s="1">
        <v>44916.518055555556</v>
      </c>
      <c r="B46">
        <v>4876976</v>
      </c>
      <c r="C46" t="s">
        <v>204</v>
      </c>
      <c r="D46" t="s">
        <v>199</v>
      </c>
      <c r="E46" s="2">
        <v>41790</v>
      </c>
      <c r="F46" t="str">
        <f>"9781423223351"</f>
        <v>9781423223351</v>
      </c>
      <c r="G46" t="str">
        <f>"9781423222934"</f>
        <v>9781423222934</v>
      </c>
      <c r="H46" t="s">
        <v>43</v>
      </c>
      <c r="I46">
        <v>512.07119999999998</v>
      </c>
      <c r="J46" t="s">
        <v>203</v>
      </c>
      <c r="K46" t="s">
        <v>44</v>
      </c>
      <c r="N46" t="s">
        <v>45</v>
      </c>
      <c r="O46" t="s">
        <v>46</v>
      </c>
      <c r="P46" t="s">
        <v>45</v>
      </c>
      <c r="Q46" t="s">
        <v>47</v>
      </c>
      <c r="R46" t="s">
        <v>44</v>
      </c>
      <c r="S46">
        <v>0</v>
      </c>
      <c r="W46" s="3">
        <v>4.0509259259259258E-4</v>
      </c>
      <c r="X46" t="s">
        <v>196</v>
      </c>
      <c r="Y46">
        <v>2</v>
      </c>
      <c r="Z46">
        <v>0</v>
      </c>
      <c r="AA46" t="s">
        <v>201</v>
      </c>
      <c r="AB46">
        <v>2</v>
      </c>
      <c r="AC46" t="s">
        <v>49</v>
      </c>
      <c r="AD46">
        <v>0</v>
      </c>
      <c r="AE46">
        <v>11397677</v>
      </c>
      <c r="AF46" t="s">
        <v>50</v>
      </c>
      <c r="AG46" t="s">
        <v>57</v>
      </c>
    </row>
    <row r="47" spans="1:33" x14ac:dyDescent="0.35">
      <c r="A47" s="1">
        <v>44916.506249999999</v>
      </c>
      <c r="B47">
        <v>4876976</v>
      </c>
      <c r="C47" t="s">
        <v>204</v>
      </c>
      <c r="D47" t="s">
        <v>199</v>
      </c>
      <c r="E47" s="2">
        <v>41790</v>
      </c>
      <c r="F47" t="str">
        <f>"9781423223351"</f>
        <v>9781423223351</v>
      </c>
      <c r="G47" t="str">
        <f>"9781423222934"</f>
        <v>9781423222934</v>
      </c>
      <c r="H47" t="s">
        <v>43</v>
      </c>
      <c r="I47">
        <v>512.07119999999998</v>
      </c>
      <c r="J47" t="s">
        <v>203</v>
      </c>
      <c r="K47" t="s">
        <v>44</v>
      </c>
      <c r="N47" t="s">
        <v>45</v>
      </c>
      <c r="O47" t="s">
        <v>46</v>
      </c>
      <c r="P47" t="s">
        <v>45</v>
      </c>
      <c r="Q47" t="s">
        <v>47</v>
      </c>
      <c r="R47" t="s">
        <v>44</v>
      </c>
      <c r="S47">
        <v>0</v>
      </c>
      <c r="W47" s="3">
        <v>6.5972222222222213E-4</v>
      </c>
      <c r="X47" t="s">
        <v>56</v>
      </c>
      <c r="Y47">
        <v>3</v>
      </c>
      <c r="Z47">
        <v>0</v>
      </c>
      <c r="AA47" t="s">
        <v>206</v>
      </c>
      <c r="AB47">
        <v>2</v>
      </c>
      <c r="AC47" t="s">
        <v>49</v>
      </c>
      <c r="AD47">
        <v>0</v>
      </c>
      <c r="AE47">
        <v>11397677</v>
      </c>
      <c r="AF47" t="s">
        <v>50</v>
      </c>
      <c r="AG47" t="s">
        <v>51</v>
      </c>
    </row>
    <row r="48" spans="1:33" x14ac:dyDescent="0.35">
      <c r="A48" s="1">
        <v>44916.042361111111</v>
      </c>
      <c r="B48">
        <v>1711470</v>
      </c>
      <c r="C48" t="s">
        <v>207</v>
      </c>
      <c r="D48" t="s">
        <v>65</v>
      </c>
      <c r="E48" s="2">
        <v>41869</v>
      </c>
      <c r="F48" t="str">
        <f>"9780124081222"</f>
        <v>9780124081222</v>
      </c>
      <c r="G48" t="str">
        <f>"9780124079106"</f>
        <v>9780124079106</v>
      </c>
      <c r="H48" t="s">
        <v>208</v>
      </c>
      <c r="I48">
        <v>621.04200000000003</v>
      </c>
      <c r="J48" t="s">
        <v>209</v>
      </c>
      <c r="K48" t="s">
        <v>44</v>
      </c>
      <c r="N48" t="s">
        <v>45</v>
      </c>
      <c r="O48" t="s">
        <v>46</v>
      </c>
      <c r="P48" t="s">
        <v>45</v>
      </c>
      <c r="Q48" t="s">
        <v>47</v>
      </c>
      <c r="R48" t="s">
        <v>44</v>
      </c>
      <c r="S48">
        <v>0</v>
      </c>
      <c r="W48" s="3">
        <v>1.2384259259259258E-3</v>
      </c>
      <c r="X48" t="s">
        <v>210</v>
      </c>
      <c r="Y48">
        <v>10</v>
      </c>
      <c r="Z48">
        <v>0</v>
      </c>
      <c r="AA48" t="s">
        <v>49</v>
      </c>
      <c r="AB48">
        <v>0</v>
      </c>
      <c r="AC48" t="s">
        <v>49</v>
      </c>
      <c r="AD48">
        <v>0</v>
      </c>
      <c r="AE48">
        <v>10882940</v>
      </c>
      <c r="AF48" t="s">
        <v>50</v>
      </c>
      <c r="AG48" t="s">
        <v>211</v>
      </c>
    </row>
    <row r="49" spans="1:33" x14ac:dyDescent="0.35">
      <c r="A49" s="1">
        <v>44915.978472222225</v>
      </c>
      <c r="B49">
        <v>6460379</v>
      </c>
      <c r="C49" t="s">
        <v>212</v>
      </c>
      <c r="D49" t="s">
        <v>213</v>
      </c>
      <c r="E49" s="2">
        <v>44218</v>
      </c>
      <c r="F49" t="str">
        <f>"9780128232620"</f>
        <v>9780128232620</v>
      </c>
      <c r="G49" t="str">
        <f>"9780128220993"</f>
        <v>9780128220993</v>
      </c>
      <c r="H49" t="s">
        <v>214</v>
      </c>
      <c r="I49">
        <v>547.04999999999995</v>
      </c>
      <c r="J49" t="s">
        <v>215</v>
      </c>
      <c r="K49" t="s">
        <v>55</v>
      </c>
      <c r="Q49" t="s">
        <v>47</v>
      </c>
      <c r="R49" t="s">
        <v>44</v>
      </c>
      <c r="S49">
        <v>0</v>
      </c>
      <c r="W49" s="3">
        <v>9.2592592592592588E-5</v>
      </c>
      <c r="X49" t="s">
        <v>121</v>
      </c>
      <c r="Y49">
        <v>1</v>
      </c>
      <c r="Z49">
        <v>0</v>
      </c>
      <c r="AA49" t="s">
        <v>49</v>
      </c>
      <c r="AB49">
        <v>0</v>
      </c>
      <c r="AC49" t="s">
        <v>49</v>
      </c>
      <c r="AD49">
        <v>0</v>
      </c>
      <c r="AE49">
        <v>-1</v>
      </c>
      <c r="AF49" t="s">
        <v>50</v>
      </c>
      <c r="AG49" t="s">
        <v>216</v>
      </c>
    </row>
    <row r="50" spans="1:33" x14ac:dyDescent="0.35">
      <c r="A50" s="1">
        <v>44915.902777777781</v>
      </c>
      <c r="B50">
        <v>4183127</v>
      </c>
      <c r="C50" t="s">
        <v>190</v>
      </c>
      <c r="D50" t="s">
        <v>59</v>
      </c>
      <c r="E50" s="2">
        <v>42310</v>
      </c>
      <c r="F50" t="str">
        <f>"9783527684649"</f>
        <v>9783527684649</v>
      </c>
      <c r="G50" t="str">
        <f>"9783527331659"</f>
        <v>9783527331659</v>
      </c>
      <c r="H50" t="s">
        <v>191</v>
      </c>
      <c r="I50" t="s">
        <v>192</v>
      </c>
      <c r="J50" t="s">
        <v>193</v>
      </c>
      <c r="K50" t="s">
        <v>44</v>
      </c>
      <c r="N50" t="s">
        <v>45</v>
      </c>
      <c r="O50" t="s">
        <v>46</v>
      </c>
      <c r="P50" t="s">
        <v>45</v>
      </c>
      <c r="Q50" t="s">
        <v>47</v>
      </c>
      <c r="R50" t="s">
        <v>44</v>
      </c>
      <c r="S50">
        <v>0</v>
      </c>
      <c r="W50" s="3">
        <v>3.318287037037037E-2</v>
      </c>
      <c r="X50" t="s">
        <v>217</v>
      </c>
      <c r="Y50">
        <v>60</v>
      </c>
      <c r="Z50">
        <v>0</v>
      </c>
      <c r="AA50" t="s">
        <v>49</v>
      </c>
      <c r="AB50">
        <v>0</v>
      </c>
      <c r="AC50" t="s">
        <v>49</v>
      </c>
      <c r="AD50">
        <v>0</v>
      </c>
      <c r="AE50">
        <v>11125579</v>
      </c>
      <c r="AF50" t="s">
        <v>50</v>
      </c>
      <c r="AG50" t="s">
        <v>197</v>
      </c>
    </row>
    <row r="51" spans="1:33" x14ac:dyDescent="0.35">
      <c r="A51" s="1">
        <v>44915.859722222223</v>
      </c>
      <c r="B51">
        <v>4183127</v>
      </c>
      <c r="C51" t="s">
        <v>190</v>
      </c>
      <c r="D51" t="s">
        <v>59</v>
      </c>
      <c r="E51" s="2">
        <v>42310</v>
      </c>
      <c r="F51" t="str">
        <f>"9783527684649"</f>
        <v>9783527684649</v>
      </c>
      <c r="G51" t="str">
        <f>"9783527331659"</f>
        <v>9783527331659</v>
      </c>
      <c r="H51" t="s">
        <v>191</v>
      </c>
      <c r="I51" t="s">
        <v>192</v>
      </c>
      <c r="J51" t="s">
        <v>193</v>
      </c>
      <c r="K51" t="s">
        <v>44</v>
      </c>
      <c r="N51" t="s">
        <v>45</v>
      </c>
      <c r="O51" t="s">
        <v>46</v>
      </c>
      <c r="P51" t="s">
        <v>45</v>
      </c>
      <c r="Q51" t="s">
        <v>47</v>
      </c>
      <c r="R51" t="s">
        <v>44</v>
      </c>
      <c r="S51">
        <v>0</v>
      </c>
      <c r="W51" s="3">
        <v>3.0208333333333333E-3</v>
      </c>
      <c r="X51" t="s">
        <v>218</v>
      </c>
      <c r="Y51">
        <v>23</v>
      </c>
      <c r="Z51">
        <v>0</v>
      </c>
      <c r="AA51" t="s">
        <v>49</v>
      </c>
      <c r="AB51">
        <v>0</v>
      </c>
      <c r="AC51" t="s">
        <v>49</v>
      </c>
      <c r="AD51">
        <v>0</v>
      </c>
      <c r="AE51">
        <v>11125579</v>
      </c>
      <c r="AF51" t="s">
        <v>50</v>
      </c>
      <c r="AG51" t="s">
        <v>197</v>
      </c>
    </row>
    <row r="52" spans="1:33" x14ac:dyDescent="0.35">
      <c r="A52" s="1">
        <v>44915.856249999997</v>
      </c>
      <c r="B52">
        <v>5988984</v>
      </c>
      <c r="C52" t="s">
        <v>219</v>
      </c>
      <c r="D52" t="s">
        <v>59</v>
      </c>
      <c r="E52" s="2">
        <v>43839</v>
      </c>
      <c r="F52" t="str">
        <f>"9781119592150"</f>
        <v>9781119592150</v>
      </c>
      <c r="G52" t="str">
        <f>"9781119592051"</f>
        <v>9781119592051</v>
      </c>
      <c r="H52" t="s">
        <v>220</v>
      </c>
      <c r="K52" t="s">
        <v>55</v>
      </c>
      <c r="N52" t="s">
        <v>45</v>
      </c>
      <c r="O52" t="s">
        <v>46</v>
      </c>
      <c r="P52" t="s">
        <v>45</v>
      </c>
      <c r="Q52" t="s">
        <v>47</v>
      </c>
      <c r="R52" t="s">
        <v>44</v>
      </c>
      <c r="S52">
        <v>0</v>
      </c>
      <c r="W52" s="3">
        <v>1.261574074074074E-3</v>
      </c>
      <c r="X52" t="s">
        <v>221</v>
      </c>
      <c r="Y52">
        <v>10</v>
      </c>
      <c r="Z52">
        <v>0</v>
      </c>
      <c r="AA52" t="s">
        <v>49</v>
      </c>
      <c r="AB52">
        <v>0</v>
      </c>
      <c r="AC52" t="s">
        <v>222</v>
      </c>
      <c r="AD52">
        <v>1</v>
      </c>
      <c r="AE52">
        <v>-1</v>
      </c>
      <c r="AF52" t="s">
        <v>50</v>
      </c>
      <c r="AG52" t="s">
        <v>223</v>
      </c>
    </row>
    <row r="53" spans="1:33" x14ac:dyDescent="0.35">
      <c r="A53" s="1">
        <v>44915.848611111112</v>
      </c>
      <c r="B53">
        <v>4183127</v>
      </c>
      <c r="C53" t="s">
        <v>190</v>
      </c>
      <c r="D53" t="s">
        <v>59</v>
      </c>
      <c r="E53" s="2">
        <v>42310</v>
      </c>
      <c r="F53" t="str">
        <f>"9783527684649"</f>
        <v>9783527684649</v>
      </c>
      <c r="G53" t="str">
        <f>"9783527331659"</f>
        <v>9783527331659</v>
      </c>
      <c r="H53" t="s">
        <v>191</v>
      </c>
      <c r="I53" t="s">
        <v>192</v>
      </c>
      <c r="J53" t="s">
        <v>193</v>
      </c>
      <c r="K53" t="s">
        <v>44</v>
      </c>
      <c r="N53" t="s">
        <v>45</v>
      </c>
      <c r="O53" t="s">
        <v>46</v>
      </c>
      <c r="P53" t="s">
        <v>45</v>
      </c>
      <c r="Q53" t="s">
        <v>47</v>
      </c>
      <c r="R53" t="s">
        <v>44</v>
      </c>
      <c r="S53">
        <v>0</v>
      </c>
      <c r="W53" s="3">
        <v>5.5555555555555556E-4</v>
      </c>
      <c r="X53" t="s">
        <v>224</v>
      </c>
      <c r="Y53">
        <v>4</v>
      </c>
      <c r="Z53">
        <v>0</v>
      </c>
      <c r="AA53" t="s">
        <v>49</v>
      </c>
      <c r="AB53">
        <v>0</v>
      </c>
      <c r="AC53" t="s">
        <v>49</v>
      </c>
      <c r="AD53">
        <v>0</v>
      </c>
      <c r="AE53">
        <v>11125579</v>
      </c>
      <c r="AF53" t="s">
        <v>50</v>
      </c>
      <c r="AG53" t="s">
        <v>197</v>
      </c>
    </row>
    <row r="54" spans="1:33" x14ac:dyDescent="0.35">
      <c r="A54" s="1">
        <v>44915.788194444445</v>
      </c>
      <c r="B54">
        <v>6891325</v>
      </c>
      <c r="C54" t="s">
        <v>225</v>
      </c>
      <c r="D54" t="s">
        <v>76</v>
      </c>
      <c r="E54" s="2">
        <v>44621</v>
      </c>
      <c r="F54" t="str">
        <f>"9781000545289"</f>
        <v>9781000545289</v>
      </c>
      <c r="G54" t="str">
        <f>"9780367702076"</f>
        <v>9780367702076</v>
      </c>
      <c r="H54" t="s">
        <v>138</v>
      </c>
      <c r="I54">
        <v>4.6779999999999999</v>
      </c>
      <c r="J54" t="s">
        <v>226</v>
      </c>
      <c r="K54" t="s">
        <v>55</v>
      </c>
      <c r="Q54" t="s">
        <v>47</v>
      </c>
      <c r="R54" t="s">
        <v>44</v>
      </c>
      <c r="S54">
        <v>0</v>
      </c>
      <c r="W54" s="3">
        <v>2.6620370370370372E-4</v>
      </c>
      <c r="X54" t="s">
        <v>227</v>
      </c>
      <c r="Y54">
        <v>5</v>
      </c>
      <c r="Z54">
        <v>0</v>
      </c>
      <c r="AA54" t="s">
        <v>49</v>
      </c>
      <c r="AB54">
        <v>0</v>
      </c>
      <c r="AC54" t="s">
        <v>49</v>
      </c>
      <c r="AD54">
        <v>0</v>
      </c>
      <c r="AE54">
        <v>-1</v>
      </c>
      <c r="AF54" t="s">
        <v>50</v>
      </c>
      <c r="AG54" t="s">
        <v>57</v>
      </c>
    </row>
    <row r="55" spans="1:33" x14ac:dyDescent="0.35">
      <c r="A55" s="1">
        <v>44915.785416666666</v>
      </c>
      <c r="B55">
        <v>6893317</v>
      </c>
      <c r="C55" t="s">
        <v>228</v>
      </c>
      <c r="D55" t="s">
        <v>76</v>
      </c>
      <c r="E55" s="2">
        <v>44562</v>
      </c>
      <c r="F55" t="str">
        <f>"9781000518221"</f>
        <v>9781000518221</v>
      </c>
      <c r="G55" t="str">
        <f>"9780367637125"</f>
        <v>9780367637125</v>
      </c>
      <c r="H55" t="s">
        <v>229</v>
      </c>
      <c r="I55">
        <v>6.37</v>
      </c>
      <c r="J55" t="s">
        <v>230</v>
      </c>
      <c r="K55" t="s">
        <v>55</v>
      </c>
      <c r="Q55" t="s">
        <v>47</v>
      </c>
      <c r="R55" t="s">
        <v>44</v>
      </c>
      <c r="S55">
        <v>0</v>
      </c>
      <c r="W55" s="3">
        <v>1.3773148148148147E-3</v>
      </c>
      <c r="X55" t="s">
        <v>231</v>
      </c>
      <c r="Y55">
        <v>36</v>
      </c>
      <c r="Z55">
        <v>0</v>
      </c>
      <c r="AA55" t="s">
        <v>49</v>
      </c>
      <c r="AB55">
        <v>0</v>
      </c>
      <c r="AC55" t="s">
        <v>49</v>
      </c>
      <c r="AD55">
        <v>0</v>
      </c>
      <c r="AE55">
        <v>-1</v>
      </c>
      <c r="AF55" t="s">
        <v>50</v>
      </c>
      <c r="AG55" t="s">
        <v>57</v>
      </c>
    </row>
    <row r="56" spans="1:33" x14ac:dyDescent="0.35">
      <c r="A56" s="1">
        <v>44915.762499999997</v>
      </c>
      <c r="B56">
        <v>6317289</v>
      </c>
      <c r="C56" t="s">
        <v>232</v>
      </c>
      <c r="D56" t="s">
        <v>105</v>
      </c>
      <c r="E56" s="2">
        <v>44065</v>
      </c>
      <c r="F56" t="str">
        <f>"9783030459567"</f>
        <v>9783030459567</v>
      </c>
      <c r="G56" t="str">
        <f>"9783030459550"</f>
        <v>9783030459550</v>
      </c>
      <c r="H56" t="s">
        <v>233</v>
      </c>
      <c r="I56">
        <v>629.89200000000005</v>
      </c>
      <c r="J56" t="s">
        <v>234</v>
      </c>
      <c r="K56" t="s">
        <v>55</v>
      </c>
      <c r="Q56" t="s">
        <v>47</v>
      </c>
      <c r="R56" t="s">
        <v>44</v>
      </c>
      <c r="S56">
        <v>0</v>
      </c>
      <c r="W56" s="3">
        <v>1.2812499999999999E-2</v>
      </c>
      <c r="X56" t="s">
        <v>235</v>
      </c>
      <c r="Y56">
        <v>80</v>
      </c>
      <c r="Z56">
        <v>0</v>
      </c>
      <c r="AA56" t="s">
        <v>49</v>
      </c>
      <c r="AB56">
        <v>0</v>
      </c>
      <c r="AC56" t="s">
        <v>49</v>
      </c>
      <c r="AD56">
        <v>0</v>
      </c>
      <c r="AE56">
        <v>-1</v>
      </c>
      <c r="AF56" t="s">
        <v>50</v>
      </c>
      <c r="AG56" t="s">
        <v>57</v>
      </c>
    </row>
    <row r="57" spans="1:33" x14ac:dyDescent="0.35">
      <c r="A57" s="1">
        <v>44915.754861111112</v>
      </c>
      <c r="B57">
        <v>4183127</v>
      </c>
      <c r="C57" t="s">
        <v>190</v>
      </c>
      <c r="D57" t="s">
        <v>59</v>
      </c>
      <c r="E57" s="2">
        <v>42310</v>
      </c>
      <c r="F57" t="str">
        <f>"9783527684649"</f>
        <v>9783527684649</v>
      </c>
      <c r="G57" t="str">
        <f>"9783527331659"</f>
        <v>9783527331659</v>
      </c>
      <c r="H57" t="s">
        <v>191</v>
      </c>
      <c r="I57" t="s">
        <v>192</v>
      </c>
      <c r="J57" t="s">
        <v>193</v>
      </c>
      <c r="K57" t="s">
        <v>44</v>
      </c>
      <c r="N57" t="s">
        <v>45</v>
      </c>
      <c r="O57" t="s">
        <v>46</v>
      </c>
      <c r="P57" t="s">
        <v>45</v>
      </c>
      <c r="Q57" t="s">
        <v>47</v>
      </c>
      <c r="R57" t="s">
        <v>44</v>
      </c>
      <c r="S57">
        <v>0</v>
      </c>
      <c r="W57" s="3">
        <v>5.7870370370370366E-5</v>
      </c>
      <c r="X57" t="s">
        <v>196</v>
      </c>
      <c r="Y57">
        <v>2</v>
      </c>
      <c r="Z57">
        <v>0</v>
      </c>
      <c r="AA57" t="s">
        <v>49</v>
      </c>
      <c r="AB57">
        <v>0</v>
      </c>
      <c r="AC57" t="s">
        <v>49</v>
      </c>
      <c r="AD57">
        <v>0</v>
      </c>
      <c r="AE57">
        <v>11125579</v>
      </c>
      <c r="AF57" t="s">
        <v>50</v>
      </c>
      <c r="AG57" t="s">
        <v>197</v>
      </c>
    </row>
    <row r="58" spans="1:33" x14ac:dyDescent="0.35">
      <c r="A58" s="1">
        <v>44915.751388888886</v>
      </c>
      <c r="B58">
        <v>6420775</v>
      </c>
      <c r="C58" t="s">
        <v>236</v>
      </c>
      <c r="D58" t="s">
        <v>213</v>
      </c>
      <c r="E58" s="2">
        <v>44147</v>
      </c>
      <c r="F58" t="str">
        <f>"9780128243619"</f>
        <v>9780128243619</v>
      </c>
      <c r="G58" t="str">
        <f>"9780128243602"</f>
        <v>9780128243602</v>
      </c>
      <c r="H58" t="s">
        <v>237</v>
      </c>
      <c r="I58">
        <v>551.70100000000002</v>
      </c>
      <c r="J58" t="s">
        <v>238</v>
      </c>
      <c r="K58" t="s">
        <v>55</v>
      </c>
      <c r="N58" t="s">
        <v>79</v>
      </c>
      <c r="P58" t="s">
        <v>80</v>
      </c>
      <c r="Q58" t="s">
        <v>47</v>
      </c>
      <c r="R58" t="s">
        <v>44</v>
      </c>
      <c r="S58">
        <v>0</v>
      </c>
      <c r="W58" s="3">
        <v>1.1574074074074073E-4</v>
      </c>
      <c r="X58" t="s">
        <v>56</v>
      </c>
      <c r="Y58">
        <v>3</v>
      </c>
      <c r="Z58">
        <v>0</v>
      </c>
      <c r="AA58" t="s">
        <v>49</v>
      </c>
      <c r="AB58">
        <v>0</v>
      </c>
      <c r="AC58" t="s">
        <v>49</v>
      </c>
      <c r="AD58">
        <v>0</v>
      </c>
      <c r="AE58">
        <v>-1</v>
      </c>
      <c r="AF58" t="s">
        <v>50</v>
      </c>
      <c r="AG58" t="s">
        <v>57</v>
      </c>
    </row>
    <row r="59" spans="1:33" x14ac:dyDescent="0.35">
      <c r="A59" s="1">
        <v>44915.726388888892</v>
      </c>
      <c r="B59">
        <v>6420775</v>
      </c>
      <c r="C59" t="s">
        <v>236</v>
      </c>
      <c r="D59" t="s">
        <v>213</v>
      </c>
      <c r="E59" s="2">
        <v>44147</v>
      </c>
      <c r="F59" t="str">
        <f>"9780128243619"</f>
        <v>9780128243619</v>
      </c>
      <c r="G59" t="str">
        <f>"9780128243602"</f>
        <v>9780128243602</v>
      </c>
      <c r="H59" t="s">
        <v>237</v>
      </c>
      <c r="I59">
        <v>551.70100000000002</v>
      </c>
      <c r="J59" t="s">
        <v>238</v>
      </c>
      <c r="K59" t="s">
        <v>55</v>
      </c>
      <c r="N59" t="s">
        <v>79</v>
      </c>
      <c r="P59" t="s">
        <v>80</v>
      </c>
      <c r="Q59" t="s">
        <v>47</v>
      </c>
      <c r="R59" t="s">
        <v>44</v>
      </c>
      <c r="S59">
        <v>0</v>
      </c>
      <c r="W59" s="3">
        <v>0</v>
      </c>
      <c r="X59" t="s">
        <v>49</v>
      </c>
      <c r="Y59">
        <v>0</v>
      </c>
      <c r="Z59">
        <v>8</v>
      </c>
      <c r="AA59" t="s">
        <v>239</v>
      </c>
      <c r="AB59">
        <v>279</v>
      </c>
      <c r="AC59" t="s">
        <v>49</v>
      </c>
      <c r="AD59">
        <v>0</v>
      </c>
      <c r="AE59">
        <v>-1</v>
      </c>
      <c r="AF59" t="s">
        <v>50</v>
      </c>
      <c r="AG59" t="s">
        <v>57</v>
      </c>
    </row>
    <row r="60" spans="1:33" x14ac:dyDescent="0.35">
      <c r="A60" s="1">
        <v>44915.63958333333</v>
      </c>
      <c r="B60">
        <v>5988984</v>
      </c>
      <c r="C60" t="s">
        <v>219</v>
      </c>
      <c r="D60" t="s">
        <v>59</v>
      </c>
      <c r="E60" s="2">
        <v>43839</v>
      </c>
      <c r="F60" t="str">
        <f>"9781119592150"</f>
        <v>9781119592150</v>
      </c>
      <c r="G60" t="str">
        <f>"9781119592051"</f>
        <v>9781119592051</v>
      </c>
      <c r="H60" t="s">
        <v>220</v>
      </c>
      <c r="K60" t="s">
        <v>55</v>
      </c>
      <c r="N60" t="s">
        <v>45</v>
      </c>
      <c r="O60" t="s">
        <v>46</v>
      </c>
      <c r="P60" t="s">
        <v>45</v>
      </c>
      <c r="Q60" t="s">
        <v>47</v>
      </c>
      <c r="R60" t="s">
        <v>44</v>
      </c>
      <c r="S60">
        <v>0</v>
      </c>
      <c r="W60" s="3">
        <v>3.4722222222222224E-2</v>
      </c>
      <c r="X60" t="s">
        <v>240</v>
      </c>
      <c r="Y60">
        <v>22</v>
      </c>
      <c r="Z60">
        <v>0</v>
      </c>
      <c r="AA60" t="s">
        <v>49</v>
      </c>
      <c r="AB60">
        <v>0</v>
      </c>
      <c r="AC60" t="s">
        <v>241</v>
      </c>
      <c r="AD60">
        <v>1</v>
      </c>
      <c r="AE60">
        <v>-1</v>
      </c>
      <c r="AF60" t="s">
        <v>50</v>
      </c>
      <c r="AG60" t="s">
        <v>223</v>
      </c>
    </row>
    <row r="61" spans="1:33" x14ac:dyDescent="0.35">
      <c r="A61" s="1">
        <v>44915.486111111109</v>
      </c>
      <c r="B61">
        <v>4183127</v>
      </c>
      <c r="C61" t="s">
        <v>190</v>
      </c>
      <c r="D61" t="s">
        <v>59</v>
      </c>
      <c r="E61" s="2">
        <v>42310</v>
      </c>
      <c r="F61" t="str">
        <f>"9783527684649"</f>
        <v>9783527684649</v>
      </c>
      <c r="G61" t="str">
        <f>"9783527331659"</f>
        <v>9783527331659</v>
      </c>
      <c r="H61" t="s">
        <v>191</v>
      </c>
      <c r="I61" t="s">
        <v>192</v>
      </c>
      <c r="J61" t="s">
        <v>193</v>
      </c>
      <c r="K61" t="s">
        <v>44</v>
      </c>
      <c r="N61" t="s">
        <v>45</v>
      </c>
      <c r="O61" t="s">
        <v>46</v>
      </c>
      <c r="P61" t="s">
        <v>45</v>
      </c>
      <c r="Q61" t="s">
        <v>47</v>
      </c>
      <c r="R61" t="s">
        <v>44</v>
      </c>
      <c r="S61">
        <v>0</v>
      </c>
      <c r="W61" s="3">
        <v>1.6203703703703703E-4</v>
      </c>
      <c r="X61" t="s">
        <v>242</v>
      </c>
      <c r="Y61">
        <v>3</v>
      </c>
      <c r="Z61">
        <v>0</v>
      </c>
      <c r="AA61" t="s">
        <v>49</v>
      </c>
      <c r="AB61">
        <v>0</v>
      </c>
      <c r="AC61" t="s">
        <v>49</v>
      </c>
      <c r="AD61">
        <v>0</v>
      </c>
      <c r="AE61">
        <v>11125579</v>
      </c>
      <c r="AF61" t="s">
        <v>50</v>
      </c>
      <c r="AG61" t="s">
        <v>197</v>
      </c>
    </row>
    <row r="62" spans="1:33" x14ac:dyDescent="0.35">
      <c r="A62" s="1">
        <v>44915.45208333333</v>
      </c>
      <c r="B62">
        <v>7104561</v>
      </c>
      <c r="C62" t="s">
        <v>243</v>
      </c>
      <c r="D62" t="s">
        <v>59</v>
      </c>
      <c r="E62" s="2">
        <v>39510</v>
      </c>
      <c r="F62" t="str">
        <f>"9781444301793"</f>
        <v>9781444301793</v>
      </c>
      <c r="G62" t="str">
        <f>"9781405158633"</f>
        <v>9781405158633</v>
      </c>
      <c r="H62" t="s">
        <v>244</v>
      </c>
      <c r="K62" t="s">
        <v>44</v>
      </c>
      <c r="N62" t="s">
        <v>45</v>
      </c>
      <c r="O62" t="s">
        <v>46</v>
      </c>
      <c r="P62" t="s">
        <v>45</v>
      </c>
      <c r="Q62" t="s">
        <v>47</v>
      </c>
      <c r="R62" t="s">
        <v>44</v>
      </c>
      <c r="S62">
        <v>0</v>
      </c>
      <c r="W62" s="3">
        <v>2.0509259259259258E-2</v>
      </c>
      <c r="X62" t="s">
        <v>245</v>
      </c>
      <c r="Y62">
        <v>18</v>
      </c>
      <c r="Z62">
        <v>0</v>
      </c>
      <c r="AA62" t="s">
        <v>49</v>
      </c>
      <c r="AB62">
        <v>0</v>
      </c>
      <c r="AC62" t="s">
        <v>246</v>
      </c>
      <c r="AD62">
        <v>1</v>
      </c>
      <c r="AE62">
        <v>-1</v>
      </c>
      <c r="AF62" t="s">
        <v>50</v>
      </c>
      <c r="AG62" t="s">
        <v>57</v>
      </c>
    </row>
    <row r="63" spans="1:33" x14ac:dyDescent="0.35">
      <c r="A63" s="1">
        <v>44914.964583333334</v>
      </c>
      <c r="B63">
        <v>4183127</v>
      </c>
      <c r="C63" t="s">
        <v>190</v>
      </c>
      <c r="D63" t="s">
        <v>59</v>
      </c>
      <c r="E63" s="2">
        <v>42310</v>
      </c>
      <c r="F63" t="str">
        <f>"9783527684649"</f>
        <v>9783527684649</v>
      </c>
      <c r="G63" t="str">
        <f>"9783527331659"</f>
        <v>9783527331659</v>
      </c>
      <c r="H63" t="s">
        <v>191</v>
      </c>
      <c r="I63" t="s">
        <v>192</v>
      </c>
      <c r="J63" t="s">
        <v>193</v>
      </c>
      <c r="K63" t="s">
        <v>44</v>
      </c>
      <c r="N63" t="s">
        <v>45</v>
      </c>
      <c r="O63" t="s">
        <v>46</v>
      </c>
      <c r="P63" t="s">
        <v>45</v>
      </c>
      <c r="Q63" t="s">
        <v>47</v>
      </c>
      <c r="R63" t="s">
        <v>44</v>
      </c>
      <c r="S63">
        <v>0</v>
      </c>
      <c r="W63" s="3">
        <v>2.199074074074074E-4</v>
      </c>
      <c r="X63" t="s">
        <v>247</v>
      </c>
      <c r="Y63">
        <v>4</v>
      </c>
      <c r="Z63">
        <v>0</v>
      </c>
      <c r="AA63" t="s">
        <v>49</v>
      </c>
      <c r="AB63">
        <v>0</v>
      </c>
      <c r="AC63" t="s">
        <v>49</v>
      </c>
      <c r="AD63">
        <v>0</v>
      </c>
      <c r="AE63">
        <v>11125579</v>
      </c>
      <c r="AF63" t="s">
        <v>50</v>
      </c>
      <c r="AG63" t="s">
        <v>197</v>
      </c>
    </row>
    <row r="64" spans="1:33" x14ac:dyDescent="0.35">
      <c r="A64" s="1">
        <v>44914.921527777777</v>
      </c>
      <c r="B64">
        <v>4183127</v>
      </c>
      <c r="C64" t="s">
        <v>190</v>
      </c>
      <c r="D64" t="s">
        <v>59</v>
      </c>
      <c r="E64" s="2">
        <v>42310</v>
      </c>
      <c r="F64" t="str">
        <f>"9783527684649"</f>
        <v>9783527684649</v>
      </c>
      <c r="G64" t="str">
        <f>"9783527331659"</f>
        <v>9783527331659</v>
      </c>
      <c r="H64" t="s">
        <v>191</v>
      </c>
      <c r="I64" t="s">
        <v>192</v>
      </c>
      <c r="J64" t="s">
        <v>193</v>
      </c>
      <c r="K64" t="s">
        <v>44</v>
      </c>
      <c r="N64" t="s">
        <v>45</v>
      </c>
      <c r="O64" t="s">
        <v>46</v>
      </c>
      <c r="P64" t="s">
        <v>45</v>
      </c>
      <c r="Q64" t="s">
        <v>47</v>
      </c>
      <c r="R64" t="s">
        <v>44</v>
      </c>
      <c r="S64">
        <v>0</v>
      </c>
      <c r="W64" s="3">
        <v>6.5856481481481469E-3</v>
      </c>
      <c r="X64" t="s">
        <v>248</v>
      </c>
      <c r="Y64">
        <v>21</v>
      </c>
      <c r="Z64">
        <v>0</v>
      </c>
      <c r="AA64" t="s">
        <v>49</v>
      </c>
      <c r="AB64">
        <v>0</v>
      </c>
      <c r="AC64" t="s">
        <v>49</v>
      </c>
      <c r="AD64">
        <v>0</v>
      </c>
      <c r="AE64">
        <v>11125579</v>
      </c>
      <c r="AF64" t="s">
        <v>50</v>
      </c>
      <c r="AG64" t="s">
        <v>197</v>
      </c>
    </row>
    <row r="65" spans="1:33" x14ac:dyDescent="0.35">
      <c r="A65" s="1">
        <v>44914.661111111112</v>
      </c>
      <c r="B65">
        <v>4183127</v>
      </c>
      <c r="C65" t="s">
        <v>190</v>
      </c>
      <c r="D65" t="s">
        <v>59</v>
      </c>
      <c r="E65" s="2">
        <v>42310</v>
      </c>
      <c r="F65" t="str">
        <f>"9783527684649"</f>
        <v>9783527684649</v>
      </c>
      <c r="G65" t="str">
        <f>"9783527331659"</f>
        <v>9783527331659</v>
      </c>
      <c r="H65" t="s">
        <v>191</v>
      </c>
      <c r="I65" t="s">
        <v>192</v>
      </c>
      <c r="J65" t="s">
        <v>193</v>
      </c>
      <c r="K65" t="s">
        <v>44</v>
      </c>
      <c r="N65" t="s">
        <v>45</v>
      </c>
      <c r="O65" t="s">
        <v>46</v>
      </c>
      <c r="P65" t="s">
        <v>45</v>
      </c>
      <c r="Q65" t="s">
        <v>47</v>
      </c>
      <c r="R65" t="s">
        <v>44</v>
      </c>
      <c r="S65">
        <v>0</v>
      </c>
      <c r="W65" s="3">
        <v>9.1435185185185178E-3</v>
      </c>
      <c r="X65" t="s">
        <v>249</v>
      </c>
      <c r="Y65">
        <v>61</v>
      </c>
      <c r="Z65">
        <v>0</v>
      </c>
      <c r="AA65" t="s">
        <v>250</v>
      </c>
      <c r="AB65">
        <v>76</v>
      </c>
      <c r="AC65" t="s">
        <v>49</v>
      </c>
      <c r="AD65">
        <v>0</v>
      </c>
      <c r="AE65">
        <v>11125579</v>
      </c>
      <c r="AF65" t="s">
        <v>63</v>
      </c>
      <c r="AG65" t="s">
        <v>57</v>
      </c>
    </row>
    <row r="66" spans="1:33" x14ac:dyDescent="0.35">
      <c r="A66" s="1">
        <v>44914.655555555553</v>
      </c>
      <c r="B66">
        <v>4710349</v>
      </c>
      <c r="C66" t="s">
        <v>251</v>
      </c>
      <c r="D66" t="s">
        <v>115</v>
      </c>
      <c r="E66" s="2">
        <v>42604</v>
      </c>
      <c r="F66" t="str">
        <f>"9783110412451"</f>
        <v>9783110412451</v>
      </c>
      <c r="G66" t="str">
        <f>"9783110412369"</f>
        <v>9783110412369</v>
      </c>
      <c r="H66" t="s">
        <v>252</v>
      </c>
      <c r="I66" t="s">
        <v>253</v>
      </c>
      <c r="J66" t="s">
        <v>254</v>
      </c>
      <c r="K66" t="s">
        <v>44</v>
      </c>
      <c r="N66" t="s">
        <v>45</v>
      </c>
      <c r="O66" t="s">
        <v>46</v>
      </c>
      <c r="P66" t="s">
        <v>45</v>
      </c>
      <c r="Q66" t="s">
        <v>47</v>
      </c>
      <c r="R66" t="s">
        <v>44</v>
      </c>
      <c r="S66">
        <v>0</v>
      </c>
      <c r="W66" s="3">
        <v>4.2824074074074075E-4</v>
      </c>
      <c r="X66" t="s">
        <v>255</v>
      </c>
      <c r="Y66">
        <v>14</v>
      </c>
      <c r="Z66">
        <v>0</v>
      </c>
      <c r="AA66" t="s">
        <v>49</v>
      </c>
      <c r="AB66">
        <v>0</v>
      </c>
      <c r="AC66" t="s">
        <v>49</v>
      </c>
      <c r="AD66">
        <v>0</v>
      </c>
      <c r="AE66">
        <v>11276447</v>
      </c>
      <c r="AF66" t="s">
        <v>50</v>
      </c>
      <c r="AG66" t="s">
        <v>57</v>
      </c>
    </row>
    <row r="67" spans="1:33" x14ac:dyDescent="0.35">
      <c r="A67" s="1">
        <v>44914.652083333334</v>
      </c>
      <c r="B67">
        <v>5995828</v>
      </c>
      <c r="C67" t="s">
        <v>256</v>
      </c>
      <c r="D67" t="s">
        <v>257</v>
      </c>
      <c r="E67" s="2">
        <v>43809</v>
      </c>
      <c r="F67" t="str">
        <f>"9781484254134"</f>
        <v>9781484254134</v>
      </c>
      <c r="G67" t="str">
        <f>"9781484254127"</f>
        <v>9781484254127</v>
      </c>
      <c r="H67" t="s">
        <v>138</v>
      </c>
      <c r="I67">
        <v>5.8</v>
      </c>
      <c r="J67" t="s">
        <v>258</v>
      </c>
      <c r="K67" t="s">
        <v>55</v>
      </c>
      <c r="Q67" t="s">
        <v>47</v>
      </c>
      <c r="R67" t="s">
        <v>44</v>
      </c>
      <c r="S67">
        <v>0</v>
      </c>
      <c r="W67" s="3">
        <v>3.7037037037037035E-4</v>
      </c>
      <c r="X67" t="s">
        <v>259</v>
      </c>
      <c r="Y67">
        <v>6</v>
      </c>
      <c r="Z67">
        <v>0</v>
      </c>
      <c r="AA67" t="s">
        <v>49</v>
      </c>
      <c r="AB67">
        <v>0</v>
      </c>
      <c r="AC67" t="s">
        <v>49</v>
      </c>
      <c r="AD67">
        <v>0</v>
      </c>
      <c r="AE67">
        <v>-1</v>
      </c>
      <c r="AF67" t="s">
        <v>50</v>
      </c>
      <c r="AG67" t="s">
        <v>57</v>
      </c>
    </row>
    <row r="68" spans="1:33" x14ac:dyDescent="0.35">
      <c r="A68" s="1">
        <v>44914.59652777778</v>
      </c>
      <c r="B68">
        <v>6712528</v>
      </c>
      <c r="C68" t="s">
        <v>260</v>
      </c>
      <c r="D68" t="s">
        <v>213</v>
      </c>
      <c r="E68" s="2">
        <v>44434</v>
      </c>
      <c r="F68" t="str">
        <f>"9780128230565"</f>
        <v>9780128230565</v>
      </c>
      <c r="G68" t="str">
        <f>"9780128230312"</f>
        <v>9780128230312</v>
      </c>
      <c r="H68" t="s">
        <v>261</v>
      </c>
      <c r="I68">
        <v>628.29999999999995</v>
      </c>
      <c r="J68" t="s">
        <v>262</v>
      </c>
      <c r="K68" t="s">
        <v>55</v>
      </c>
      <c r="Q68" t="s">
        <v>47</v>
      </c>
      <c r="R68" t="s">
        <v>44</v>
      </c>
      <c r="S68">
        <v>0</v>
      </c>
      <c r="W68" s="3">
        <v>9.9537037037037042E-3</v>
      </c>
      <c r="X68" t="s">
        <v>263</v>
      </c>
      <c r="Y68">
        <v>16</v>
      </c>
      <c r="Z68">
        <v>0</v>
      </c>
      <c r="AA68" t="s">
        <v>49</v>
      </c>
      <c r="AB68">
        <v>0</v>
      </c>
      <c r="AC68" t="s">
        <v>49</v>
      </c>
      <c r="AD68">
        <v>0</v>
      </c>
      <c r="AE68">
        <v>-1</v>
      </c>
      <c r="AF68" t="s">
        <v>63</v>
      </c>
      <c r="AG68" t="s">
        <v>264</v>
      </c>
    </row>
    <row r="69" spans="1:33" x14ac:dyDescent="0.35">
      <c r="A69" s="1">
        <v>44914.570138888892</v>
      </c>
      <c r="B69">
        <v>6012185</v>
      </c>
      <c r="C69" t="s">
        <v>265</v>
      </c>
      <c r="D69" t="s">
        <v>266</v>
      </c>
      <c r="E69" s="2">
        <v>43851</v>
      </c>
      <c r="F69" t="str">
        <f>"9781787751781"</f>
        <v>9781787751781</v>
      </c>
      <c r="G69" t="str">
        <f>"9781787751774"</f>
        <v>9781787751774</v>
      </c>
      <c r="H69" t="s">
        <v>90</v>
      </c>
      <c r="I69">
        <v>371.90472</v>
      </c>
      <c r="J69" t="s">
        <v>267</v>
      </c>
      <c r="K69" t="s">
        <v>55</v>
      </c>
      <c r="Q69" t="s">
        <v>47</v>
      </c>
      <c r="R69" t="s">
        <v>44</v>
      </c>
      <c r="S69">
        <v>0</v>
      </c>
      <c r="W69" s="3">
        <v>4.1666666666666666E-3</v>
      </c>
      <c r="X69" t="s">
        <v>268</v>
      </c>
      <c r="Y69">
        <v>36</v>
      </c>
      <c r="Z69">
        <v>0</v>
      </c>
      <c r="AA69" t="s">
        <v>49</v>
      </c>
      <c r="AB69">
        <v>0</v>
      </c>
      <c r="AC69" t="s">
        <v>49</v>
      </c>
      <c r="AD69">
        <v>0</v>
      </c>
      <c r="AE69">
        <v>-1</v>
      </c>
      <c r="AF69" t="s">
        <v>50</v>
      </c>
      <c r="AG69" t="s">
        <v>57</v>
      </c>
    </row>
    <row r="70" spans="1:33" x14ac:dyDescent="0.35">
      <c r="A70" s="1">
        <v>44914.558333333334</v>
      </c>
      <c r="B70">
        <v>6012185</v>
      </c>
      <c r="C70" t="s">
        <v>265</v>
      </c>
      <c r="D70" t="s">
        <v>266</v>
      </c>
      <c r="E70" s="2">
        <v>43851</v>
      </c>
      <c r="F70" t="str">
        <f>"9781787751781"</f>
        <v>9781787751781</v>
      </c>
      <c r="G70" t="str">
        <f>"9781787751774"</f>
        <v>9781787751774</v>
      </c>
      <c r="H70" t="s">
        <v>90</v>
      </c>
      <c r="I70">
        <v>371.90472</v>
      </c>
      <c r="J70" t="s">
        <v>267</v>
      </c>
      <c r="K70" t="s">
        <v>55</v>
      </c>
      <c r="Q70" t="s">
        <v>47</v>
      </c>
      <c r="R70" t="s">
        <v>44</v>
      </c>
      <c r="S70">
        <v>0</v>
      </c>
      <c r="W70" s="3">
        <v>8.564814814814815E-4</v>
      </c>
      <c r="X70" t="s">
        <v>269</v>
      </c>
      <c r="Y70">
        <v>10</v>
      </c>
      <c r="Z70">
        <v>0</v>
      </c>
      <c r="AA70" t="s">
        <v>49</v>
      </c>
      <c r="AB70">
        <v>0</v>
      </c>
      <c r="AC70" t="s">
        <v>49</v>
      </c>
      <c r="AD70">
        <v>0</v>
      </c>
      <c r="AE70">
        <v>-1</v>
      </c>
      <c r="AF70" t="s">
        <v>50</v>
      </c>
      <c r="AG70" t="s">
        <v>264</v>
      </c>
    </row>
    <row r="71" spans="1:33" x14ac:dyDescent="0.35">
      <c r="A71" s="1">
        <v>44914.557638888888</v>
      </c>
      <c r="B71">
        <v>6175979</v>
      </c>
      <c r="C71" t="s">
        <v>270</v>
      </c>
      <c r="D71" t="s">
        <v>271</v>
      </c>
      <c r="E71" s="2">
        <v>43944</v>
      </c>
      <c r="F71" t="str">
        <f>"9781911510628"</f>
        <v>9781911510628</v>
      </c>
      <c r="G71" t="str">
        <f>"9781911510581"</f>
        <v>9781911510581</v>
      </c>
      <c r="H71" t="s">
        <v>77</v>
      </c>
      <c r="I71">
        <v>610.76</v>
      </c>
      <c r="J71" t="s">
        <v>272</v>
      </c>
      <c r="K71" t="s">
        <v>55</v>
      </c>
      <c r="Q71" t="s">
        <v>47</v>
      </c>
      <c r="R71" t="s">
        <v>44</v>
      </c>
      <c r="S71">
        <v>0</v>
      </c>
      <c r="W71" s="3">
        <v>4.1666666666666669E-4</v>
      </c>
      <c r="X71" t="s">
        <v>273</v>
      </c>
      <c r="Y71">
        <v>6</v>
      </c>
      <c r="Z71">
        <v>0</v>
      </c>
      <c r="AA71" t="s">
        <v>49</v>
      </c>
      <c r="AB71">
        <v>0</v>
      </c>
      <c r="AC71" t="s">
        <v>49</v>
      </c>
      <c r="AD71">
        <v>0</v>
      </c>
      <c r="AE71">
        <v>-1</v>
      </c>
      <c r="AF71" t="s">
        <v>50</v>
      </c>
      <c r="AG71" t="s">
        <v>264</v>
      </c>
    </row>
    <row r="72" spans="1:33" x14ac:dyDescent="0.35">
      <c r="A72" s="1">
        <v>44914.555555555555</v>
      </c>
      <c r="B72">
        <v>5475454</v>
      </c>
      <c r="C72" t="s">
        <v>184</v>
      </c>
      <c r="D72" t="s">
        <v>76</v>
      </c>
      <c r="E72" s="2">
        <v>42572</v>
      </c>
      <c r="F72" t="str">
        <f>"9781498739405"</f>
        <v>9781498739405</v>
      </c>
      <c r="G72" t="str">
        <f>"9781138445079"</f>
        <v>9781138445079</v>
      </c>
      <c r="H72" t="s">
        <v>77</v>
      </c>
      <c r="I72">
        <v>610.76</v>
      </c>
      <c r="J72" t="s">
        <v>185</v>
      </c>
      <c r="K72" t="s">
        <v>44</v>
      </c>
      <c r="N72" t="s">
        <v>45</v>
      </c>
      <c r="O72" t="s">
        <v>46</v>
      </c>
      <c r="P72" t="s">
        <v>45</v>
      </c>
      <c r="Q72" t="s">
        <v>47</v>
      </c>
      <c r="R72" t="s">
        <v>44</v>
      </c>
      <c r="S72">
        <v>0</v>
      </c>
      <c r="W72" s="3">
        <v>1.3194444444444443E-3</v>
      </c>
      <c r="X72" t="s">
        <v>274</v>
      </c>
      <c r="Y72">
        <v>13</v>
      </c>
      <c r="Z72">
        <v>0</v>
      </c>
      <c r="AA72" t="s">
        <v>49</v>
      </c>
      <c r="AB72">
        <v>0</v>
      </c>
      <c r="AC72" t="s">
        <v>49</v>
      </c>
      <c r="AD72">
        <v>0</v>
      </c>
      <c r="AE72">
        <v>11595457</v>
      </c>
      <c r="AF72" t="s">
        <v>50</v>
      </c>
      <c r="AG72" t="s">
        <v>264</v>
      </c>
    </row>
    <row r="73" spans="1:33" x14ac:dyDescent="0.35">
      <c r="A73" s="1">
        <v>44914.507638888892</v>
      </c>
      <c r="B73">
        <v>6819959</v>
      </c>
      <c r="C73" t="s">
        <v>275</v>
      </c>
      <c r="D73" t="s">
        <v>65</v>
      </c>
      <c r="E73" s="2">
        <v>44529</v>
      </c>
      <c r="F73" t="str">
        <f>"9780128209349"</f>
        <v>9780128209349</v>
      </c>
      <c r="G73" t="str">
        <f>"9780128207185"</f>
        <v>9780128207185</v>
      </c>
      <c r="H73" t="s">
        <v>77</v>
      </c>
      <c r="I73">
        <v>610.28028562999998</v>
      </c>
      <c r="J73" t="s">
        <v>276</v>
      </c>
      <c r="K73" t="s">
        <v>55</v>
      </c>
      <c r="Q73" t="s">
        <v>47</v>
      </c>
      <c r="R73" t="s">
        <v>44</v>
      </c>
      <c r="S73">
        <v>0</v>
      </c>
      <c r="W73" s="3">
        <v>9.4907407407407408E-4</v>
      </c>
      <c r="X73" t="s">
        <v>277</v>
      </c>
      <c r="Y73">
        <v>9</v>
      </c>
      <c r="Z73">
        <v>0</v>
      </c>
      <c r="AA73" t="s">
        <v>49</v>
      </c>
      <c r="AB73">
        <v>0</v>
      </c>
      <c r="AC73" t="s">
        <v>49</v>
      </c>
      <c r="AD73">
        <v>0</v>
      </c>
      <c r="AE73">
        <v>-1</v>
      </c>
      <c r="AF73" t="s">
        <v>50</v>
      </c>
      <c r="AG73" t="s">
        <v>51</v>
      </c>
    </row>
    <row r="74" spans="1:33" x14ac:dyDescent="0.35">
      <c r="A74" s="1">
        <v>44914.504166666666</v>
      </c>
      <c r="B74">
        <v>5475454</v>
      </c>
      <c r="C74" t="s">
        <v>184</v>
      </c>
      <c r="D74" t="s">
        <v>76</v>
      </c>
      <c r="E74" s="2">
        <v>42572</v>
      </c>
      <c r="F74" t="str">
        <f>"9781498739405"</f>
        <v>9781498739405</v>
      </c>
      <c r="G74" t="str">
        <f>"9781138445079"</f>
        <v>9781138445079</v>
      </c>
      <c r="H74" t="s">
        <v>77</v>
      </c>
      <c r="I74">
        <v>610.76</v>
      </c>
      <c r="J74" t="s">
        <v>185</v>
      </c>
      <c r="K74" t="s">
        <v>44</v>
      </c>
      <c r="N74" t="s">
        <v>45</v>
      </c>
      <c r="O74" t="s">
        <v>46</v>
      </c>
      <c r="P74" t="s">
        <v>45</v>
      </c>
      <c r="Q74" t="s">
        <v>47</v>
      </c>
      <c r="R74" t="s">
        <v>44</v>
      </c>
      <c r="S74">
        <v>0</v>
      </c>
      <c r="W74" s="3">
        <v>3.8194444444444446E-4</v>
      </c>
      <c r="X74" t="s">
        <v>278</v>
      </c>
      <c r="Y74">
        <v>3</v>
      </c>
      <c r="Z74">
        <v>0</v>
      </c>
      <c r="AA74" t="s">
        <v>49</v>
      </c>
      <c r="AB74">
        <v>0</v>
      </c>
      <c r="AC74" t="s">
        <v>49</v>
      </c>
      <c r="AD74">
        <v>0</v>
      </c>
      <c r="AE74">
        <v>11595457</v>
      </c>
      <c r="AF74" t="s">
        <v>50</v>
      </c>
      <c r="AG74" t="s">
        <v>279</v>
      </c>
    </row>
    <row r="75" spans="1:33" x14ac:dyDescent="0.35">
      <c r="A75" s="1">
        <v>44914.502083333333</v>
      </c>
      <c r="B75">
        <v>6012185</v>
      </c>
      <c r="C75" t="s">
        <v>265</v>
      </c>
      <c r="D75" t="s">
        <v>266</v>
      </c>
      <c r="E75" s="2">
        <v>43851</v>
      </c>
      <c r="F75" t="str">
        <f>"9781787751781"</f>
        <v>9781787751781</v>
      </c>
      <c r="G75" t="str">
        <f>"9781787751774"</f>
        <v>9781787751774</v>
      </c>
      <c r="H75" t="s">
        <v>90</v>
      </c>
      <c r="I75">
        <v>371.90472</v>
      </c>
      <c r="J75" t="s">
        <v>267</v>
      </c>
      <c r="K75" t="s">
        <v>55</v>
      </c>
      <c r="Q75" t="s">
        <v>47</v>
      </c>
      <c r="R75" t="s">
        <v>44</v>
      </c>
      <c r="S75">
        <v>0</v>
      </c>
      <c r="W75" s="3">
        <v>1.273148148148148E-4</v>
      </c>
      <c r="X75" t="s">
        <v>56</v>
      </c>
      <c r="Y75">
        <v>3</v>
      </c>
      <c r="Z75">
        <v>0</v>
      </c>
      <c r="AA75" t="s">
        <v>49</v>
      </c>
      <c r="AB75">
        <v>0</v>
      </c>
      <c r="AC75" t="s">
        <v>49</v>
      </c>
      <c r="AD75">
        <v>0</v>
      </c>
      <c r="AE75">
        <v>-1</v>
      </c>
      <c r="AF75" t="s">
        <v>50</v>
      </c>
      <c r="AG75" t="s">
        <v>57</v>
      </c>
    </row>
    <row r="76" spans="1:33" x14ac:dyDescent="0.35">
      <c r="A76" s="1">
        <v>44914.427777777775</v>
      </c>
      <c r="B76">
        <v>1318682</v>
      </c>
      <c r="C76" t="s">
        <v>280</v>
      </c>
      <c r="D76" t="s">
        <v>59</v>
      </c>
      <c r="E76" s="2">
        <v>41477</v>
      </c>
      <c r="F76" t="str">
        <f>"9781118549483"</f>
        <v>9781118549483</v>
      </c>
      <c r="G76" t="str">
        <f>"9781118549360"</f>
        <v>9781118549360</v>
      </c>
      <c r="H76" t="s">
        <v>281</v>
      </c>
      <c r="I76" t="s">
        <v>282</v>
      </c>
      <c r="J76" t="s">
        <v>283</v>
      </c>
      <c r="K76" t="s">
        <v>44</v>
      </c>
      <c r="N76" t="s">
        <v>45</v>
      </c>
      <c r="O76" t="s">
        <v>46</v>
      </c>
      <c r="P76" t="s">
        <v>45</v>
      </c>
      <c r="Q76" t="s">
        <v>47</v>
      </c>
      <c r="R76" t="s">
        <v>44</v>
      </c>
      <c r="S76">
        <v>1</v>
      </c>
      <c r="W76" s="3">
        <v>1.1747685185185186E-2</v>
      </c>
      <c r="X76" t="s">
        <v>284</v>
      </c>
      <c r="Y76">
        <v>8</v>
      </c>
      <c r="Z76">
        <v>0</v>
      </c>
      <c r="AA76" t="s">
        <v>49</v>
      </c>
      <c r="AB76">
        <v>0</v>
      </c>
      <c r="AC76" t="s">
        <v>285</v>
      </c>
      <c r="AD76">
        <v>1</v>
      </c>
      <c r="AE76">
        <v>10735206</v>
      </c>
      <c r="AF76" t="s">
        <v>63</v>
      </c>
      <c r="AG76" t="s">
        <v>57</v>
      </c>
    </row>
    <row r="77" spans="1:33" x14ac:dyDescent="0.35">
      <c r="A77" s="1">
        <v>44914.409722222219</v>
      </c>
      <c r="B77">
        <v>5964416</v>
      </c>
      <c r="C77" t="s">
        <v>280</v>
      </c>
      <c r="D77" t="s">
        <v>59</v>
      </c>
      <c r="E77" s="2">
        <v>43788</v>
      </c>
      <c r="F77" t="str">
        <f>"9781119405351"</f>
        <v>9781119405351</v>
      </c>
      <c r="G77" t="str">
        <f>"9781119405375"</f>
        <v>9781119405375</v>
      </c>
      <c r="H77" t="s">
        <v>286</v>
      </c>
      <c r="I77" t="s">
        <v>282</v>
      </c>
      <c r="J77" t="s">
        <v>287</v>
      </c>
      <c r="K77" t="s">
        <v>55</v>
      </c>
      <c r="Q77" t="s">
        <v>47</v>
      </c>
      <c r="R77" t="s">
        <v>44</v>
      </c>
      <c r="S77">
        <v>0</v>
      </c>
      <c r="W77" s="3">
        <v>1.0752314814814814E-2</v>
      </c>
      <c r="X77" t="s">
        <v>288</v>
      </c>
      <c r="Y77">
        <v>11</v>
      </c>
      <c r="Z77">
        <v>0</v>
      </c>
      <c r="AA77" t="s">
        <v>49</v>
      </c>
      <c r="AB77">
        <v>0</v>
      </c>
      <c r="AC77" t="s">
        <v>49</v>
      </c>
      <c r="AD77">
        <v>0</v>
      </c>
      <c r="AE77">
        <v>-1</v>
      </c>
      <c r="AF77" t="s">
        <v>63</v>
      </c>
      <c r="AG77" t="s">
        <v>57</v>
      </c>
    </row>
    <row r="78" spans="1:33" x14ac:dyDescent="0.35">
      <c r="A78" s="1">
        <v>44914.388194444444</v>
      </c>
      <c r="B78">
        <v>5599540</v>
      </c>
      <c r="C78" t="s">
        <v>289</v>
      </c>
      <c r="D78" t="s">
        <v>213</v>
      </c>
      <c r="E78" s="2">
        <v>43423</v>
      </c>
      <c r="F78" t="str">
        <f>"9780128139271"</f>
        <v>9780128139271</v>
      </c>
      <c r="G78" t="str">
        <f>"9780128139264"</f>
        <v>9780128139264</v>
      </c>
      <c r="H78" t="s">
        <v>290</v>
      </c>
      <c r="I78" t="s">
        <v>291</v>
      </c>
      <c r="J78" t="s">
        <v>292</v>
      </c>
      <c r="K78" t="s">
        <v>55</v>
      </c>
      <c r="N78" t="s">
        <v>293</v>
      </c>
      <c r="P78" t="s">
        <v>80</v>
      </c>
      <c r="Q78" t="s">
        <v>47</v>
      </c>
      <c r="R78" t="s">
        <v>44</v>
      </c>
      <c r="S78">
        <v>0</v>
      </c>
      <c r="W78" s="3">
        <v>2.1053240740740744E-2</v>
      </c>
      <c r="X78" t="s">
        <v>294</v>
      </c>
      <c r="Y78">
        <v>14</v>
      </c>
      <c r="Z78">
        <v>0</v>
      </c>
      <c r="AA78" t="s">
        <v>49</v>
      </c>
      <c r="AB78">
        <v>0</v>
      </c>
      <c r="AC78" t="s">
        <v>49</v>
      </c>
      <c r="AD78">
        <v>0</v>
      </c>
      <c r="AE78">
        <v>-1</v>
      </c>
      <c r="AF78" t="s">
        <v>63</v>
      </c>
      <c r="AG78" t="s">
        <v>57</v>
      </c>
    </row>
    <row r="79" spans="1:33" x14ac:dyDescent="0.35">
      <c r="A79" s="1">
        <v>44914.053472222222</v>
      </c>
      <c r="B79">
        <v>5139938</v>
      </c>
      <c r="C79" t="s">
        <v>295</v>
      </c>
      <c r="D79" t="s">
        <v>296</v>
      </c>
      <c r="E79" s="2">
        <v>41852</v>
      </c>
      <c r="F79" t="str">
        <f>"9781613994078"</f>
        <v>9781613994078</v>
      </c>
      <c r="G79" t="str">
        <f>"9781613993286"</f>
        <v>9781613993286</v>
      </c>
      <c r="H79" t="s">
        <v>297</v>
      </c>
      <c r="I79">
        <v>622.33820000000003</v>
      </c>
      <c r="J79" t="s">
        <v>298</v>
      </c>
      <c r="K79" t="s">
        <v>44</v>
      </c>
      <c r="N79" t="s">
        <v>45</v>
      </c>
      <c r="O79" t="s">
        <v>46</v>
      </c>
      <c r="P79" t="s">
        <v>45</v>
      </c>
      <c r="Q79" t="s">
        <v>47</v>
      </c>
      <c r="R79" t="s">
        <v>44</v>
      </c>
      <c r="S79">
        <v>0</v>
      </c>
      <c r="W79" s="3">
        <v>1.9861111111111111E-2</v>
      </c>
      <c r="X79" t="s">
        <v>299</v>
      </c>
      <c r="Y79">
        <v>19</v>
      </c>
      <c r="Z79">
        <v>0</v>
      </c>
      <c r="AA79" t="s">
        <v>49</v>
      </c>
      <c r="AB79">
        <v>0</v>
      </c>
      <c r="AC79" t="s">
        <v>49</v>
      </c>
      <c r="AD79">
        <v>0</v>
      </c>
      <c r="AE79">
        <v>11465346</v>
      </c>
      <c r="AF79" t="s">
        <v>50</v>
      </c>
      <c r="AG79" t="s">
        <v>300</v>
      </c>
    </row>
    <row r="80" spans="1:33" x14ac:dyDescent="0.35">
      <c r="A80" s="1">
        <v>44914.038194444445</v>
      </c>
      <c r="B80">
        <v>5139938</v>
      </c>
      <c r="C80" t="s">
        <v>295</v>
      </c>
      <c r="D80" t="s">
        <v>296</v>
      </c>
      <c r="E80" s="2">
        <v>41852</v>
      </c>
      <c r="F80" t="str">
        <f>"9781613994078"</f>
        <v>9781613994078</v>
      </c>
      <c r="G80" t="str">
        <f>"9781613993286"</f>
        <v>9781613993286</v>
      </c>
      <c r="H80" t="s">
        <v>297</v>
      </c>
      <c r="I80">
        <v>622.33820000000003</v>
      </c>
      <c r="J80" t="s">
        <v>298</v>
      </c>
      <c r="K80" t="s">
        <v>44</v>
      </c>
      <c r="N80" t="s">
        <v>45</v>
      </c>
      <c r="O80" t="s">
        <v>46</v>
      </c>
      <c r="P80" t="s">
        <v>45</v>
      </c>
      <c r="Q80" t="s">
        <v>47</v>
      </c>
      <c r="R80" t="s">
        <v>44</v>
      </c>
      <c r="S80">
        <v>0</v>
      </c>
      <c r="W80" s="3">
        <v>0</v>
      </c>
      <c r="X80" t="s">
        <v>49</v>
      </c>
      <c r="Y80">
        <v>0</v>
      </c>
      <c r="Z80">
        <v>1</v>
      </c>
      <c r="AA80" t="s">
        <v>301</v>
      </c>
      <c r="AB80">
        <v>40</v>
      </c>
      <c r="AC80" t="s">
        <v>49</v>
      </c>
      <c r="AD80">
        <v>0</v>
      </c>
      <c r="AE80">
        <v>11465346</v>
      </c>
      <c r="AF80" t="s">
        <v>50</v>
      </c>
      <c r="AG80" t="s">
        <v>57</v>
      </c>
    </row>
    <row r="81" spans="1:33" x14ac:dyDescent="0.35">
      <c r="A81" s="1">
        <v>44913.48333333333</v>
      </c>
      <c r="B81">
        <v>3338641</v>
      </c>
      <c r="C81" t="s">
        <v>302</v>
      </c>
      <c r="D81" t="s">
        <v>303</v>
      </c>
      <c r="E81" s="2">
        <v>39143</v>
      </c>
      <c r="F81" t="str">
        <f>"9780262282888"</f>
        <v>9780262282888</v>
      </c>
      <c r="G81" t="str">
        <f>"9780262195577"</f>
        <v>9780262195577</v>
      </c>
      <c r="H81" t="s">
        <v>304</v>
      </c>
      <c r="I81" t="s">
        <v>305</v>
      </c>
      <c r="K81" t="s">
        <v>44</v>
      </c>
      <c r="N81" t="s">
        <v>45</v>
      </c>
      <c r="O81" t="s">
        <v>46</v>
      </c>
      <c r="P81" t="s">
        <v>45</v>
      </c>
      <c r="Q81" t="s">
        <v>47</v>
      </c>
      <c r="R81" t="s">
        <v>44</v>
      </c>
      <c r="S81">
        <v>0</v>
      </c>
      <c r="W81" s="3">
        <v>3.8680555555555558E-2</v>
      </c>
      <c r="X81" t="s">
        <v>306</v>
      </c>
      <c r="Y81">
        <v>24</v>
      </c>
      <c r="Z81">
        <v>0</v>
      </c>
      <c r="AA81" t="s">
        <v>49</v>
      </c>
      <c r="AB81">
        <v>0</v>
      </c>
      <c r="AC81" t="s">
        <v>307</v>
      </c>
      <c r="AD81">
        <v>2</v>
      </c>
      <c r="AE81">
        <v>10173702</v>
      </c>
      <c r="AF81" t="s">
        <v>63</v>
      </c>
      <c r="AG81" t="s">
        <v>308</v>
      </c>
    </row>
    <row r="82" spans="1:33" x14ac:dyDescent="0.35">
      <c r="A82" s="1">
        <v>44913.436111111114</v>
      </c>
      <c r="B82">
        <v>3339191</v>
      </c>
      <c r="C82" t="s">
        <v>309</v>
      </c>
      <c r="D82" t="s">
        <v>303</v>
      </c>
      <c r="E82" s="2">
        <v>40592</v>
      </c>
      <c r="F82" t="str">
        <f>"9780262295321"</f>
        <v>9780262295321</v>
      </c>
      <c r="G82" t="str">
        <f>"9780262015356"</f>
        <v>9780262015356</v>
      </c>
      <c r="H82" t="s">
        <v>208</v>
      </c>
      <c r="I82" t="s">
        <v>310</v>
      </c>
      <c r="J82" t="s">
        <v>311</v>
      </c>
      <c r="K82" t="s">
        <v>55</v>
      </c>
      <c r="N82" t="s">
        <v>45</v>
      </c>
      <c r="O82" t="s">
        <v>46</v>
      </c>
      <c r="P82" t="s">
        <v>45</v>
      </c>
      <c r="Q82" t="s">
        <v>47</v>
      </c>
      <c r="R82" t="s">
        <v>44</v>
      </c>
      <c r="S82">
        <v>0</v>
      </c>
      <c r="W82" s="3">
        <v>6.7129629629629625E-4</v>
      </c>
      <c r="X82" t="s">
        <v>312</v>
      </c>
      <c r="Y82">
        <v>11</v>
      </c>
      <c r="Z82">
        <v>0</v>
      </c>
      <c r="AA82" t="s">
        <v>49</v>
      </c>
      <c r="AB82">
        <v>0</v>
      </c>
      <c r="AC82" t="s">
        <v>49</v>
      </c>
      <c r="AD82">
        <v>0</v>
      </c>
      <c r="AE82">
        <v>10453037</v>
      </c>
      <c r="AF82" t="s">
        <v>50</v>
      </c>
      <c r="AG82" t="s">
        <v>57</v>
      </c>
    </row>
    <row r="83" spans="1:33" x14ac:dyDescent="0.35">
      <c r="A83" s="1">
        <v>44913.305555555555</v>
      </c>
      <c r="B83">
        <v>5520310</v>
      </c>
      <c r="C83" t="s">
        <v>313</v>
      </c>
      <c r="D83" t="s">
        <v>65</v>
      </c>
      <c r="E83" s="2">
        <v>43363</v>
      </c>
      <c r="F83" t="str">
        <f>"9780081020975"</f>
        <v>9780081020975</v>
      </c>
      <c r="G83" t="str">
        <f>"9780081020968"</f>
        <v>9780081020968</v>
      </c>
      <c r="H83" t="s">
        <v>314</v>
      </c>
      <c r="I83">
        <v>621.38152000000002</v>
      </c>
      <c r="J83" t="s">
        <v>315</v>
      </c>
      <c r="K83" t="s">
        <v>55</v>
      </c>
      <c r="Q83" t="s">
        <v>47</v>
      </c>
      <c r="R83" t="s">
        <v>44</v>
      </c>
      <c r="S83">
        <v>0</v>
      </c>
      <c r="W83" s="3">
        <v>1.3888888888888889E-4</v>
      </c>
      <c r="X83" t="s">
        <v>316</v>
      </c>
      <c r="Y83">
        <v>3</v>
      </c>
      <c r="Z83">
        <v>0</v>
      </c>
      <c r="AA83" t="s">
        <v>49</v>
      </c>
      <c r="AB83">
        <v>0</v>
      </c>
      <c r="AC83" t="s">
        <v>49</v>
      </c>
      <c r="AD83">
        <v>0</v>
      </c>
      <c r="AE83">
        <v>-1</v>
      </c>
      <c r="AF83" t="s">
        <v>50</v>
      </c>
      <c r="AG83" t="s">
        <v>57</v>
      </c>
    </row>
    <row r="84" spans="1:33" x14ac:dyDescent="0.35">
      <c r="A84" s="1">
        <v>44913.093055555553</v>
      </c>
      <c r="B84">
        <v>4876969</v>
      </c>
      <c r="C84" t="s">
        <v>202</v>
      </c>
      <c r="D84" t="s">
        <v>199</v>
      </c>
      <c r="E84" s="2">
        <v>41790</v>
      </c>
      <c r="F84" t="str">
        <f>"9781423223375"</f>
        <v>9781423223375</v>
      </c>
      <c r="G84" t="str">
        <f>"9781423222958"</f>
        <v>9781423222958</v>
      </c>
      <c r="H84" t="s">
        <v>43</v>
      </c>
      <c r="I84">
        <v>512.07119999999998</v>
      </c>
      <c r="J84" t="s">
        <v>203</v>
      </c>
      <c r="K84" t="s">
        <v>44</v>
      </c>
      <c r="N84" t="s">
        <v>45</v>
      </c>
      <c r="O84" t="s">
        <v>46</v>
      </c>
      <c r="P84" t="s">
        <v>45</v>
      </c>
      <c r="Q84" t="s">
        <v>47</v>
      </c>
      <c r="R84" t="s">
        <v>44</v>
      </c>
      <c r="S84">
        <v>0</v>
      </c>
      <c r="W84" s="3">
        <v>4.1851851851851855E-2</v>
      </c>
      <c r="X84" t="s">
        <v>317</v>
      </c>
      <c r="Y84">
        <v>16</v>
      </c>
      <c r="Z84">
        <v>0</v>
      </c>
      <c r="AA84" t="s">
        <v>49</v>
      </c>
      <c r="AB84">
        <v>0</v>
      </c>
      <c r="AC84" t="s">
        <v>49</v>
      </c>
      <c r="AD84">
        <v>0</v>
      </c>
      <c r="AE84">
        <v>11397670</v>
      </c>
      <c r="AF84" t="s">
        <v>50</v>
      </c>
      <c r="AG84" t="s">
        <v>318</v>
      </c>
    </row>
    <row r="85" spans="1:33" x14ac:dyDescent="0.35">
      <c r="A85" s="1">
        <v>44913.086111111108</v>
      </c>
      <c r="B85">
        <v>4876976</v>
      </c>
      <c r="C85" t="s">
        <v>204</v>
      </c>
      <c r="D85" t="s">
        <v>199</v>
      </c>
      <c r="E85" s="2">
        <v>41790</v>
      </c>
      <c r="F85" t="str">
        <f>"9781423223351"</f>
        <v>9781423223351</v>
      </c>
      <c r="G85" t="str">
        <f>"9781423222934"</f>
        <v>9781423222934</v>
      </c>
      <c r="H85" t="s">
        <v>43</v>
      </c>
      <c r="I85">
        <v>512.07119999999998</v>
      </c>
      <c r="J85" t="s">
        <v>203</v>
      </c>
      <c r="K85" t="s">
        <v>44</v>
      </c>
      <c r="N85" t="s">
        <v>45</v>
      </c>
      <c r="O85" t="s">
        <v>46</v>
      </c>
      <c r="P85" t="s">
        <v>45</v>
      </c>
      <c r="Q85" t="s">
        <v>47</v>
      </c>
      <c r="R85" t="s">
        <v>44</v>
      </c>
      <c r="S85">
        <v>0</v>
      </c>
      <c r="W85" s="3">
        <v>5.9837962962962961E-3</v>
      </c>
      <c r="X85" t="s">
        <v>319</v>
      </c>
      <c r="Y85">
        <v>12</v>
      </c>
      <c r="Z85">
        <v>3</v>
      </c>
      <c r="AA85" t="s">
        <v>320</v>
      </c>
      <c r="AB85">
        <v>3</v>
      </c>
      <c r="AC85" t="s">
        <v>49</v>
      </c>
      <c r="AD85">
        <v>0</v>
      </c>
      <c r="AE85">
        <v>11397677</v>
      </c>
      <c r="AF85" t="s">
        <v>50</v>
      </c>
      <c r="AG85" t="s">
        <v>318</v>
      </c>
    </row>
    <row r="86" spans="1:33" x14ac:dyDescent="0.35">
      <c r="A86" s="1">
        <v>44912.95</v>
      </c>
      <c r="B86">
        <v>1980787</v>
      </c>
      <c r="C86" t="s">
        <v>321</v>
      </c>
      <c r="D86" t="s">
        <v>125</v>
      </c>
      <c r="E86" s="2">
        <v>42125</v>
      </c>
      <c r="F86" t="str">
        <f>"9780190203689"</f>
        <v>9780190203689</v>
      </c>
      <c r="G86" t="str">
        <f>"9780190203672"</f>
        <v>9780190203672</v>
      </c>
      <c r="H86" t="s">
        <v>322</v>
      </c>
      <c r="I86" t="s">
        <v>323</v>
      </c>
      <c r="J86" t="s">
        <v>324</v>
      </c>
      <c r="K86" t="s">
        <v>44</v>
      </c>
      <c r="N86" t="s">
        <v>45</v>
      </c>
      <c r="O86" t="s">
        <v>46</v>
      </c>
      <c r="P86" t="s">
        <v>45</v>
      </c>
      <c r="Q86" t="s">
        <v>47</v>
      </c>
      <c r="R86" t="s">
        <v>44</v>
      </c>
      <c r="S86">
        <v>0</v>
      </c>
      <c r="W86" s="3">
        <v>1.25E-3</v>
      </c>
      <c r="X86" t="s">
        <v>325</v>
      </c>
      <c r="Y86">
        <v>20</v>
      </c>
      <c r="Z86">
        <v>0</v>
      </c>
      <c r="AA86" t="s">
        <v>49</v>
      </c>
      <c r="AB86">
        <v>0</v>
      </c>
      <c r="AC86" t="s">
        <v>49</v>
      </c>
      <c r="AD86">
        <v>0</v>
      </c>
      <c r="AE86">
        <v>11030408</v>
      </c>
      <c r="AF86" t="s">
        <v>50</v>
      </c>
      <c r="AG86" t="s">
        <v>326</v>
      </c>
    </row>
    <row r="87" spans="1:33" x14ac:dyDescent="0.35">
      <c r="A87" s="1">
        <v>44912.880555555559</v>
      </c>
      <c r="B87">
        <v>5599540</v>
      </c>
      <c r="C87" t="s">
        <v>289</v>
      </c>
      <c r="D87" t="s">
        <v>213</v>
      </c>
      <c r="E87" s="2">
        <v>43423</v>
      </c>
      <c r="F87" t="str">
        <f>"9780128139271"</f>
        <v>9780128139271</v>
      </c>
      <c r="G87" t="str">
        <f>"9780128139264"</f>
        <v>9780128139264</v>
      </c>
      <c r="H87" t="s">
        <v>290</v>
      </c>
      <c r="I87" t="s">
        <v>291</v>
      </c>
      <c r="J87" t="s">
        <v>292</v>
      </c>
      <c r="K87" t="s">
        <v>55</v>
      </c>
      <c r="Q87" t="s">
        <v>47</v>
      </c>
      <c r="R87" t="s">
        <v>44</v>
      </c>
      <c r="S87">
        <v>0</v>
      </c>
      <c r="W87" s="3">
        <v>5.138888888888889E-3</v>
      </c>
      <c r="X87" t="s">
        <v>327</v>
      </c>
      <c r="Y87">
        <v>6</v>
      </c>
      <c r="Z87">
        <v>0</v>
      </c>
      <c r="AA87" t="s">
        <v>49</v>
      </c>
      <c r="AB87">
        <v>0</v>
      </c>
      <c r="AC87" t="s">
        <v>49</v>
      </c>
      <c r="AD87">
        <v>0</v>
      </c>
      <c r="AE87">
        <v>-1</v>
      </c>
      <c r="AF87" t="s">
        <v>63</v>
      </c>
      <c r="AG87" t="s">
        <v>57</v>
      </c>
    </row>
    <row r="88" spans="1:33" x14ac:dyDescent="0.35">
      <c r="A88" s="1">
        <v>44912.819444444445</v>
      </c>
      <c r="B88">
        <v>1699256</v>
      </c>
      <c r="C88" t="s">
        <v>328</v>
      </c>
      <c r="D88" t="s">
        <v>329</v>
      </c>
      <c r="E88" s="2">
        <v>41789</v>
      </c>
      <c r="F88" t="str">
        <f>"9780323311441"</f>
        <v>9780323311441</v>
      </c>
      <c r="G88" t="str">
        <f>"9780323313018"</f>
        <v>9780323313018</v>
      </c>
      <c r="H88" t="s">
        <v>330</v>
      </c>
      <c r="I88">
        <v>660.28039999999999</v>
      </c>
      <c r="J88" t="s">
        <v>331</v>
      </c>
      <c r="K88" t="s">
        <v>44</v>
      </c>
      <c r="N88" t="s">
        <v>45</v>
      </c>
      <c r="O88" t="s">
        <v>46</v>
      </c>
      <c r="P88" t="s">
        <v>45</v>
      </c>
      <c r="Q88" t="s">
        <v>47</v>
      </c>
      <c r="R88" t="s">
        <v>44</v>
      </c>
      <c r="S88">
        <v>0</v>
      </c>
      <c r="W88" s="3">
        <v>1.045138888888889E-2</v>
      </c>
      <c r="X88" t="s">
        <v>332</v>
      </c>
      <c r="Y88">
        <v>19</v>
      </c>
      <c r="Z88">
        <v>0</v>
      </c>
      <c r="AA88" t="s">
        <v>49</v>
      </c>
      <c r="AB88">
        <v>0</v>
      </c>
      <c r="AC88" t="s">
        <v>49</v>
      </c>
      <c r="AD88">
        <v>0</v>
      </c>
      <c r="AE88">
        <v>10878494</v>
      </c>
      <c r="AF88" t="s">
        <v>50</v>
      </c>
      <c r="AG88" t="s">
        <v>326</v>
      </c>
    </row>
    <row r="89" spans="1:33" x14ac:dyDescent="0.35">
      <c r="A89" s="1">
        <v>44912.81527777778</v>
      </c>
      <c r="B89">
        <v>6946268</v>
      </c>
      <c r="C89" t="s">
        <v>333</v>
      </c>
      <c r="D89" t="s">
        <v>213</v>
      </c>
      <c r="E89" s="2">
        <v>44658</v>
      </c>
      <c r="F89" t="str">
        <f>"9780323859875"</f>
        <v>9780323859875</v>
      </c>
      <c r="G89" t="str">
        <f>"9780128244708"</f>
        <v>9780128244708</v>
      </c>
      <c r="H89" t="s">
        <v>261</v>
      </c>
      <c r="I89">
        <v>628.16200000000003</v>
      </c>
      <c r="J89" t="s">
        <v>334</v>
      </c>
      <c r="K89" t="s">
        <v>55</v>
      </c>
      <c r="N89" t="s">
        <v>79</v>
      </c>
      <c r="P89" t="s">
        <v>80</v>
      </c>
      <c r="Q89" t="s">
        <v>47</v>
      </c>
      <c r="R89" t="s">
        <v>44</v>
      </c>
      <c r="S89">
        <v>1</v>
      </c>
      <c r="T89">
        <v>90</v>
      </c>
      <c r="U89" s="1">
        <v>44912.81527777778</v>
      </c>
      <c r="V89" s="1">
        <v>45002.81527777778</v>
      </c>
      <c r="W89" s="3">
        <v>0</v>
      </c>
      <c r="X89" t="s">
        <v>49</v>
      </c>
      <c r="Y89">
        <v>0</v>
      </c>
      <c r="Z89">
        <v>0</v>
      </c>
      <c r="AA89" t="s">
        <v>49</v>
      </c>
      <c r="AB89">
        <v>0</v>
      </c>
      <c r="AC89" t="s">
        <v>49</v>
      </c>
      <c r="AD89">
        <v>0</v>
      </c>
      <c r="AE89">
        <v>-1</v>
      </c>
      <c r="AF89" t="s">
        <v>63</v>
      </c>
      <c r="AG89" t="s">
        <v>57</v>
      </c>
    </row>
    <row r="90" spans="1:33" x14ac:dyDescent="0.35">
      <c r="A90" s="1">
        <v>44911.90347222222</v>
      </c>
      <c r="B90">
        <v>1648991</v>
      </c>
      <c r="C90" t="s">
        <v>335</v>
      </c>
      <c r="D90" t="s">
        <v>336</v>
      </c>
      <c r="E90" s="2">
        <v>41153</v>
      </c>
      <c r="F90" t="str">
        <f>"9781617973550"</f>
        <v>9781617973550</v>
      </c>
      <c r="G90" t="str">
        <f>"9789774165368"</f>
        <v>9789774165368</v>
      </c>
      <c r="H90" t="s">
        <v>337</v>
      </c>
      <c r="I90">
        <v>962.05499999999995</v>
      </c>
      <c r="J90" t="s">
        <v>338</v>
      </c>
      <c r="K90" t="s">
        <v>44</v>
      </c>
      <c r="N90" t="s">
        <v>45</v>
      </c>
      <c r="O90" t="s">
        <v>46</v>
      </c>
      <c r="P90" t="s">
        <v>45</v>
      </c>
      <c r="Q90" t="s">
        <v>47</v>
      </c>
      <c r="R90" t="s">
        <v>44</v>
      </c>
      <c r="S90">
        <v>0</v>
      </c>
      <c r="W90" s="3">
        <v>5.2650462962962961E-2</v>
      </c>
      <c r="X90" t="s">
        <v>339</v>
      </c>
      <c r="Y90">
        <v>141</v>
      </c>
      <c r="Z90">
        <v>0</v>
      </c>
      <c r="AA90" t="s">
        <v>49</v>
      </c>
      <c r="AB90">
        <v>0</v>
      </c>
      <c r="AC90" t="s">
        <v>49</v>
      </c>
      <c r="AD90">
        <v>0</v>
      </c>
      <c r="AE90">
        <v>10857727</v>
      </c>
      <c r="AF90" t="s">
        <v>50</v>
      </c>
      <c r="AG90" t="s">
        <v>57</v>
      </c>
    </row>
    <row r="91" spans="1:33" x14ac:dyDescent="0.35">
      <c r="A91" s="1">
        <v>44911.898611111108</v>
      </c>
      <c r="B91">
        <v>5359090</v>
      </c>
      <c r="C91" t="s">
        <v>340</v>
      </c>
      <c r="D91" t="s">
        <v>341</v>
      </c>
      <c r="E91" s="2">
        <v>41699</v>
      </c>
      <c r="F91" t="str">
        <f>"9781782384663"</f>
        <v>9781782384663</v>
      </c>
      <c r="G91" t="str">
        <f>"9781782384656"</f>
        <v>9781782384656</v>
      </c>
      <c r="H91" t="s">
        <v>342</v>
      </c>
      <c r="I91" t="s">
        <v>343</v>
      </c>
      <c r="J91" t="s">
        <v>344</v>
      </c>
      <c r="K91" t="s">
        <v>44</v>
      </c>
      <c r="N91" t="s">
        <v>45</v>
      </c>
      <c r="O91" t="s">
        <v>46</v>
      </c>
      <c r="P91" t="s">
        <v>177</v>
      </c>
      <c r="Q91" t="s">
        <v>47</v>
      </c>
      <c r="R91" t="s">
        <v>55</v>
      </c>
      <c r="S91">
        <v>0</v>
      </c>
      <c r="W91" s="3">
        <v>4.6412037037037038E-3</v>
      </c>
      <c r="X91" t="s">
        <v>345</v>
      </c>
      <c r="Y91">
        <v>26</v>
      </c>
      <c r="Z91">
        <v>0</v>
      </c>
      <c r="AA91" t="s">
        <v>49</v>
      </c>
      <c r="AB91">
        <v>0</v>
      </c>
      <c r="AC91" t="s">
        <v>49</v>
      </c>
      <c r="AD91">
        <v>0</v>
      </c>
      <c r="AE91">
        <v>11558844</v>
      </c>
      <c r="AF91" t="s">
        <v>50</v>
      </c>
      <c r="AG91" t="s">
        <v>57</v>
      </c>
    </row>
    <row r="92" spans="1:33" x14ac:dyDescent="0.35">
      <c r="A92" s="1">
        <v>44911.897222222222</v>
      </c>
      <c r="B92">
        <v>3420792</v>
      </c>
      <c r="C92" t="s">
        <v>346</v>
      </c>
      <c r="D92" t="s">
        <v>347</v>
      </c>
      <c r="E92" s="2">
        <v>41058</v>
      </c>
      <c r="F92" t="str">
        <f>"9780300184907"</f>
        <v>9780300184907</v>
      </c>
      <c r="G92" t="str">
        <f>"9780300180862"</f>
        <v>9780300180862</v>
      </c>
      <c r="H92" t="s">
        <v>348</v>
      </c>
      <c r="I92" t="s">
        <v>343</v>
      </c>
      <c r="J92" t="s">
        <v>349</v>
      </c>
      <c r="K92" t="s">
        <v>44</v>
      </c>
      <c r="N92" t="s">
        <v>45</v>
      </c>
      <c r="O92" t="s">
        <v>46</v>
      </c>
      <c r="P92" t="s">
        <v>45</v>
      </c>
      <c r="Q92" t="s">
        <v>47</v>
      </c>
      <c r="R92" t="s">
        <v>44</v>
      </c>
      <c r="S92">
        <v>0</v>
      </c>
      <c r="W92" s="3">
        <v>2.0659722222222222E-2</v>
      </c>
      <c r="X92" t="s">
        <v>350</v>
      </c>
      <c r="Y92">
        <v>30</v>
      </c>
      <c r="Z92">
        <v>0</v>
      </c>
      <c r="AA92" t="s">
        <v>49</v>
      </c>
      <c r="AB92">
        <v>0</v>
      </c>
      <c r="AC92" t="s">
        <v>49</v>
      </c>
      <c r="AD92">
        <v>0</v>
      </c>
      <c r="AE92">
        <v>10539573</v>
      </c>
      <c r="AF92" t="s">
        <v>50</v>
      </c>
      <c r="AG92" t="s">
        <v>57</v>
      </c>
    </row>
    <row r="93" spans="1:33" x14ac:dyDescent="0.35">
      <c r="A93" s="1">
        <v>44911.840277777781</v>
      </c>
      <c r="B93">
        <v>1272812</v>
      </c>
      <c r="C93" t="s">
        <v>351</v>
      </c>
      <c r="D93" t="s">
        <v>352</v>
      </c>
      <c r="E93" s="2">
        <v>41466</v>
      </c>
      <c r="F93" t="str">
        <f>"9781780324630"</f>
        <v>9781780324630</v>
      </c>
      <c r="G93" t="str">
        <f>"9781780324616"</f>
        <v>9781780324616</v>
      </c>
      <c r="H93" t="s">
        <v>353</v>
      </c>
      <c r="I93">
        <v>961.10519999999997</v>
      </c>
      <c r="J93" t="s">
        <v>354</v>
      </c>
      <c r="K93" t="s">
        <v>44</v>
      </c>
      <c r="N93" t="s">
        <v>45</v>
      </c>
      <c r="O93" t="s">
        <v>46</v>
      </c>
      <c r="P93" t="s">
        <v>45</v>
      </c>
      <c r="Q93" t="s">
        <v>47</v>
      </c>
      <c r="R93" t="s">
        <v>44</v>
      </c>
      <c r="S93">
        <v>0</v>
      </c>
      <c r="W93" s="3">
        <v>5.482638888888889E-2</v>
      </c>
      <c r="X93" t="s">
        <v>355</v>
      </c>
      <c r="Y93">
        <v>49</v>
      </c>
      <c r="Z93">
        <v>0</v>
      </c>
      <c r="AA93" t="s">
        <v>49</v>
      </c>
      <c r="AB93">
        <v>0</v>
      </c>
      <c r="AC93" t="s">
        <v>49</v>
      </c>
      <c r="AD93">
        <v>0</v>
      </c>
      <c r="AE93">
        <v>10732072</v>
      </c>
      <c r="AF93" t="s">
        <v>50</v>
      </c>
      <c r="AG93" t="s">
        <v>57</v>
      </c>
    </row>
    <row r="94" spans="1:33" x14ac:dyDescent="0.35">
      <c r="A94" s="1">
        <v>44911.787499999999</v>
      </c>
      <c r="B94">
        <v>1272812</v>
      </c>
      <c r="C94" t="s">
        <v>351</v>
      </c>
      <c r="D94" t="s">
        <v>352</v>
      </c>
      <c r="E94" s="2">
        <v>41466</v>
      </c>
      <c r="F94" t="str">
        <f>"9781780324630"</f>
        <v>9781780324630</v>
      </c>
      <c r="G94" t="str">
        <f>"9781780324616"</f>
        <v>9781780324616</v>
      </c>
      <c r="H94" t="s">
        <v>353</v>
      </c>
      <c r="I94">
        <v>961.10519999999997</v>
      </c>
      <c r="J94" t="s">
        <v>354</v>
      </c>
      <c r="K94" t="s">
        <v>44</v>
      </c>
      <c r="N94" t="s">
        <v>45</v>
      </c>
      <c r="O94" t="s">
        <v>46</v>
      </c>
      <c r="P94" t="s">
        <v>45</v>
      </c>
      <c r="Q94" t="s">
        <v>47</v>
      </c>
      <c r="R94" t="s">
        <v>44</v>
      </c>
      <c r="S94">
        <v>0</v>
      </c>
      <c r="W94" s="3">
        <v>4.6874999999999998E-3</v>
      </c>
      <c r="X94" t="s">
        <v>356</v>
      </c>
      <c r="Y94">
        <v>3</v>
      </c>
      <c r="Z94">
        <v>0</v>
      </c>
      <c r="AA94" t="s">
        <v>49</v>
      </c>
      <c r="AB94">
        <v>0</v>
      </c>
      <c r="AC94" t="s">
        <v>49</v>
      </c>
      <c r="AD94">
        <v>0</v>
      </c>
      <c r="AE94">
        <v>10732072</v>
      </c>
      <c r="AF94" t="s">
        <v>50</v>
      </c>
      <c r="AG94" t="s">
        <v>57</v>
      </c>
    </row>
    <row r="95" spans="1:33" x14ac:dyDescent="0.35">
      <c r="A95" s="1">
        <v>44911.763888888891</v>
      </c>
      <c r="B95">
        <v>5359090</v>
      </c>
      <c r="C95" t="s">
        <v>340</v>
      </c>
      <c r="D95" t="s">
        <v>341</v>
      </c>
      <c r="E95" s="2">
        <v>41699</v>
      </c>
      <c r="F95" t="str">
        <f>"9781782384663"</f>
        <v>9781782384663</v>
      </c>
      <c r="G95" t="str">
        <f>"9781782384656"</f>
        <v>9781782384656</v>
      </c>
      <c r="H95" t="s">
        <v>342</v>
      </c>
      <c r="I95" t="s">
        <v>343</v>
      </c>
      <c r="J95" t="s">
        <v>344</v>
      </c>
      <c r="K95" t="s">
        <v>44</v>
      </c>
      <c r="N95" t="s">
        <v>45</v>
      </c>
      <c r="O95" t="s">
        <v>46</v>
      </c>
      <c r="P95" t="s">
        <v>177</v>
      </c>
      <c r="Q95" t="s">
        <v>47</v>
      </c>
      <c r="R95" t="s">
        <v>55</v>
      </c>
      <c r="S95">
        <v>0</v>
      </c>
      <c r="W95" s="3">
        <v>1.6909722222222225E-2</v>
      </c>
      <c r="X95" t="s">
        <v>357</v>
      </c>
      <c r="Y95">
        <v>10</v>
      </c>
      <c r="Z95">
        <v>0</v>
      </c>
      <c r="AA95" t="s">
        <v>49</v>
      </c>
      <c r="AB95">
        <v>0</v>
      </c>
      <c r="AC95" t="s">
        <v>49</v>
      </c>
      <c r="AD95">
        <v>0</v>
      </c>
      <c r="AE95">
        <v>11558844</v>
      </c>
      <c r="AF95" t="s">
        <v>50</v>
      </c>
      <c r="AG95" t="s">
        <v>57</v>
      </c>
    </row>
    <row r="96" spans="1:33" x14ac:dyDescent="0.35">
      <c r="A96" s="1">
        <v>44911.731249999997</v>
      </c>
      <c r="B96">
        <v>3420792</v>
      </c>
      <c r="C96" t="s">
        <v>346</v>
      </c>
      <c r="D96" t="s">
        <v>347</v>
      </c>
      <c r="E96" s="2">
        <v>41058</v>
      </c>
      <c r="F96" t="str">
        <f>"9780300184907"</f>
        <v>9780300184907</v>
      </c>
      <c r="G96" t="str">
        <f>"9780300180862"</f>
        <v>9780300180862</v>
      </c>
      <c r="H96" t="s">
        <v>348</v>
      </c>
      <c r="I96" t="s">
        <v>343</v>
      </c>
      <c r="J96" t="s">
        <v>349</v>
      </c>
      <c r="K96" t="s">
        <v>44</v>
      </c>
      <c r="N96" t="s">
        <v>45</v>
      </c>
      <c r="O96" t="s">
        <v>46</v>
      </c>
      <c r="P96" t="s">
        <v>45</v>
      </c>
      <c r="Q96" t="s">
        <v>47</v>
      </c>
      <c r="R96" t="s">
        <v>44</v>
      </c>
      <c r="S96">
        <v>0</v>
      </c>
      <c r="W96" s="3">
        <v>4.7557870370370368E-2</v>
      </c>
      <c r="X96" t="s">
        <v>358</v>
      </c>
      <c r="Y96">
        <v>26</v>
      </c>
      <c r="Z96">
        <v>0</v>
      </c>
      <c r="AA96" t="s">
        <v>49</v>
      </c>
      <c r="AB96">
        <v>0</v>
      </c>
      <c r="AC96" t="s">
        <v>49</v>
      </c>
      <c r="AD96">
        <v>0</v>
      </c>
      <c r="AE96">
        <v>10539573</v>
      </c>
      <c r="AF96" t="s">
        <v>50</v>
      </c>
      <c r="AG96" t="s">
        <v>57</v>
      </c>
    </row>
    <row r="97" spans="1:33" x14ac:dyDescent="0.35">
      <c r="A97" s="1">
        <v>44911.681944444441</v>
      </c>
      <c r="B97">
        <v>4183127</v>
      </c>
      <c r="C97" t="s">
        <v>190</v>
      </c>
      <c r="D97" t="s">
        <v>59</v>
      </c>
      <c r="E97" s="2">
        <v>42310</v>
      </c>
      <c r="F97" t="str">
        <f>"9783527684649"</f>
        <v>9783527684649</v>
      </c>
      <c r="G97" t="str">
        <f>"9783527331659"</f>
        <v>9783527331659</v>
      </c>
      <c r="H97" t="s">
        <v>191</v>
      </c>
      <c r="I97" t="s">
        <v>192</v>
      </c>
      <c r="J97" t="s">
        <v>193</v>
      </c>
      <c r="K97" t="s">
        <v>44</v>
      </c>
      <c r="N97" t="s">
        <v>45</v>
      </c>
      <c r="O97" t="s">
        <v>46</v>
      </c>
      <c r="P97" t="s">
        <v>45</v>
      </c>
      <c r="Q97" t="s">
        <v>47</v>
      </c>
      <c r="R97" t="s">
        <v>44</v>
      </c>
      <c r="S97">
        <v>0</v>
      </c>
      <c r="W97" s="3">
        <v>1.3541666666666667E-3</v>
      </c>
      <c r="X97" t="s">
        <v>359</v>
      </c>
      <c r="Y97">
        <v>26</v>
      </c>
      <c r="Z97">
        <v>0</v>
      </c>
      <c r="AA97" t="s">
        <v>49</v>
      </c>
      <c r="AB97">
        <v>0</v>
      </c>
      <c r="AC97" t="s">
        <v>49</v>
      </c>
      <c r="AD97">
        <v>0</v>
      </c>
      <c r="AE97">
        <v>11125579</v>
      </c>
      <c r="AF97" t="s">
        <v>50</v>
      </c>
      <c r="AG97" t="s">
        <v>197</v>
      </c>
    </row>
    <row r="98" spans="1:33" x14ac:dyDescent="0.35">
      <c r="A98" s="1">
        <v>44911.667361111111</v>
      </c>
      <c r="B98">
        <v>1633244</v>
      </c>
      <c r="C98" t="s">
        <v>360</v>
      </c>
      <c r="D98" t="s">
        <v>76</v>
      </c>
      <c r="E98" s="2">
        <v>40501</v>
      </c>
      <c r="F98" t="str">
        <f>"9781439812877"</f>
        <v>9781439812877</v>
      </c>
      <c r="G98" t="str">
        <f>"9781439812860"</f>
        <v>9781439812860</v>
      </c>
      <c r="H98" t="s">
        <v>361</v>
      </c>
      <c r="I98">
        <v>621.36699999999996</v>
      </c>
      <c r="J98" t="s">
        <v>362</v>
      </c>
      <c r="K98" t="s">
        <v>44</v>
      </c>
      <c r="N98" t="s">
        <v>45</v>
      </c>
      <c r="O98" t="s">
        <v>46</v>
      </c>
      <c r="P98" t="s">
        <v>45</v>
      </c>
      <c r="Q98" t="s">
        <v>47</v>
      </c>
      <c r="R98" t="s">
        <v>44</v>
      </c>
      <c r="S98">
        <v>0</v>
      </c>
      <c r="W98" s="3">
        <v>0</v>
      </c>
      <c r="X98" t="s">
        <v>49</v>
      </c>
      <c r="Y98">
        <v>0</v>
      </c>
      <c r="Z98">
        <v>2</v>
      </c>
      <c r="AA98" t="s">
        <v>363</v>
      </c>
      <c r="AB98">
        <v>32</v>
      </c>
      <c r="AC98" t="s">
        <v>49</v>
      </c>
      <c r="AD98">
        <v>0</v>
      </c>
      <c r="AE98">
        <v>11167312</v>
      </c>
      <c r="AF98" t="s">
        <v>50</v>
      </c>
      <c r="AG98" t="s">
        <v>57</v>
      </c>
    </row>
    <row r="99" spans="1:33" x14ac:dyDescent="0.35">
      <c r="A99" s="1">
        <v>44911.662499999999</v>
      </c>
      <c r="B99">
        <v>293543</v>
      </c>
      <c r="C99" t="s">
        <v>364</v>
      </c>
      <c r="D99" t="s">
        <v>65</v>
      </c>
      <c r="E99" s="2">
        <v>38352</v>
      </c>
      <c r="F99" t="str">
        <f>"9780080481647"</f>
        <v>9780080481647</v>
      </c>
      <c r="G99" t="str">
        <f>"9780123875822"</f>
        <v>9780123875822</v>
      </c>
      <c r="H99" t="s">
        <v>365</v>
      </c>
      <c r="I99">
        <v>6.6</v>
      </c>
      <c r="J99" t="s">
        <v>366</v>
      </c>
      <c r="K99" t="s">
        <v>44</v>
      </c>
      <c r="N99" t="s">
        <v>45</v>
      </c>
      <c r="O99" t="s">
        <v>46</v>
      </c>
      <c r="P99" t="s">
        <v>45</v>
      </c>
      <c r="Q99" t="s">
        <v>47</v>
      </c>
      <c r="R99" t="s">
        <v>44</v>
      </c>
      <c r="S99">
        <v>0</v>
      </c>
      <c r="W99" s="3">
        <v>0</v>
      </c>
      <c r="X99" t="s">
        <v>49</v>
      </c>
      <c r="Y99">
        <v>0</v>
      </c>
      <c r="Z99">
        <v>2</v>
      </c>
      <c r="AA99" t="s">
        <v>367</v>
      </c>
      <c r="AB99">
        <v>36</v>
      </c>
      <c r="AC99" t="s">
        <v>49</v>
      </c>
      <c r="AD99">
        <v>0</v>
      </c>
      <c r="AE99">
        <v>10127918</v>
      </c>
      <c r="AF99" t="s">
        <v>50</v>
      </c>
      <c r="AG99" t="s">
        <v>57</v>
      </c>
    </row>
    <row r="100" spans="1:33" x14ac:dyDescent="0.35">
      <c r="A100" s="1">
        <v>44911.644444444442</v>
      </c>
      <c r="B100">
        <v>4183127</v>
      </c>
      <c r="C100" t="s">
        <v>190</v>
      </c>
      <c r="D100" t="s">
        <v>59</v>
      </c>
      <c r="E100" s="2">
        <v>42310</v>
      </c>
      <c r="F100" t="str">
        <f>"9783527684649"</f>
        <v>9783527684649</v>
      </c>
      <c r="G100" t="str">
        <f>"9783527331659"</f>
        <v>9783527331659</v>
      </c>
      <c r="H100" t="s">
        <v>191</v>
      </c>
      <c r="I100" t="s">
        <v>192</v>
      </c>
      <c r="J100" t="s">
        <v>193</v>
      </c>
      <c r="K100" t="s">
        <v>44</v>
      </c>
      <c r="N100" t="s">
        <v>45</v>
      </c>
      <c r="O100" t="s">
        <v>46</v>
      </c>
      <c r="P100" t="s">
        <v>45</v>
      </c>
      <c r="Q100" t="s">
        <v>47</v>
      </c>
      <c r="R100" t="s">
        <v>44</v>
      </c>
      <c r="S100">
        <v>0</v>
      </c>
      <c r="W100" s="3">
        <v>3.1365740740740742E-3</v>
      </c>
      <c r="X100" t="s">
        <v>368</v>
      </c>
      <c r="Y100">
        <v>27</v>
      </c>
      <c r="Z100">
        <v>0</v>
      </c>
      <c r="AA100" t="s">
        <v>49</v>
      </c>
      <c r="AB100">
        <v>0</v>
      </c>
      <c r="AC100" t="s">
        <v>49</v>
      </c>
      <c r="AD100">
        <v>0</v>
      </c>
      <c r="AE100">
        <v>11125579</v>
      </c>
      <c r="AF100" t="s">
        <v>50</v>
      </c>
      <c r="AG100" t="s">
        <v>197</v>
      </c>
    </row>
    <row r="101" spans="1:33" x14ac:dyDescent="0.35">
      <c r="A101" s="1">
        <v>44911.415972222225</v>
      </c>
      <c r="B101">
        <v>3338641</v>
      </c>
      <c r="C101" t="s">
        <v>302</v>
      </c>
      <c r="D101" t="s">
        <v>303</v>
      </c>
      <c r="E101" s="2">
        <v>39143</v>
      </c>
      <c r="F101" t="str">
        <f>"9780262282888"</f>
        <v>9780262282888</v>
      </c>
      <c r="G101" t="str">
        <f>"9780262195577"</f>
        <v>9780262195577</v>
      </c>
      <c r="H101" t="s">
        <v>304</v>
      </c>
      <c r="I101" t="s">
        <v>305</v>
      </c>
      <c r="K101" t="s">
        <v>44</v>
      </c>
      <c r="N101" t="s">
        <v>45</v>
      </c>
      <c r="O101" t="s">
        <v>46</v>
      </c>
      <c r="P101" t="s">
        <v>45</v>
      </c>
      <c r="Q101" t="s">
        <v>47</v>
      </c>
      <c r="R101" t="s">
        <v>44</v>
      </c>
      <c r="S101">
        <v>0</v>
      </c>
      <c r="W101" s="3">
        <v>7.5312500000000004E-2</v>
      </c>
      <c r="X101" t="s">
        <v>369</v>
      </c>
      <c r="Y101">
        <v>44</v>
      </c>
      <c r="Z101">
        <v>0</v>
      </c>
      <c r="AA101" t="s">
        <v>49</v>
      </c>
      <c r="AB101">
        <v>0</v>
      </c>
      <c r="AC101" t="s">
        <v>49</v>
      </c>
      <c r="AD101">
        <v>0</v>
      </c>
      <c r="AE101">
        <v>10173702</v>
      </c>
      <c r="AF101" t="s">
        <v>63</v>
      </c>
      <c r="AG101" t="s">
        <v>308</v>
      </c>
    </row>
    <row r="102" spans="1:33" x14ac:dyDescent="0.35">
      <c r="A102" s="1">
        <v>44911.411111111112</v>
      </c>
      <c r="B102">
        <v>1910517</v>
      </c>
      <c r="C102" t="s">
        <v>370</v>
      </c>
      <c r="D102" t="s">
        <v>371</v>
      </c>
      <c r="E102" s="2">
        <v>41673</v>
      </c>
      <c r="F102" t="str">
        <f>"9783038263371"</f>
        <v>9783038263371</v>
      </c>
      <c r="G102" t="str">
        <f>"9783037859568"</f>
        <v>9783037859568</v>
      </c>
      <c r="H102" t="s">
        <v>372</v>
      </c>
      <c r="J102" t="s">
        <v>373</v>
      </c>
      <c r="K102" t="s">
        <v>44</v>
      </c>
      <c r="N102" t="s">
        <v>45</v>
      </c>
      <c r="O102" t="s">
        <v>46</v>
      </c>
      <c r="P102" t="s">
        <v>45</v>
      </c>
      <c r="Q102" t="s">
        <v>47</v>
      </c>
      <c r="R102" t="s">
        <v>44</v>
      </c>
      <c r="S102">
        <v>0</v>
      </c>
      <c r="W102" s="3">
        <v>2.7777777777777778E-4</v>
      </c>
      <c r="X102" t="s">
        <v>374</v>
      </c>
      <c r="Y102">
        <v>4</v>
      </c>
      <c r="Z102">
        <v>0</v>
      </c>
      <c r="AA102" t="s">
        <v>49</v>
      </c>
      <c r="AB102">
        <v>0</v>
      </c>
      <c r="AC102" t="s">
        <v>49</v>
      </c>
      <c r="AD102">
        <v>0</v>
      </c>
      <c r="AE102">
        <v>10815863</v>
      </c>
      <c r="AF102" t="s">
        <v>63</v>
      </c>
      <c r="AG102" t="s">
        <v>318</v>
      </c>
    </row>
    <row r="103" spans="1:33" x14ac:dyDescent="0.35">
      <c r="A103" s="1">
        <v>44911.405555555553</v>
      </c>
      <c r="B103">
        <v>1872647</v>
      </c>
      <c r="C103" t="s">
        <v>375</v>
      </c>
      <c r="D103" t="s">
        <v>371</v>
      </c>
      <c r="E103" s="2">
        <v>40799</v>
      </c>
      <c r="F103" t="str">
        <f>"9783038135135"</f>
        <v>9783038135135</v>
      </c>
      <c r="G103" t="str">
        <f>"9783037851982"</f>
        <v>9783037851982</v>
      </c>
      <c r="H103" t="s">
        <v>372</v>
      </c>
      <c r="J103" t="s">
        <v>376</v>
      </c>
      <c r="K103" t="s">
        <v>44</v>
      </c>
      <c r="N103" t="s">
        <v>45</v>
      </c>
      <c r="O103" t="s">
        <v>46</v>
      </c>
      <c r="P103" t="s">
        <v>45</v>
      </c>
      <c r="Q103" t="s">
        <v>47</v>
      </c>
      <c r="R103" t="s">
        <v>44</v>
      </c>
      <c r="S103">
        <v>0</v>
      </c>
      <c r="W103" s="3">
        <v>1.4814814814814814E-3</v>
      </c>
      <c r="X103" t="s">
        <v>377</v>
      </c>
      <c r="Y103">
        <v>8</v>
      </c>
      <c r="Z103">
        <v>0</v>
      </c>
      <c r="AA103" t="s">
        <v>49</v>
      </c>
      <c r="AB103">
        <v>0</v>
      </c>
      <c r="AC103" t="s">
        <v>49</v>
      </c>
      <c r="AD103">
        <v>0</v>
      </c>
      <c r="AE103">
        <v>10817911</v>
      </c>
      <c r="AF103" t="s">
        <v>63</v>
      </c>
      <c r="AG103" t="s">
        <v>318</v>
      </c>
    </row>
    <row r="104" spans="1:33" x14ac:dyDescent="0.35">
      <c r="A104" s="1">
        <v>44911.402083333334</v>
      </c>
      <c r="B104">
        <v>1872910</v>
      </c>
      <c r="C104" t="s">
        <v>378</v>
      </c>
      <c r="D104" t="s">
        <v>371</v>
      </c>
      <c r="E104" s="2">
        <v>41179</v>
      </c>
      <c r="F104" t="str">
        <f>"9783038138792"</f>
        <v>9783038138792</v>
      </c>
      <c r="G104" t="str">
        <f>"9783037854655"</f>
        <v>9783037854655</v>
      </c>
      <c r="H104" t="s">
        <v>297</v>
      </c>
      <c r="J104" t="s">
        <v>379</v>
      </c>
      <c r="K104" t="s">
        <v>44</v>
      </c>
      <c r="N104" t="s">
        <v>45</v>
      </c>
      <c r="O104" t="s">
        <v>46</v>
      </c>
      <c r="P104" t="s">
        <v>45</v>
      </c>
      <c r="Q104" t="s">
        <v>47</v>
      </c>
      <c r="R104" t="s">
        <v>44</v>
      </c>
      <c r="S104">
        <v>0</v>
      </c>
      <c r="W104" s="3">
        <v>1.6782407407407406E-3</v>
      </c>
      <c r="X104" t="s">
        <v>380</v>
      </c>
      <c r="Y104">
        <v>5</v>
      </c>
      <c r="Z104">
        <v>0</v>
      </c>
      <c r="AA104" t="s">
        <v>49</v>
      </c>
      <c r="AB104">
        <v>0</v>
      </c>
      <c r="AC104" t="s">
        <v>49</v>
      </c>
      <c r="AD104">
        <v>0</v>
      </c>
      <c r="AE104">
        <v>10777738</v>
      </c>
      <c r="AF104" t="s">
        <v>63</v>
      </c>
      <c r="AG104" t="s">
        <v>318</v>
      </c>
    </row>
    <row r="105" spans="1:33" x14ac:dyDescent="0.35">
      <c r="A105" s="1">
        <v>44911.296527777777</v>
      </c>
      <c r="B105">
        <v>294320</v>
      </c>
      <c r="C105" t="s">
        <v>381</v>
      </c>
      <c r="D105" t="s">
        <v>65</v>
      </c>
      <c r="E105" s="2">
        <v>38978</v>
      </c>
      <c r="F105" t="str">
        <f>"9780080480336"</f>
        <v>9780080480336</v>
      </c>
      <c r="G105" t="str">
        <f>"9780750659246"</f>
        <v>9780750659246</v>
      </c>
      <c r="H105" t="s">
        <v>252</v>
      </c>
      <c r="I105">
        <v>620.11222999999995</v>
      </c>
      <c r="J105" t="s">
        <v>382</v>
      </c>
      <c r="K105" t="s">
        <v>44</v>
      </c>
      <c r="N105" t="s">
        <v>45</v>
      </c>
      <c r="O105" t="s">
        <v>46</v>
      </c>
      <c r="P105" t="s">
        <v>45</v>
      </c>
      <c r="Q105" t="s">
        <v>47</v>
      </c>
      <c r="R105" t="s">
        <v>44</v>
      </c>
      <c r="S105">
        <v>0</v>
      </c>
      <c r="W105" s="3">
        <v>6.4583333333333333E-3</v>
      </c>
      <c r="X105" t="s">
        <v>383</v>
      </c>
      <c r="Y105">
        <v>25</v>
      </c>
      <c r="Z105">
        <v>0</v>
      </c>
      <c r="AA105" t="s">
        <v>49</v>
      </c>
      <c r="AB105">
        <v>0</v>
      </c>
      <c r="AC105" t="s">
        <v>49</v>
      </c>
      <c r="AD105">
        <v>0</v>
      </c>
      <c r="AE105">
        <v>10186267</v>
      </c>
      <c r="AF105" t="s">
        <v>50</v>
      </c>
      <c r="AG105" t="s">
        <v>57</v>
      </c>
    </row>
    <row r="106" spans="1:33" x14ac:dyDescent="0.35">
      <c r="A106" s="1">
        <v>44910.838194444441</v>
      </c>
      <c r="B106">
        <v>5475321</v>
      </c>
      <c r="C106" t="s">
        <v>384</v>
      </c>
      <c r="D106" t="s">
        <v>303</v>
      </c>
      <c r="E106" s="2">
        <v>43326</v>
      </c>
      <c r="F106" t="str">
        <f>"9780262347587"</f>
        <v>9780262347587</v>
      </c>
      <c r="G106" t="str">
        <f>"9780262038263"</f>
        <v>9780262038263</v>
      </c>
      <c r="H106" t="s">
        <v>385</v>
      </c>
      <c r="I106">
        <v>25.042000000000002</v>
      </c>
      <c r="J106" t="s">
        <v>386</v>
      </c>
      <c r="K106" t="s">
        <v>44</v>
      </c>
      <c r="N106" t="s">
        <v>45</v>
      </c>
      <c r="O106" t="s">
        <v>46</v>
      </c>
      <c r="P106" t="s">
        <v>45</v>
      </c>
      <c r="Q106" t="s">
        <v>47</v>
      </c>
      <c r="R106" t="s">
        <v>44</v>
      </c>
      <c r="S106">
        <v>0</v>
      </c>
      <c r="W106" s="3">
        <v>9.3750000000000007E-4</v>
      </c>
      <c r="X106" t="s">
        <v>387</v>
      </c>
      <c r="Y106">
        <v>11</v>
      </c>
      <c r="Z106">
        <v>0</v>
      </c>
      <c r="AA106" t="s">
        <v>49</v>
      </c>
      <c r="AB106">
        <v>0</v>
      </c>
      <c r="AC106" t="s">
        <v>49</v>
      </c>
      <c r="AD106">
        <v>0</v>
      </c>
      <c r="AE106">
        <v>11595380</v>
      </c>
      <c r="AF106" t="s">
        <v>50</v>
      </c>
      <c r="AG106" t="s">
        <v>388</v>
      </c>
    </row>
    <row r="107" spans="1:33" x14ac:dyDescent="0.35">
      <c r="A107" s="1">
        <v>44910.743750000001</v>
      </c>
      <c r="B107">
        <v>5139938</v>
      </c>
      <c r="C107" t="s">
        <v>295</v>
      </c>
      <c r="D107" t="s">
        <v>296</v>
      </c>
      <c r="E107" s="2">
        <v>41852</v>
      </c>
      <c r="F107" t="str">
        <f>"9781613994078"</f>
        <v>9781613994078</v>
      </c>
      <c r="G107" t="str">
        <f>"9781613993286"</f>
        <v>9781613993286</v>
      </c>
      <c r="H107" t="s">
        <v>297</v>
      </c>
      <c r="I107">
        <v>622.33820000000003</v>
      </c>
      <c r="J107" t="s">
        <v>298</v>
      </c>
      <c r="K107" t="s">
        <v>44</v>
      </c>
      <c r="N107" t="s">
        <v>45</v>
      </c>
      <c r="O107" t="s">
        <v>46</v>
      </c>
      <c r="P107" t="s">
        <v>45</v>
      </c>
      <c r="Q107" t="s">
        <v>47</v>
      </c>
      <c r="R107" t="s">
        <v>44</v>
      </c>
      <c r="S107">
        <v>0</v>
      </c>
      <c r="W107" s="3">
        <v>0</v>
      </c>
      <c r="X107" t="s">
        <v>49</v>
      </c>
      <c r="Y107">
        <v>0</v>
      </c>
      <c r="Z107">
        <v>1</v>
      </c>
      <c r="AA107" t="s">
        <v>389</v>
      </c>
      <c r="AB107">
        <v>44</v>
      </c>
      <c r="AC107" t="s">
        <v>49</v>
      </c>
      <c r="AD107">
        <v>0</v>
      </c>
      <c r="AE107">
        <v>11465346</v>
      </c>
      <c r="AF107" t="s">
        <v>50</v>
      </c>
      <c r="AG107" t="s">
        <v>57</v>
      </c>
    </row>
    <row r="108" spans="1:33" x14ac:dyDescent="0.35">
      <c r="A108" s="1">
        <v>44910.743750000001</v>
      </c>
      <c r="B108">
        <v>5139938</v>
      </c>
      <c r="C108" t="s">
        <v>295</v>
      </c>
      <c r="D108" t="s">
        <v>296</v>
      </c>
      <c r="E108" s="2">
        <v>41852</v>
      </c>
      <c r="F108" t="str">
        <f>"9781613994078"</f>
        <v>9781613994078</v>
      </c>
      <c r="G108" t="str">
        <f>"9781613993286"</f>
        <v>9781613993286</v>
      </c>
      <c r="H108" t="s">
        <v>297</v>
      </c>
      <c r="I108">
        <v>622.33820000000003</v>
      </c>
      <c r="J108" t="s">
        <v>298</v>
      </c>
      <c r="K108" t="s">
        <v>44</v>
      </c>
      <c r="N108" t="s">
        <v>45</v>
      </c>
      <c r="O108" t="s">
        <v>46</v>
      </c>
      <c r="P108" t="s">
        <v>45</v>
      </c>
      <c r="Q108" t="s">
        <v>47</v>
      </c>
      <c r="R108" t="s">
        <v>44</v>
      </c>
      <c r="S108">
        <v>0</v>
      </c>
      <c r="W108" s="3">
        <v>1.2812499999999999E-2</v>
      </c>
      <c r="X108" t="s">
        <v>390</v>
      </c>
      <c r="Y108">
        <v>14</v>
      </c>
      <c r="Z108">
        <v>0</v>
      </c>
      <c r="AA108" t="s">
        <v>49</v>
      </c>
      <c r="AB108">
        <v>0</v>
      </c>
      <c r="AC108" t="s">
        <v>49</v>
      </c>
      <c r="AD108">
        <v>0</v>
      </c>
      <c r="AE108">
        <v>11465346</v>
      </c>
      <c r="AF108" t="s">
        <v>50</v>
      </c>
      <c r="AG108" t="s">
        <v>300</v>
      </c>
    </row>
    <row r="109" spans="1:33" x14ac:dyDescent="0.35">
      <c r="A109" s="1">
        <v>44910.629166666666</v>
      </c>
      <c r="B109">
        <v>1901589</v>
      </c>
      <c r="C109" t="s">
        <v>391</v>
      </c>
      <c r="D109" t="s">
        <v>65</v>
      </c>
      <c r="E109" s="2">
        <v>30713</v>
      </c>
      <c r="F109" t="str">
        <f>"9781483262390"</f>
        <v>9781483262390</v>
      </c>
      <c r="G109" t="str">
        <f>"9780123043719"</f>
        <v>9780123043719</v>
      </c>
      <c r="H109" t="s">
        <v>43</v>
      </c>
      <c r="I109">
        <v>515</v>
      </c>
      <c r="J109" t="s">
        <v>392</v>
      </c>
      <c r="K109" t="s">
        <v>44</v>
      </c>
      <c r="N109" t="s">
        <v>45</v>
      </c>
      <c r="O109" t="s">
        <v>46</v>
      </c>
      <c r="P109" t="s">
        <v>45</v>
      </c>
      <c r="Q109" t="s">
        <v>47</v>
      </c>
      <c r="R109" t="s">
        <v>44</v>
      </c>
      <c r="S109">
        <v>1</v>
      </c>
      <c r="W109" s="3">
        <v>0</v>
      </c>
      <c r="X109" t="s">
        <v>49</v>
      </c>
      <c r="Y109">
        <v>0</v>
      </c>
      <c r="Z109">
        <v>0</v>
      </c>
      <c r="AA109" t="s">
        <v>49</v>
      </c>
      <c r="AB109">
        <v>0</v>
      </c>
      <c r="AC109" t="s">
        <v>49</v>
      </c>
      <c r="AD109">
        <v>0</v>
      </c>
      <c r="AE109">
        <v>11008716</v>
      </c>
      <c r="AF109" t="s">
        <v>63</v>
      </c>
      <c r="AG109" t="s">
        <v>308</v>
      </c>
    </row>
    <row r="110" spans="1:33" x14ac:dyDescent="0.35">
      <c r="A110" s="1">
        <v>44910.589583333334</v>
      </c>
      <c r="B110">
        <v>5475321</v>
      </c>
      <c r="C110" t="s">
        <v>384</v>
      </c>
      <c r="D110" t="s">
        <v>303</v>
      </c>
      <c r="E110" s="2">
        <v>43326</v>
      </c>
      <c r="F110" t="str">
        <f>"9780262347587"</f>
        <v>9780262347587</v>
      </c>
      <c r="G110" t="str">
        <f>"9780262038263"</f>
        <v>9780262038263</v>
      </c>
      <c r="H110" t="s">
        <v>385</v>
      </c>
      <c r="I110">
        <v>25.042000000000002</v>
      </c>
      <c r="J110" t="s">
        <v>386</v>
      </c>
      <c r="K110" t="s">
        <v>44</v>
      </c>
      <c r="N110" t="s">
        <v>45</v>
      </c>
      <c r="O110" t="s">
        <v>46</v>
      </c>
      <c r="P110" t="s">
        <v>45</v>
      </c>
      <c r="Q110" t="s">
        <v>47</v>
      </c>
      <c r="R110" t="s">
        <v>44</v>
      </c>
      <c r="S110">
        <v>0</v>
      </c>
      <c r="W110" s="3">
        <v>1.7754629629629631E-2</v>
      </c>
      <c r="X110" t="s">
        <v>393</v>
      </c>
      <c r="Y110">
        <v>19</v>
      </c>
      <c r="Z110">
        <v>0</v>
      </c>
      <c r="AA110" t="s">
        <v>49</v>
      </c>
      <c r="AB110">
        <v>0</v>
      </c>
      <c r="AC110" t="s">
        <v>49</v>
      </c>
      <c r="AD110">
        <v>0</v>
      </c>
      <c r="AE110">
        <v>11595380</v>
      </c>
      <c r="AF110" t="s">
        <v>50</v>
      </c>
      <c r="AG110" t="s">
        <v>388</v>
      </c>
    </row>
    <row r="111" spans="1:33" x14ac:dyDescent="0.35">
      <c r="A111" s="1">
        <v>44910.574999999997</v>
      </c>
      <c r="B111">
        <v>6221291</v>
      </c>
      <c r="C111" t="s">
        <v>394</v>
      </c>
      <c r="D111" t="s">
        <v>65</v>
      </c>
      <c r="E111" s="2">
        <v>43985</v>
      </c>
      <c r="F111" t="str">
        <f>"9780128194980"</f>
        <v>9780128194980</v>
      </c>
      <c r="G111" t="str">
        <f>"9780128194973"</f>
        <v>9780128194973</v>
      </c>
      <c r="H111" t="s">
        <v>66</v>
      </c>
      <c r="I111">
        <v>579.16999999999996</v>
      </c>
      <c r="J111" t="s">
        <v>395</v>
      </c>
      <c r="K111" t="s">
        <v>55</v>
      </c>
      <c r="N111" t="s">
        <v>293</v>
      </c>
      <c r="P111" t="s">
        <v>80</v>
      </c>
      <c r="Q111" t="s">
        <v>47</v>
      </c>
      <c r="R111" t="s">
        <v>44</v>
      </c>
      <c r="S111">
        <v>0</v>
      </c>
      <c r="W111" s="3">
        <v>5.2083333333333333E-4</v>
      </c>
      <c r="X111" t="s">
        <v>396</v>
      </c>
      <c r="Y111">
        <v>5</v>
      </c>
      <c r="Z111">
        <v>1</v>
      </c>
      <c r="AA111" t="s">
        <v>397</v>
      </c>
      <c r="AB111">
        <v>12</v>
      </c>
      <c r="AC111" t="s">
        <v>49</v>
      </c>
      <c r="AD111">
        <v>0</v>
      </c>
      <c r="AE111">
        <v>-1</v>
      </c>
      <c r="AF111" t="s">
        <v>50</v>
      </c>
      <c r="AG111" t="s">
        <v>57</v>
      </c>
    </row>
    <row r="112" spans="1:33" x14ac:dyDescent="0.35">
      <c r="A112" s="1">
        <v>44910.572222222225</v>
      </c>
      <c r="B112">
        <v>226434</v>
      </c>
      <c r="C112" t="s">
        <v>398</v>
      </c>
      <c r="D112" t="s">
        <v>59</v>
      </c>
      <c r="E112" s="2">
        <v>38415</v>
      </c>
      <c r="F112" t="str">
        <f>"9780764596322"</f>
        <v>9780764596322</v>
      </c>
      <c r="G112" t="str">
        <f>"9780764577321"</f>
        <v>9780764577321</v>
      </c>
      <c r="H112" t="s">
        <v>138</v>
      </c>
      <c r="I112" t="s">
        <v>399</v>
      </c>
      <c r="J112" t="s">
        <v>400</v>
      </c>
      <c r="K112" t="s">
        <v>44</v>
      </c>
      <c r="N112" t="s">
        <v>45</v>
      </c>
      <c r="O112" t="s">
        <v>46</v>
      </c>
      <c r="P112" t="s">
        <v>45</v>
      </c>
      <c r="Q112" t="s">
        <v>47</v>
      </c>
      <c r="R112" t="s">
        <v>44</v>
      </c>
      <c r="S112">
        <v>1</v>
      </c>
      <c r="W112" s="3">
        <v>1.1574074074074073E-5</v>
      </c>
      <c r="X112" t="s">
        <v>49</v>
      </c>
      <c r="Y112">
        <v>0</v>
      </c>
      <c r="Z112">
        <v>0</v>
      </c>
      <c r="AA112" t="s">
        <v>49</v>
      </c>
      <c r="AB112">
        <v>0</v>
      </c>
      <c r="AC112" t="s">
        <v>49</v>
      </c>
      <c r="AD112">
        <v>0</v>
      </c>
      <c r="AE112">
        <v>10114273</v>
      </c>
      <c r="AF112" t="s">
        <v>63</v>
      </c>
      <c r="AG112" t="s">
        <v>308</v>
      </c>
    </row>
    <row r="113" spans="1:33" x14ac:dyDescent="0.35">
      <c r="A113" s="1">
        <v>44910.557638888888</v>
      </c>
      <c r="B113">
        <v>6221291</v>
      </c>
      <c r="C113" t="s">
        <v>394</v>
      </c>
      <c r="D113" t="s">
        <v>65</v>
      </c>
      <c r="E113" s="2">
        <v>43985</v>
      </c>
      <c r="F113" t="str">
        <f>"9780128194980"</f>
        <v>9780128194980</v>
      </c>
      <c r="G113" t="str">
        <f>"9780128194973"</f>
        <v>9780128194973</v>
      </c>
      <c r="H113" t="s">
        <v>66</v>
      </c>
      <c r="I113">
        <v>579.16999999999996</v>
      </c>
      <c r="J113" t="s">
        <v>395</v>
      </c>
      <c r="K113" t="s">
        <v>55</v>
      </c>
      <c r="N113" t="s">
        <v>293</v>
      </c>
      <c r="P113" t="s">
        <v>80</v>
      </c>
      <c r="Q113" t="s">
        <v>47</v>
      </c>
      <c r="R113" t="s">
        <v>44</v>
      </c>
      <c r="S113">
        <v>2</v>
      </c>
      <c r="T113">
        <v>1</v>
      </c>
      <c r="U113" s="1">
        <v>44910.557638888888</v>
      </c>
      <c r="V113" s="1">
        <v>44911.557638888888</v>
      </c>
      <c r="W113" s="3">
        <v>6.9444444444444444E-5</v>
      </c>
      <c r="X113" t="s">
        <v>121</v>
      </c>
      <c r="Y113">
        <v>1</v>
      </c>
      <c r="Z113">
        <v>0</v>
      </c>
      <c r="AA113" t="s">
        <v>49</v>
      </c>
      <c r="AB113">
        <v>0</v>
      </c>
      <c r="AC113" t="s">
        <v>49</v>
      </c>
      <c r="AD113">
        <v>0</v>
      </c>
      <c r="AE113">
        <v>-1</v>
      </c>
      <c r="AF113" t="s">
        <v>63</v>
      </c>
      <c r="AG113" t="s">
        <v>308</v>
      </c>
    </row>
    <row r="114" spans="1:33" x14ac:dyDescent="0.35">
      <c r="A114" s="1">
        <v>44910.539583333331</v>
      </c>
      <c r="B114">
        <v>5475321</v>
      </c>
      <c r="C114" t="s">
        <v>384</v>
      </c>
      <c r="D114" t="s">
        <v>303</v>
      </c>
      <c r="E114" s="2">
        <v>43326</v>
      </c>
      <c r="F114" t="str">
        <f>"9780262347587"</f>
        <v>9780262347587</v>
      </c>
      <c r="G114" t="str">
        <f>"9780262038263"</f>
        <v>9780262038263</v>
      </c>
      <c r="H114" t="s">
        <v>385</v>
      </c>
      <c r="I114">
        <v>25.042000000000002</v>
      </c>
      <c r="J114" t="s">
        <v>386</v>
      </c>
      <c r="K114" t="s">
        <v>44</v>
      </c>
      <c r="N114" t="s">
        <v>45</v>
      </c>
      <c r="O114" t="s">
        <v>46</v>
      </c>
      <c r="P114" t="s">
        <v>45</v>
      </c>
      <c r="Q114" t="s">
        <v>47</v>
      </c>
      <c r="R114" t="s">
        <v>44</v>
      </c>
      <c r="S114">
        <v>0</v>
      </c>
      <c r="W114" s="3">
        <v>1.3888888888888889E-4</v>
      </c>
      <c r="X114" t="s">
        <v>401</v>
      </c>
      <c r="Y114">
        <v>3</v>
      </c>
      <c r="Z114">
        <v>0</v>
      </c>
      <c r="AA114" t="s">
        <v>49</v>
      </c>
      <c r="AB114">
        <v>0</v>
      </c>
      <c r="AC114" t="s">
        <v>49</v>
      </c>
      <c r="AD114">
        <v>0</v>
      </c>
      <c r="AE114">
        <v>11595380</v>
      </c>
      <c r="AF114" t="s">
        <v>50</v>
      </c>
      <c r="AG114" t="s">
        <v>388</v>
      </c>
    </row>
    <row r="115" spans="1:33" x14ac:dyDescent="0.35">
      <c r="A115" s="1">
        <v>44910.439583333333</v>
      </c>
      <c r="B115">
        <v>5475321</v>
      </c>
      <c r="C115" t="s">
        <v>384</v>
      </c>
      <c r="D115" t="s">
        <v>303</v>
      </c>
      <c r="E115" s="2">
        <v>43326</v>
      </c>
      <c r="F115" t="str">
        <f>"9780262347587"</f>
        <v>9780262347587</v>
      </c>
      <c r="G115" t="str">
        <f>"9780262038263"</f>
        <v>9780262038263</v>
      </c>
      <c r="H115" t="s">
        <v>385</v>
      </c>
      <c r="I115">
        <v>25.042000000000002</v>
      </c>
      <c r="J115" t="s">
        <v>386</v>
      </c>
      <c r="K115" t="s">
        <v>44</v>
      </c>
      <c r="N115" t="s">
        <v>45</v>
      </c>
      <c r="O115" t="s">
        <v>46</v>
      </c>
      <c r="P115" t="s">
        <v>45</v>
      </c>
      <c r="Q115" t="s">
        <v>47</v>
      </c>
      <c r="R115" t="s">
        <v>44</v>
      </c>
      <c r="S115">
        <v>0</v>
      </c>
      <c r="W115" s="3">
        <v>6.1111111111111114E-3</v>
      </c>
      <c r="X115" t="s">
        <v>402</v>
      </c>
      <c r="Y115">
        <v>19</v>
      </c>
      <c r="Z115">
        <v>0</v>
      </c>
      <c r="AA115" t="s">
        <v>49</v>
      </c>
      <c r="AB115">
        <v>0</v>
      </c>
      <c r="AC115" t="s">
        <v>49</v>
      </c>
      <c r="AD115">
        <v>0</v>
      </c>
      <c r="AE115">
        <v>11595380</v>
      </c>
      <c r="AF115" t="s">
        <v>50</v>
      </c>
      <c r="AG115" t="s">
        <v>388</v>
      </c>
    </row>
    <row r="116" spans="1:33" x14ac:dyDescent="0.35">
      <c r="A116" s="1">
        <v>44910.040277777778</v>
      </c>
      <c r="B116">
        <v>1578331</v>
      </c>
      <c r="C116" t="s">
        <v>403</v>
      </c>
      <c r="D116" t="s">
        <v>71</v>
      </c>
      <c r="E116" s="2">
        <v>41579</v>
      </c>
      <c r="F116" t="str">
        <f>"9789814551052"</f>
        <v>9789814551052</v>
      </c>
      <c r="G116" t="str">
        <f>"9789814551045"</f>
        <v>9789814551045</v>
      </c>
      <c r="H116" t="s">
        <v>404</v>
      </c>
      <c r="I116">
        <v>523.11199999999997</v>
      </c>
      <c r="J116" t="s">
        <v>405</v>
      </c>
      <c r="K116" t="s">
        <v>44</v>
      </c>
      <c r="N116" t="s">
        <v>45</v>
      </c>
      <c r="O116" t="s">
        <v>46</v>
      </c>
      <c r="P116" t="s">
        <v>45</v>
      </c>
      <c r="Q116" t="s">
        <v>47</v>
      </c>
      <c r="R116" t="s">
        <v>44</v>
      </c>
      <c r="S116">
        <v>0</v>
      </c>
      <c r="W116" s="3">
        <v>9.6064814814814808E-4</v>
      </c>
      <c r="X116" t="s">
        <v>406</v>
      </c>
      <c r="Y116">
        <v>10</v>
      </c>
      <c r="Z116">
        <v>0</v>
      </c>
      <c r="AA116" t="s">
        <v>49</v>
      </c>
      <c r="AB116">
        <v>0</v>
      </c>
      <c r="AC116" t="s">
        <v>49</v>
      </c>
      <c r="AD116">
        <v>0</v>
      </c>
      <c r="AE116">
        <v>10813530</v>
      </c>
      <c r="AF116" t="s">
        <v>50</v>
      </c>
      <c r="AG116" t="s">
        <v>388</v>
      </c>
    </row>
    <row r="117" spans="1:33" x14ac:dyDescent="0.35">
      <c r="A117" s="1">
        <v>44910.029166666667</v>
      </c>
      <c r="B117">
        <v>5475321</v>
      </c>
      <c r="C117" t="s">
        <v>384</v>
      </c>
      <c r="D117" t="s">
        <v>303</v>
      </c>
      <c r="E117" s="2">
        <v>43326</v>
      </c>
      <c r="F117" t="str">
        <f>"9780262347587"</f>
        <v>9780262347587</v>
      </c>
      <c r="G117" t="str">
        <f>"9780262038263"</f>
        <v>9780262038263</v>
      </c>
      <c r="H117" t="s">
        <v>385</v>
      </c>
      <c r="I117">
        <v>25.042000000000002</v>
      </c>
      <c r="J117" t="s">
        <v>386</v>
      </c>
      <c r="K117" t="s">
        <v>44</v>
      </c>
      <c r="N117" t="s">
        <v>45</v>
      </c>
      <c r="O117" t="s">
        <v>46</v>
      </c>
      <c r="P117" t="s">
        <v>45</v>
      </c>
      <c r="Q117" t="s">
        <v>47</v>
      </c>
      <c r="R117" t="s">
        <v>44</v>
      </c>
      <c r="S117">
        <v>0</v>
      </c>
      <c r="W117" s="3">
        <v>1.1631944444444445E-2</v>
      </c>
      <c r="X117" t="s">
        <v>407</v>
      </c>
      <c r="Y117">
        <v>29</v>
      </c>
      <c r="Z117">
        <v>0</v>
      </c>
      <c r="AA117" t="s">
        <v>49</v>
      </c>
      <c r="AB117">
        <v>0</v>
      </c>
      <c r="AC117" t="s">
        <v>49</v>
      </c>
      <c r="AD117">
        <v>0</v>
      </c>
      <c r="AE117">
        <v>11595380</v>
      </c>
      <c r="AF117" t="s">
        <v>50</v>
      </c>
      <c r="AG117" t="s">
        <v>388</v>
      </c>
    </row>
    <row r="118" spans="1:33" x14ac:dyDescent="0.35">
      <c r="A118" s="1">
        <v>44909.986805555556</v>
      </c>
      <c r="B118">
        <v>5475321</v>
      </c>
      <c r="C118" t="s">
        <v>384</v>
      </c>
      <c r="D118" t="s">
        <v>303</v>
      </c>
      <c r="E118" s="2">
        <v>43326</v>
      </c>
      <c r="F118" t="str">
        <f>"9780262347587"</f>
        <v>9780262347587</v>
      </c>
      <c r="G118" t="str">
        <f>"9780262038263"</f>
        <v>9780262038263</v>
      </c>
      <c r="H118" t="s">
        <v>385</v>
      </c>
      <c r="I118">
        <v>25.042000000000002</v>
      </c>
      <c r="J118" t="s">
        <v>386</v>
      </c>
      <c r="K118" t="s">
        <v>44</v>
      </c>
      <c r="N118" t="s">
        <v>45</v>
      </c>
      <c r="O118" t="s">
        <v>46</v>
      </c>
      <c r="P118" t="s">
        <v>45</v>
      </c>
      <c r="Q118" t="s">
        <v>47</v>
      </c>
      <c r="R118" t="s">
        <v>44</v>
      </c>
      <c r="S118">
        <v>0</v>
      </c>
      <c r="W118" s="3">
        <v>1.5868055555555555E-2</v>
      </c>
      <c r="X118" t="s">
        <v>121</v>
      </c>
      <c r="Y118">
        <v>1</v>
      </c>
      <c r="Z118">
        <v>0</v>
      </c>
      <c r="AA118" t="s">
        <v>49</v>
      </c>
      <c r="AB118">
        <v>0</v>
      </c>
      <c r="AC118" t="s">
        <v>49</v>
      </c>
      <c r="AD118">
        <v>0</v>
      </c>
      <c r="AE118">
        <v>11595380</v>
      </c>
      <c r="AF118" t="s">
        <v>50</v>
      </c>
      <c r="AG118" t="s">
        <v>388</v>
      </c>
    </row>
    <row r="119" spans="1:33" x14ac:dyDescent="0.35">
      <c r="A119" s="1">
        <v>44909.85833333333</v>
      </c>
      <c r="B119">
        <v>6819967</v>
      </c>
      <c r="C119" t="s">
        <v>408</v>
      </c>
      <c r="D119" t="s">
        <v>213</v>
      </c>
      <c r="E119" s="2">
        <v>44529</v>
      </c>
      <c r="F119" t="str">
        <f>"9780323859288"</f>
        <v>9780323859288</v>
      </c>
      <c r="G119" t="str">
        <f>"9780128243442"</f>
        <v>9780128243442</v>
      </c>
      <c r="H119" t="s">
        <v>261</v>
      </c>
      <c r="I119">
        <v>628.41999999999996</v>
      </c>
      <c r="J119" t="s">
        <v>409</v>
      </c>
      <c r="K119" t="s">
        <v>55</v>
      </c>
      <c r="N119" t="s">
        <v>293</v>
      </c>
      <c r="P119" t="s">
        <v>80</v>
      </c>
      <c r="Q119" t="s">
        <v>47</v>
      </c>
      <c r="R119" t="s">
        <v>44</v>
      </c>
      <c r="S119">
        <v>0</v>
      </c>
      <c r="W119" s="3">
        <v>5.9606481481481489E-3</v>
      </c>
      <c r="X119" t="s">
        <v>410</v>
      </c>
      <c r="Y119">
        <v>96</v>
      </c>
      <c r="Z119">
        <v>0</v>
      </c>
      <c r="AA119" t="s">
        <v>49</v>
      </c>
      <c r="AB119">
        <v>0</v>
      </c>
      <c r="AC119" t="s">
        <v>49</v>
      </c>
      <c r="AD119">
        <v>0</v>
      </c>
      <c r="AE119">
        <v>-1</v>
      </c>
      <c r="AF119" t="s">
        <v>63</v>
      </c>
      <c r="AG119" t="s">
        <v>411</v>
      </c>
    </row>
    <row r="120" spans="1:33" x14ac:dyDescent="0.35">
      <c r="A120" s="1">
        <v>44909.838888888888</v>
      </c>
      <c r="B120">
        <v>5475321</v>
      </c>
      <c r="C120" t="s">
        <v>384</v>
      </c>
      <c r="D120" t="s">
        <v>303</v>
      </c>
      <c r="E120" s="2">
        <v>43326</v>
      </c>
      <c r="F120" t="str">
        <f>"9780262347587"</f>
        <v>9780262347587</v>
      </c>
      <c r="G120" t="str">
        <f>"9780262038263"</f>
        <v>9780262038263</v>
      </c>
      <c r="H120" t="s">
        <v>385</v>
      </c>
      <c r="I120">
        <v>25.042000000000002</v>
      </c>
      <c r="J120" t="s">
        <v>386</v>
      </c>
      <c r="K120" t="s">
        <v>44</v>
      </c>
      <c r="N120" t="s">
        <v>45</v>
      </c>
      <c r="O120" t="s">
        <v>46</v>
      </c>
      <c r="P120" t="s">
        <v>45</v>
      </c>
      <c r="Q120" t="s">
        <v>47</v>
      </c>
      <c r="R120" t="s">
        <v>44</v>
      </c>
      <c r="S120">
        <v>0</v>
      </c>
      <c r="W120" s="3">
        <v>1.6782407407407409E-2</v>
      </c>
      <c r="X120" t="s">
        <v>412</v>
      </c>
      <c r="Y120">
        <v>10</v>
      </c>
      <c r="Z120">
        <v>0</v>
      </c>
      <c r="AA120" t="s">
        <v>49</v>
      </c>
      <c r="AB120">
        <v>0</v>
      </c>
      <c r="AC120" t="s">
        <v>413</v>
      </c>
      <c r="AD120">
        <v>2</v>
      </c>
      <c r="AE120">
        <v>11595380</v>
      </c>
      <c r="AF120" t="s">
        <v>50</v>
      </c>
      <c r="AG120" t="s">
        <v>388</v>
      </c>
    </row>
    <row r="121" spans="1:33" x14ac:dyDescent="0.35">
      <c r="A121" s="1">
        <v>44909.725694444445</v>
      </c>
      <c r="B121">
        <v>5475321</v>
      </c>
      <c r="C121" t="s">
        <v>384</v>
      </c>
      <c r="D121" t="s">
        <v>303</v>
      </c>
      <c r="E121" s="2">
        <v>43326</v>
      </c>
      <c r="F121" t="str">
        <f>"9780262347587"</f>
        <v>9780262347587</v>
      </c>
      <c r="G121" t="str">
        <f>"9780262038263"</f>
        <v>9780262038263</v>
      </c>
      <c r="H121" t="s">
        <v>385</v>
      </c>
      <c r="I121">
        <v>25.042000000000002</v>
      </c>
      <c r="J121" t="s">
        <v>386</v>
      </c>
      <c r="K121" t="s">
        <v>44</v>
      </c>
      <c r="N121" t="s">
        <v>45</v>
      </c>
      <c r="O121" t="s">
        <v>46</v>
      </c>
      <c r="P121" t="s">
        <v>45</v>
      </c>
      <c r="Q121" t="s">
        <v>47</v>
      </c>
      <c r="R121" t="s">
        <v>44</v>
      </c>
      <c r="S121">
        <v>0</v>
      </c>
      <c r="W121" s="3">
        <v>1.1574074074074073E-4</v>
      </c>
      <c r="X121" t="s">
        <v>205</v>
      </c>
      <c r="Y121">
        <v>2</v>
      </c>
      <c r="Z121">
        <v>0</v>
      </c>
      <c r="AA121" t="s">
        <v>49</v>
      </c>
      <c r="AB121">
        <v>0</v>
      </c>
      <c r="AC121" t="s">
        <v>49</v>
      </c>
      <c r="AD121">
        <v>0</v>
      </c>
      <c r="AE121">
        <v>11595380</v>
      </c>
      <c r="AF121" t="s">
        <v>50</v>
      </c>
      <c r="AG121" t="s">
        <v>388</v>
      </c>
    </row>
    <row r="122" spans="1:33" x14ac:dyDescent="0.35">
      <c r="A122" s="1">
        <v>44909.39166666667</v>
      </c>
      <c r="B122">
        <v>6676236</v>
      </c>
      <c r="C122" t="s">
        <v>414</v>
      </c>
      <c r="D122" t="s">
        <v>105</v>
      </c>
      <c r="E122" s="2">
        <v>44385</v>
      </c>
      <c r="F122" t="str">
        <f>"9783030666071"</f>
        <v>9783030666071</v>
      </c>
      <c r="G122" t="str">
        <f>"9783030666064"</f>
        <v>9783030666064</v>
      </c>
      <c r="H122" t="s">
        <v>415</v>
      </c>
      <c r="I122">
        <v>307.76028500000001</v>
      </c>
      <c r="J122" t="s">
        <v>416</v>
      </c>
      <c r="K122" t="s">
        <v>55</v>
      </c>
      <c r="Q122" t="s">
        <v>47</v>
      </c>
      <c r="R122" t="s">
        <v>44</v>
      </c>
      <c r="S122">
        <v>0</v>
      </c>
      <c r="W122" s="3">
        <v>4.1898148148148146E-3</v>
      </c>
      <c r="X122" t="s">
        <v>417</v>
      </c>
      <c r="Y122">
        <v>11</v>
      </c>
      <c r="Z122">
        <v>0</v>
      </c>
      <c r="AA122" t="s">
        <v>49</v>
      </c>
      <c r="AB122">
        <v>0</v>
      </c>
      <c r="AC122" t="s">
        <v>49</v>
      </c>
      <c r="AD122">
        <v>0</v>
      </c>
      <c r="AE122">
        <v>-1</v>
      </c>
      <c r="AF122" t="s">
        <v>50</v>
      </c>
      <c r="AG122" t="s">
        <v>57</v>
      </c>
    </row>
    <row r="123" spans="1:33" x14ac:dyDescent="0.35">
      <c r="A123" s="1">
        <v>44909.34652777778</v>
      </c>
      <c r="B123">
        <v>1876331</v>
      </c>
      <c r="C123" t="s">
        <v>418</v>
      </c>
      <c r="D123" t="s">
        <v>53</v>
      </c>
      <c r="E123" s="2">
        <v>42092</v>
      </c>
      <c r="F123" t="str">
        <f>"9781400866427"</f>
        <v>9781400866427</v>
      </c>
      <c r="G123" t="str">
        <f>"9780691164823"</f>
        <v>9780691164823</v>
      </c>
      <c r="H123" t="s">
        <v>419</v>
      </c>
      <c r="I123" t="s">
        <v>420</v>
      </c>
      <c r="J123" t="s">
        <v>421</v>
      </c>
      <c r="K123" t="s">
        <v>44</v>
      </c>
      <c r="N123" t="s">
        <v>45</v>
      </c>
      <c r="O123" t="s">
        <v>46</v>
      </c>
      <c r="P123" t="s">
        <v>45</v>
      </c>
      <c r="Q123" t="s">
        <v>47</v>
      </c>
      <c r="R123" t="s">
        <v>44</v>
      </c>
      <c r="S123">
        <v>0</v>
      </c>
      <c r="W123" s="3">
        <v>4.3055555555555555E-3</v>
      </c>
      <c r="X123" t="s">
        <v>422</v>
      </c>
      <c r="Y123">
        <v>6</v>
      </c>
      <c r="Z123">
        <v>0</v>
      </c>
      <c r="AA123" t="s">
        <v>49</v>
      </c>
      <c r="AB123">
        <v>0</v>
      </c>
      <c r="AC123" t="s">
        <v>49</v>
      </c>
      <c r="AD123">
        <v>0</v>
      </c>
      <c r="AE123">
        <v>11028404</v>
      </c>
      <c r="AF123" t="s">
        <v>50</v>
      </c>
      <c r="AG123" t="s">
        <v>318</v>
      </c>
    </row>
    <row r="124" spans="1:33" x14ac:dyDescent="0.35">
      <c r="A124" s="1">
        <v>44909.34097222222</v>
      </c>
      <c r="B124">
        <v>4085954</v>
      </c>
      <c r="C124" t="s">
        <v>423</v>
      </c>
      <c r="D124" t="s">
        <v>424</v>
      </c>
      <c r="E124" s="2">
        <v>42186</v>
      </c>
      <c r="F124" t="str">
        <f>"9781442245426"</f>
        <v>9781442245426</v>
      </c>
      <c r="G124" t="str">
        <f>"9781442245419"</f>
        <v>9781442245419</v>
      </c>
      <c r="H124" t="s">
        <v>425</v>
      </c>
      <c r="I124">
        <v>327.10000000000002</v>
      </c>
      <c r="J124" t="s">
        <v>426</v>
      </c>
      <c r="K124" t="s">
        <v>44</v>
      </c>
      <c r="N124" t="s">
        <v>45</v>
      </c>
      <c r="O124" t="s">
        <v>46</v>
      </c>
      <c r="P124" t="s">
        <v>45</v>
      </c>
      <c r="Q124" t="s">
        <v>47</v>
      </c>
      <c r="R124" t="s">
        <v>44</v>
      </c>
      <c r="S124">
        <v>0</v>
      </c>
      <c r="W124" s="3">
        <v>3.3217592592592591E-3</v>
      </c>
      <c r="X124" t="s">
        <v>427</v>
      </c>
      <c r="Y124">
        <v>5</v>
      </c>
      <c r="Z124">
        <v>0</v>
      </c>
      <c r="AA124" t="s">
        <v>49</v>
      </c>
      <c r="AB124">
        <v>0</v>
      </c>
      <c r="AC124" t="s">
        <v>49</v>
      </c>
      <c r="AD124">
        <v>0</v>
      </c>
      <c r="AE124">
        <v>11125147</v>
      </c>
      <c r="AF124" t="s">
        <v>50</v>
      </c>
      <c r="AG124" t="s">
        <v>318</v>
      </c>
    </row>
    <row r="125" spans="1:33" x14ac:dyDescent="0.35">
      <c r="A125" s="1">
        <v>44909.29791666667</v>
      </c>
      <c r="B125">
        <v>4085954</v>
      </c>
      <c r="C125" t="s">
        <v>423</v>
      </c>
      <c r="D125" t="s">
        <v>424</v>
      </c>
      <c r="E125" s="2">
        <v>42186</v>
      </c>
      <c r="F125" t="str">
        <f>"9781442245426"</f>
        <v>9781442245426</v>
      </c>
      <c r="G125" t="str">
        <f>"9781442245419"</f>
        <v>9781442245419</v>
      </c>
      <c r="H125" t="s">
        <v>425</v>
      </c>
      <c r="I125">
        <v>327.10000000000002</v>
      </c>
      <c r="J125" t="s">
        <v>426</v>
      </c>
      <c r="K125" t="s">
        <v>44</v>
      </c>
      <c r="N125" t="s">
        <v>45</v>
      </c>
      <c r="O125" t="s">
        <v>46</v>
      </c>
      <c r="P125" t="s">
        <v>45</v>
      </c>
      <c r="Q125" t="s">
        <v>47</v>
      </c>
      <c r="R125" t="s">
        <v>44</v>
      </c>
      <c r="S125">
        <v>0</v>
      </c>
      <c r="W125" s="3">
        <v>1.6782407407407406E-3</v>
      </c>
      <c r="X125" t="s">
        <v>428</v>
      </c>
      <c r="Y125">
        <v>20</v>
      </c>
      <c r="Z125">
        <v>0</v>
      </c>
      <c r="AA125" t="s">
        <v>49</v>
      </c>
      <c r="AB125">
        <v>0</v>
      </c>
      <c r="AC125" t="s">
        <v>49</v>
      </c>
      <c r="AD125">
        <v>0</v>
      </c>
      <c r="AE125">
        <v>11125147</v>
      </c>
      <c r="AF125" t="s">
        <v>50</v>
      </c>
      <c r="AG125" t="s">
        <v>318</v>
      </c>
    </row>
    <row r="126" spans="1:33" x14ac:dyDescent="0.35">
      <c r="A126" s="1">
        <v>44909.29791666667</v>
      </c>
      <c r="B126">
        <v>4085954</v>
      </c>
      <c r="C126" t="s">
        <v>423</v>
      </c>
      <c r="D126" t="s">
        <v>424</v>
      </c>
      <c r="E126" s="2">
        <v>42186</v>
      </c>
      <c r="F126" t="str">
        <f>"9781442245426"</f>
        <v>9781442245426</v>
      </c>
      <c r="G126" t="str">
        <f>"9781442245419"</f>
        <v>9781442245419</v>
      </c>
      <c r="H126" t="s">
        <v>425</v>
      </c>
      <c r="I126">
        <v>327.10000000000002</v>
      </c>
      <c r="J126" t="s">
        <v>426</v>
      </c>
      <c r="K126" t="s">
        <v>44</v>
      </c>
      <c r="N126" t="s">
        <v>45</v>
      </c>
      <c r="O126" t="s">
        <v>46</v>
      </c>
      <c r="P126" t="s">
        <v>45</v>
      </c>
      <c r="Q126" t="s">
        <v>47</v>
      </c>
      <c r="R126" t="s">
        <v>44</v>
      </c>
      <c r="S126">
        <v>0</v>
      </c>
      <c r="W126" s="3">
        <v>0</v>
      </c>
      <c r="X126" t="s">
        <v>49</v>
      </c>
      <c r="Y126">
        <v>0</v>
      </c>
      <c r="Z126">
        <v>0</v>
      </c>
      <c r="AA126" t="s">
        <v>49</v>
      </c>
      <c r="AB126">
        <v>0</v>
      </c>
      <c r="AC126" t="s">
        <v>49</v>
      </c>
      <c r="AD126">
        <v>0</v>
      </c>
      <c r="AE126">
        <v>11125147</v>
      </c>
      <c r="AF126" t="s">
        <v>50</v>
      </c>
      <c r="AG126" t="s">
        <v>318</v>
      </c>
    </row>
    <row r="127" spans="1:33" x14ac:dyDescent="0.35">
      <c r="A127" s="1">
        <v>44909.061805555553</v>
      </c>
      <c r="B127">
        <v>5164855</v>
      </c>
      <c r="C127" t="s">
        <v>429</v>
      </c>
      <c r="D127" t="s">
        <v>430</v>
      </c>
      <c r="E127" s="2">
        <v>42494</v>
      </c>
      <c r="F127" t="str">
        <f>"9781783323128"</f>
        <v>9781783323128</v>
      </c>
      <c r="G127" t="str">
        <f>"9781783322640"</f>
        <v>9781783322640</v>
      </c>
      <c r="H127" t="s">
        <v>43</v>
      </c>
      <c r="I127">
        <v>510.28553599999998</v>
      </c>
      <c r="J127" t="s">
        <v>431</v>
      </c>
      <c r="K127" t="s">
        <v>44</v>
      </c>
      <c r="N127" t="s">
        <v>45</v>
      </c>
      <c r="O127" t="s">
        <v>46</v>
      </c>
      <c r="P127" t="s">
        <v>45</v>
      </c>
      <c r="Q127" t="s">
        <v>47</v>
      </c>
      <c r="R127" t="s">
        <v>44</v>
      </c>
      <c r="S127">
        <v>0</v>
      </c>
      <c r="W127" s="3">
        <v>9.4907407407407408E-4</v>
      </c>
      <c r="X127" t="s">
        <v>432</v>
      </c>
      <c r="Y127">
        <v>20</v>
      </c>
      <c r="Z127">
        <v>0</v>
      </c>
      <c r="AA127" t="s">
        <v>49</v>
      </c>
      <c r="AB127">
        <v>0</v>
      </c>
      <c r="AC127" t="s">
        <v>49</v>
      </c>
      <c r="AD127">
        <v>0</v>
      </c>
      <c r="AE127">
        <v>11654047</v>
      </c>
      <c r="AF127" t="s">
        <v>63</v>
      </c>
      <c r="AG127" t="s">
        <v>57</v>
      </c>
    </row>
    <row r="128" spans="1:33" x14ac:dyDescent="0.35">
      <c r="A128" s="1">
        <v>44909.061111111114</v>
      </c>
      <c r="B128">
        <v>286658</v>
      </c>
      <c r="C128" t="s">
        <v>433</v>
      </c>
      <c r="D128" t="s">
        <v>65</v>
      </c>
      <c r="E128" s="2">
        <v>38686</v>
      </c>
      <c r="F128" t="str">
        <f>"9780080470795"</f>
        <v>9780080470795</v>
      </c>
      <c r="G128" t="str">
        <f>"9780125637381"</f>
        <v>9780125637381</v>
      </c>
      <c r="H128" t="s">
        <v>43</v>
      </c>
      <c r="I128" t="s">
        <v>434</v>
      </c>
      <c r="J128" t="s">
        <v>435</v>
      </c>
      <c r="K128" t="s">
        <v>44</v>
      </c>
      <c r="N128" t="s">
        <v>45</v>
      </c>
      <c r="O128" t="s">
        <v>46</v>
      </c>
      <c r="P128" t="s">
        <v>45</v>
      </c>
      <c r="Q128" t="s">
        <v>47</v>
      </c>
      <c r="R128" t="s">
        <v>44</v>
      </c>
      <c r="S128">
        <v>0</v>
      </c>
      <c r="W128" s="3">
        <v>1.9675925925925926E-4</v>
      </c>
      <c r="X128" t="s">
        <v>436</v>
      </c>
      <c r="Y128">
        <v>7</v>
      </c>
      <c r="Z128">
        <v>0</v>
      </c>
      <c r="AA128" t="s">
        <v>49</v>
      </c>
      <c r="AB128">
        <v>0</v>
      </c>
      <c r="AC128" t="s">
        <v>49</v>
      </c>
      <c r="AD128">
        <v>0</v>
      </c>
      <c r="AE128">
        <v>10167083</v>
      </c>
      <c r="AF128" t="s">
        <v>63</v>
      </c>
      <c r="AG128" t="s">
        <v>57</v>
      </c>
    </row>
    <row r="129" spans="1:33" x14ac:dyDescent="0.35">
      <c r="A129" s="1">
        <v>44909.056944444441</v>
      </c>
      <c r="B129">
        <v>6361314</v>
      </c>
      <c r="C129" t="s">
        <v>437</v>
      </c>
      <c r="D129" t="s">
        <v>438</v>
      </c>
      <c r="E129" s="2">
        <v>44105</v>
      </c>
      <c r="F129" t="str">
        <f>"9781642872828"</f>
        <v>9781642872828</v>
      </c>
      <c r="G129" t="str">
        <f>""</f>
        <v/>
      </c>
      <c r="H129" t="s">
        <v>43</v>
      </c>
      <c r="I129">
        <v>515.35299999999995</v>
      </c>
      <c r="J129" t="s">
        <v>439</v>
      </c>
      <c r="K129" t="s">
        <v>55</v>
      </c>
      <c r="Q129" t="s">
        <v>47</v>
      </c>
      <c r="R129" t="s">
        <v>44</v>
      </c>
      <c r="S129">
        <v>0</v>
      </c>
      <c r="W129" s="3">
        <v>0</v>
      </c>
      <c r="X129" t="s">
        <v>49</v>
      </c>
      <c r="Y129">
        <v>0</v>
      </c>
      <c r="Z129">
        <v>0</v>
      </c>
      <c r="AA129" t="s">
        <v>49</v>
      </c>
      <c r="AB129">
        <v>0</v>
      </c>
      <c r="AC129" t="s">
        <v>49</v>
      </c>
      <c r="AD129">
        <v>0</v>
      </c>
      <c r="AE129">
        <v>-1</v>
      </c>
      <c r="AF129" t="s">
        <v>63</v>
      </c>
      <c r="AG129" t="s">
        <v>57</v>
      </c>
    </row>
    <row r="130" spans="1:33" x14ac:dyDescent="0.35">
      <c r="A130" s="1">
        <v>44909.052777777775</v>
      </c>
      <c r="B130">
        <v>886248</v>
      </c>
      <c r="C130" t="s">
        <v>440</v>
      </c>
      <c r="D130" t="s">
        <v>65</v>
      </c>
      <c r="E130" s="2">
        <v>38716</v>
      </c>
      <c r="F130" t="str">
        <f>"9780080916736"</f>
        <v>9780080916736</v>
      </c>
      <c r="G130" t="str">
        <f>"9780120885862"</f>
        <v>9780120885862</v>
      </c>
      <c r="H130" t="s">
        <v>43</v>
      </c>
      <c r="I130">
        <v>515.35</v>
      </c>
      <c r="J130" t="s">
        <v>441</v>
      </c>
      <c r="K130" t="s">
        <v>44</v>
      </c>
      <c r="N130" t="s">
        <v>45</v>
      </c>
      <c r="O130" t="s">
        <v>46</v>
      </c>
      <c r="P130" t="s">
        <v>45</v>
      </c>
      <c r="Q130" t="s">
        <v>47</v>
      </c>
      <c r="R130" t="s">
        <v>44</v>
      </c>
      <c r="S130">
        <v>1</v>
      </c>
      <c r="W130" s="3">
        <v>1.1574074074074073E-5</v>
      </c>
      <c r="X130" t="s">
        <v>49</v>
      </c>
      <c r="Y130">
        <v>0</v>
      </c>
      <c r="Z130">
        <v>0</v>
      </c>
      <c r="AA130" t="s">
        <v>49</v>
      </c>
      <c r="AB130">
        <v>0</v>
      </c>
      <c r="AC130" t="s">
        <v>49</v>
      </c>
      <c r="AD130">
        <v>0</v>
      </c>
      <c r="AE130">
        <v>10531913</v>
      </c>
      <c r="AF130" t="s">
        <v>63</v>
      </c>
      <c r="AG130" t="s">
        <v>57</v>
      </c>
    </row>
    <row r="131" spans="1:33" x14ac:dyDescent="0.35">
      <c r="A131" s="1">
        <v>44909.041666666664</v>
      </c>
      <c r="B131">
        <v>2025588</v>
      </c>
      <c r="C131" t="s">
        <v>442</v>
      </c>
      <c r="D131" t="s">
        <v>443</v>
      </c>
      <c r="E131" s="2">
        <v>42248</v>
      </c>
      <c r="F131" t="str">
        <f>"9780520962491"</f>
        <v>9780520962491</v>
      </c>
      <c r="G131" t="str">
        <f>"9780520287310"</f>
        <v>9780520287310</v>
      </c>
      <c r="H131" t="s">
        <v>162</v>
      </c>
      <c r="I131" t="s">
        <v>444</v>
      </c>
      <c r="J131" t="s">
        <v>445</v>
      </c>
      <c r="K131" t="s">
        <v>44</v>
      </c>
      <c r="N131" t="s">
        <v>45</v>
      </c>
      <c r="O131" t="s">
        <v>46</v>
      </c>
      <c r="P131" t="s">
        <v>177</v>
      </c>
      <c r="Q131" t="s">
        <v>47</v>
      </c>
      <c r="R131" t="s">
        <v>55</v>
      </c>
      <c r="S131">
        <v>0</v>
      </c>
      <c r="W131" s="3">
        <v>2.2453703703703702E-3</v>
      </c>
      <c r="X131" t="s">
        <v>446</v>
      </c>
      <c r="Y131">
        <v>14</v>
      </c>
      <c r="Z131">
        <v>0</v>
      </c>
      <c r="AA131" t="s">
        <v>49</v>
      </c>
      <c r="AB131">
        <v>0</v>
      </c>
      <c r="AC131" t="s">
        <v>49</v>
      </c>
      <c r="AD131">
        <v>0</v>
      </c>
      <c r="AE131">
        <v>11085800</v>
      </c>
      <c r="AF131" t="s">
        <v>50</v>
      </c>
      <c r="AG131" t="s">
        <v>318</v>
      </c>
    </row>
    <row r="132" spans="1:33" x14ac:dyDescent="0.35">
      <c r="A132" s="1">
        <v>44909.015277777777</v>
      </c>
      <c r="B132">
        <v>886248</v>
      </c>
      <c r="C132" t="s">
        <v>440</v>
      </c>
      <c r="D132" t="s">
        <v>65</v>
      </c>
      <c r="E132" s="2">
        <v>38716</v>
      </c>
      <c r="F132" t="str">
        <f>"9780080916736"</f>
        <v>9780080916736</v>
      </c>
      <c r="G132" t="str">
        <f>"9780120885862"</f>
        <v>9780120885862</v>
      </c>
      <c r="H132" t="s">
        <v>43</v>
      </c>
      <c r="I132">
        <v>515.35</v>
      </c>
      <c r="J132" t="s">
        <v>441</v>
      </c>
      <c r="K132" t="s">
        <v>44</v>
      </c>
      <c r="N132" t="s">
        <v>45</v>
      </c>
      <c r="O132" t="s">
        <v>46</v>
      </c>
      <c r="P132" t="s">
        <v>45</v>
      </c>
      <c r="Q132" t="s">
        <v>47</v>
      </c>
      <c r="R132" t="s">
        <v>44</v>
      </c>
      <c r="S132">
        <v>2</v>
      </c>
      <c r="W132" s="3">
        <v>0</v>
      </c>
      <c r="X132" t="s">
        <v>49</v>
      </c>
      <c r="Y132">
        <v>0</v>
      </c>
      <c r="Z132">
        <v>0</v>
      </c>
      <c r="AA132" t="s">
        <v>49</v>
      </c>
      <c r="AB132">
        <v>0</v>
      </c>
      <c r="AC132" t="s">
        <v>49</v>
      </c>
      <c r="AD132">
        <v>0</v>
      </c>
      <c r="AE132">
        <v>10531913</v>
      </c>
      <c r="AF132" t="s">
        <v>63</v>
      </c>
      <c r="AG132" t="s">
        <v>57</v>
      </c>
    </row>
    <row r="133" spans="1:33" x14ac:dyDescent="0.35">
      <c r="A133" s="1">
        <v>44908.97152777778</v>
      </c>
      <c r="B133">
        <v>4085954</v>
      </c>
      <c r="C133" t="s">
        <v>423</v>
      </c>
      <c r="D133" t="s">
        <v>424</v>
      </c>
      <c r="E133" s="2">
        <v>42186</v>
      </c>
      <c r="F133" t="str">
        <f>"9781442245426"</f>
        <v>9781442245426</v>
      </c>
      <c r="G133" t="str">
        <f>"9781442245419"</f>
        <v>9781442245419</v>
      </c>
      <c r="H133" t="s">
        <v>425</v>
      </c>
      <c r="I133">
        <v>327.10000000000002</v>
      </c>
      <c r="J133" t="s">
        <v>426</v>
      </c>
      <c r="K133" t="s">
        <v>44</v>
      </c>
      <c r="N133" t="s">
        <v>45</v>
      </c>
      <c r="O133" t="s">
        <v>46</v>
      </c>
      <c r="P133" t="s">
        <v>45</v>
      </c>
      <c r="Q133" t="s">
        <v>47</v>
      </c>
      <c r="R133" t="s">
        <v>44</v>
      </c>
      <c r="S133">
        <v>0</v>
      </c>
      <c r="W133" s="3">
        <v>4.5000000000000005E-2</v>
      </c>
      <c r="X133" t="s">
        <v>447</v>
      </c>
      <c r="Y133">
        <v>24</v>
      </c>
      <c r="Z133">
        <v>0</v>
      </c>
      <c r="AA133" t="s">
        <v>49</v>
      </c>
      <c r="AB133">
        <v>0</v>
      </c>
      <c r="AC133" t="s">
        <v>49</v>
      </c>
      <c r="AD133">
        <v>0</v>
      </c>
      <c r="AE133">
        <v>11125147</v>
      </c>
      <c r="AF133" t="s">
        <v>50</v>
      </c>
      <c r="AG133" t="s">
        <v>318</v>
      </c>
    </row>
    <row r="134" spans="1:33" x14ac:dyDescent="0.35">
      <c r="A134" s="1">
        <v>44908.940972222219</v>
      </c>
      <c r="B134">
        <v>307917</v>
      </c>
      <c r="C134" t="s">
        <v>448</v>
      </c>
      <c r="D134" t="s">
        <v>449</v>
      </c>
      <c r="E134" s="2">
        <v>39017</v>
      </c>
      <c r="F134" t="str">
        <f>"9780312376130"</f>
        <v>9780312376130</v>
      </c>
      <c r="G134" t="str">
        <f>"9781403971920"</f>
        <v>9781403971920</v>
      </c>
      <c r="H134" t="s">
        <v>450</v>
      </c>
      <c r="I134">
        <v>616.85225000000003</v>
      </c>
      <c r="J134" t="s">
        <v>451</v>
      </c>
      <c r="K134" t="s">
        <v>44</v>
      </c>
      <c r="N134" t="s">
        <v>45</v>
      </c>
      <c r="O134" t="s">
        <v>46</v>
      </c>
      <c r="P134" t="s">
        <v>45</v>
      </c>
      <c r="Q134" t="s">
        <v>47</v>
      </c>
      <c r="R134" t="s">
        <v>44</v>
      </c>
      <c r="S134">
        <v>0</v>
      </c>
      <c r="W134" s="3">
        <v>9.2592592592592588E-5</v>
      </c>
      <c r="X134" t="s">
        <v>205</v>
      </c>
      <c r="Y134">
        <v>2</v>
      </c>
      <c r="Z134">
        <v>0</v>
      </c>
      <c r="AA134" t="s">
        <v>49</v>
      </c>
      <c r="AB134">
        <v>0</v>
      </c>
      <c r="AC134" t="s">
        <v>49</v>
      </c>
      <c r="AD134">
        <v>0</v>
      </c>
      <c r="AE134">
        <v>10156441</v>
      </c>
      <c r="AF134" t="s">
        <v>50</v>
      </c>
      <c r="AG134" t="s">
        <v>318</v>
      </c>
    </row>
    <row r="135" spans="1:33" x14ac:dyDescent="0.35">
      <c r="A135" s="1">
        <v>44908.886111111111</v>
      </c>
      <c r="B135">
        <v>307917</v>
      </c>
      <c r="C135" t="s">
        <v>448</v>
      </c>
      <c r="D135" t="s">
        <v>449</v>
      </c>
      <c r="E135" s="2">
        <v>39017</v>
      </c>
      <c r="F135" t="str">
        <f>"9780312376130"</f>
        <v>9780312376130</v>
      </c>
      <c r="G135" t="str">
        <f>"9781403971920"</f>
        <v>9781403971920</v>
      </c>
      <c r="H135" t="s">
        <v>450</v>
      </c>
      <c r="I135">
        <v>616.85225000000003</v>
      </c>
      <c r="J135" t="s">
        <v>451</v>
      </c>
      <c r="K135" t="s">
        <v>44</v>
      </c>
      <c r="N135" t="s">
        <v>45</v>
      </c>
      <c r="O135" t="s">
        <v>46</v>
      </c>
      <c r="P135" t="s">
        <v>45</v>
      </c>
      <c r="Q135" t="s">
        <v>47</v>
      </c>
      <c r="R135" t="s">
        <v>44</v>
      </c>
      <c r="S135">
        <v>0</v>
      </c>
      <c r="W135" s="3">
        <v>2.2280092592592591E-2</v>
      </c>
      <c r="X135" t="s">
        <v>452</v>
      </c>
      <c r="Y135">
        <v>9</v>
      </c>
      <c r="Z135">
        <v>0</v>
      </c>
      <c r="AA135" t="s">
        <v>49</v>
      </c>
      <c r="AB135">
        <v>0</v>
      </c>
      <c r="AC135" t="s">
        <v>49</v>
      </c>
      <c r="AD135">
        <v>0</v>
      </c>
      <c r="AE135">
        <v>10156441</v>
      </c>
      <c r="AF135" t="s">
        <v>50</v>
      </c>
      <c r="AG135" t="s">
        <v>318</v>
      </c>
    </row>
    <row r="136" spans="1:33" x14ac:dyDescent="0.35">
      <c r="A136" s="1">
        <v>44908.845833333333</v>
      </c>
      <c r="B136">
        <v>6414081</v>
      </c>
      <c r="C136" t="s">
        <v>453</v>
      </c>
      <c r="D136" t="s">
        <v>105</v>
      </c>
      <c r="E136" s="2">
        <v>44162</v>
      </c>
      <c r="F136" t="str">
        <f>"9783030649845"</f>
        <v>9783030649845</v>
      </c>
      <c r="G136" t="str">
        <f>"9783030649838"</f>
        <v>9783030649838</v>
      </c>
      <c r="H136" t="s">
        <v>454</v>
      </c>
      <c r="I136">
        <v>6.3</v>
      </c>
      <c r="J136" t="s">
        <v>455</v>
      </c>
      <c r="K136" t="s">
        <v>55</v>
      </c>
      <c r="Q136" t="s">
        <v>47</v>
      </c>
      <c r="R136" t="s">
        <v>44</v>
      </c>
      <c r="S136">
        <v>0</v>
      </c>
      <c r="W136" s="3">
        <v>2.2685185185185182E-3</v>
      </c>
      <c r="X136" t="s">
        <v>456</v>
      </c>
      <c r="Y136">
        <v>6</v>
      </c>
      <c r="Z136">
        <v>0</v>
      </c>
      <c r="AA136" t="s">
        <v>49</v>
      </c>
      <c r="AB136">
        <v>0</v>
      </c>
      <c r="AC136" t="s">
        <v>49</v>
      </c>
      <c r="AD136">
        <v>0</v>
      </c>
      <c r="AE136">
        <v>-1</v>
      </c>
      <c r="AF136" t="s">
        <v>50</v>
      </c>
      <c r="AG136" t="s">
        <v>197</v>
      </c>
    </row>
    <row r="137" spans="1:33" x14ac:dyDescent="0.35">
      <c r="A137" s="1">
        <v>44908.77847222222</v>
      </c>
      <c r="B137">
        <v>1876331</v>
      </c>
      <c r="C137" t="s">
        <v>418</v>
      </c>
      <c r="D137" t="s">
        <v>53</v>
      </c>
      <c r="E137" s="2">
        <v>42092</v>
      </c>
      <c r="F137" t="str">
        <f>"9781400866427"</f>
        <v>9781400866427</v>
      </c>
      <c r="G137" t="str">
        <f>"9780691164823"</f>
        <v>9780691164823</v>
      </c>
      <c r="H137" t="s">
        <v>419</v>
      </c>
      <c r="I137" t="s">
        <v>420</v>
      </c>
      <c r="J137" t="s">
        <v>421</v>
      </c>
      <c r="K137" t="s">
        <v>44</v>
      </c>
      <c r="N137" t="s">
        <v>45</v>
      </c>
      <c r="O137" t="s">
        <v>46</v>
      </c>
      <c r="P137" t="s">
        <v>45</v>
      </c>
      <c r="Q137" t="s">
        <v>47</v>
      </c>
      <c r="R137" t="s">
        <v>44</v>
      </c>
      <c r="S137">
        <v>0</v>
      </c>
      <c r="W137" s="3">
        <v>5.5324074074074069E-3</v>
      </c>
      <c r="X137" t="s">
        <v>457</v>
      </c>
      <c r="Y137">
        <v>6</v>
      </c>
      <c r="Z137">
        <v>0</v>
      </c>
      <c r="AA137" t="s">
        <v>49</v>
      </c>
      <c r="AB137">
        <v>0</v>
      </c>
      <c r="AC137" t="s">
        <v>49</v>
      </c>
      <c r="AD137">
        <v>0</v>
      </c>
      <c r="AE137">
        <v>11028404</v>
      </c>
      <c r="AF137" t="s">
        <v>50</v>
      </c>
      <c r="AG137" t="s">
        <v>318</v>
      </c>
    </row>
    <row r="138" spans="1:33" x14ac:dyDescent="0.35">
      <c r="A138" s="1">
        <v>44908.77847222222</v>
      </c>
      <c r="B138">
        <v>2025588</v>
      </c>
      <c r="C138" t="s">
        <v>442</v>
      </c>
      <c r="D138" t="s">
        <v>443</v>
      </c>
      <c r="E138" s="2">
        <v>42248</v>
      </c>
      <c r="F138" t="str">
        <f>"9780520962491"</f>
        <v>9780520962491</v>
      </c>
      <c r="G138" t="str">
        <f>"9780520287310"</f>
        <v>9780520287310</v>
      </c>
      <c r="H138" t="s">
        <v>162</v>
      </c>
      <c r="I138" t="s">
        <v>444</v>
      </c>
      <c r="J138" t="s">
        <v>445</v>
      </c>
      <c r="K138" t="s">
        <v>44</v>
      </c>
      <c r="N138" t="s">
        <v>45</v>
      </c>
      <c r="O138" t="s">
        <v>46</v>
      </c>
      <c r="P138" t="s">
        <v>177</v>
      </c>
      <c r="Q138" t="s">
        <v>47</v>
      </c>
      <c r="R138" t="s">
        <v>55</v>
      </c>
      <c r="S138">
        <v>0</v>
      </c>
      <c r="W138" s="3">
        <v>3.4722222222222222E-5</v>
      </c>
      <c r="X138" t="s">
        <v>121</v>
      </c>
      <c r="Y138">
        <v>1</v>
      </c>
      <c r="Z138">
        <v>0</v>
      </c>
      <c r="AA138" t="s">
        <v>49</v>
      </c>
      <c r="AB138">
        <v>0</v>
      </c>
      <c r="AC138" t="s">
        <v>49</v>
      </c>
      <c r="AD138">
        <v>0</v>
      </c>
      <c r="AE138">
        <v>11085800</v>
      </c>
      <c r="AF138" t="s">
        <v>50</v>
      </c>
      <c r="AG138" t="s">
        <v>318</v>
      </c>
    </row>
    <row r="139" spans="1:33" x14ac:dyDescent="0.35">
      <c r="A139" s="1">
        <v>44908.777777777781</v>
      </c>
      <c r="B139">
        <v>4085954</v>
      </c>
      <c r="C139" t="s">
        <v>423</v>
      </c>
      <c r="D139" t="s">
        <v>424</v>
      </c>
      <c r="E139" s="2">
        <v>42186</v>
      </c>
      <c r="F139" t="str">
        <f>"9781442245426"</f>
        <v>9781442245426</v>
      </c>
      <c r="G139" t="str">
        <f>"9781442245419"</f>
        <v>9781442245419</v>
      </c>
      <c r="H139" t="s">
        <v>425</v>
      </c>
      <c r="I139">
        <v>327.10000000000002</v>
      </c>
      <c r="J139" t="s">
        <v>426</v>
      </c>
      <c r="K139" t="s">
        <v>44</v>
      </c>
      <c r="N139" t="s">
        <v>45</v>
      </c>
      <c r="O139" t="s">
        <v>46</v>
      </c>
      <c r="P139" t="s">
        <v>45</v>
      </c>
      <c r="Q139" t="s">
        <v>47</v>
      </c>
      <c r="R139" t="s">
        <v>44</v>
      </c>
      <c r="S139">
        <v>0</v>
      </c>
      <c r="W139" s="3">
        <v>3.4722222222222222E-5</v>
      </c>
      <c r="X139" t="s">
        <v>121</v>
      </c>
      <c r="Y139">
        <v>1</v>
      </c>
      <c r="Z139">
        <v>0</v>
      </c>
      <c r="AA139" t="s">
        <v>49</v>
      </c>
      <c r="AB139">
        <v>0</v>
      </c>
      <c r="AC139" t="s">
        <v>49</v>
      </c>
      <c r="AD139">
        <v>0</v>
      </c>
      <c r="AE139">
        <v>11125147</v>
      </c>
      <c r="AF139" t="s">
        <v>50</v>
      </c>
      <c r="AG139" t="s">
        <v>318</v>
      </c>
    </row>
    <row r="140" spans="1:33" x14ac:dyDescent="0.35">
      <c r="A140" s="1">
        <v>44908.775694444441</v>
      </c>
      <c r="B140">
        <v>307917</v>
      </c>
      <c r="C140" t="s">
        <v>448</v>
      </c>
      <c r="D140" t="s">
        <v>449</v>
      </c>
      <c r="E140" s="2">
        <v>39017</v>
      </c>
      <c r="F140" t="str">
        <f>"9780312376130"</f>
        <v>9780312376130</v>
      </c>
      <c r="G140" t="str">
        <f>"9781403971920"</f>
        <v>9781403971920</v>
      </c>
      <c r="H140" t="s">
        <v>450</v>
      </c>
      <c r="I140">
        <v>616.85225000000003</v>
      </c>
      <c r="J140" t="s">
        <v>451</v>
      </c>
      <c r="K140" t="s">
        <v>44</v>
      </c>
      <c r="N140" t="s">
        <v>45</v>
      </c>
      <c r="O140" t="s">
        <v>46</v>
      </c>
      <c r="P140" t="s">
        <v>45</v>
      </c>
      <c r="Q140" t="s">
        <v>47</v>
      </c>
      <c r="R140" t="s">
        <v>44</v>
      </c>
      <c r="S140">
        <v>0</v>
      </c>
      <c r="W140" s="3">
        <v>6.1111111111111114E-3</v>
      </c>
      <c r="X140" t="s">
        <v>458</v>
      </c>
      <c r="Y140">
        <v>8</v>
      </c>
      <c r="Z140">
        <v>0</v>
      </c>
      <c r="AA140" t="s">
        <v>49</v>
      </c>
      <c r="AB140">
        <v>0</v>
      </c>
      <c r="AC140" t="s">
        <v>49</v>
      </c>
      <c r="AD140">
        <v>0</v>
      </c>
      <c r="AE140">
        <v>10156441</v>
      </c>
      <c r="AF140" t="s">
        <v>50</v>
      </c>
      <c r="AG140" t="s">
        <v>318</v>
      </c>
    </row>
    <row r="141" spans="1:33" x14ac:dyDescent="0.35">
      <c r="A141" s="1">
        <v>44908.706944444442</v>
      </c>
      <c r="B141">
        <v>3018174</v>
      </c>
      <c r="C141" t="s">
        <v>459</v>
      </c>
      <c r="D141" t="s">
        <v>137</v>
      </c>
      <c r="E141" s="2">
        <v>40360</v>
      </c>
      <c r="F141" t="str">
        <f>"9781611226324"</f>
        <v>9781611226324</v>
      </c>
      <c r="G141" t="str">
        <f>"9781608762729"</f>
        <v>9781608762729</v>
      </c>
      <c r="H141" t="s">
        <v>460</v>
      </c>
      <c r="I141" t="s">
        <v>461</v>
      </c>
      <c r="J141" t="s">
        <v>462</v>
      </c>
      <c r="K141" t="s">
        <v>44</v>
      </c>
      <c r="N141" t="s">
        <v>45</v>
      </c>
      <c r="O141" t="s">
        <v>46</v>
      </c>
      <c r="P141" t="s">
        <v>177</v>
      </c>
      <c r="Q141" t="s">
        <v>47</v>
      </c>
      <c r="R141" t="s">
        <v>55</v>
      </c>
      <c r="S141">
        <v>0</v>
      </c>
      <c r="W141" s="3">
        <v>3.2870370370370367E-3</v>
      </c>
      <c r="X141" t="s">
        <v>463</v>
      </c>
      <c r="Y141">
        <v>45</v>
      </c>
      <c r="Z141">
        <v>0</v>
      </c>
      <c r="AA141" t="s">
        <v>49</v>
      </c>
      <c r="AB141">
        <v>0</v>
      </c>
      <c r="AC141" t="s">
        <v>49</v>
      </c>
      <c r="AD141">
        <v>0</v>
      </c>
      <c r="AE141">
        <v>10659096</v>
      </c>
      <c r="AF141" t="s">
        <v>50</v>
      </c>
      <c r="AG141" t="s">
        <v>57</v>
      </c>
    </row>
    <row r="142" spans="1:33" x14ac:dyDescent="0.35">
      <c r="A142" s="1">
        <v>44908.624305555553</v>
      </c>
      <c r="B142">
        <v>1186025</v>
      </c>
      <c r="C142" t="s">
        <v>464</v>
      </c>
      <c r="D142" t="s">
        <v>465</v>
      </c>
      <c r="E142" s="2">
        <v>39517</v>
      </c>
      <c r="F142" t="str">
        <f>"9781847558237"</f>
        <v>9781847558237</v>
      </c>
      <c r="G142" t="str">
        <f>"9780854042319"</f>
        <v>9780854042319</v>
      </c>
      <c r="H142" t="s">
        <v>466</v>
      </c>
      <c r="I142">
        <v>543.59</v>
      </c>
      <c r="J142" t="s">
        <v>467</v>
      </c>
      <c r="K142" t="s">
        <v>44</v>
      </c>
      <c r="N142" t="s">
        <v>45</v>
      </c>
      <c r="O142" t="s">
        <v>46</v>
      </c>
      <c r="P142" t="s">
        <v>45</v>
      </c>
      <c r="Q142" t="s">
        <v>47</v>
      </c>
      <c r="R142" t="s">
        <v>44</v>
      </c>
      <c r="S142">
        <v>0</v>
      </c>
      <c r="W142" s="3">
        <v>4.2013888888888891E-3</v>
      </c>
      <c r="X142" t="s">
        <v>468</v>
      </c>
      <c r="Y142">
        <v>51</v>
      </c>
      <c r="Z142">
        <v>0</v>
      </c>
      <c r="AA142" t="s">
        <v>49</v>
      </c>
      <c r="AB142">
        <v>0</v>
      </c>
      <c r="AC142" t="s">
        <v>49</v>
      </c>
      <c r="AD142">
        <v>0</v>
      </c>
      <c r="AE142">
        <v>10618798</v>
      </c>
      <c r="AF142" t="s">
        <v>50</v>
      </c>
      <c r="AG142" t="s">
        <v>318</v>
      </c>
    </row>
    <row r="143" spans="1:33" x14ac:dyDescent="0.35">
      <c r="A143" s="1">
        <v>44908.621527777781</v>
      </c>
      <c r="B143">
        <v>1782473</v>
      </c>
      <c r="C143" t="s">
        <v>469</v>
      </c>
      <c r="D143" t="s">
        <v>76</v>
      </c>
      <c r="E143" s="2">
        <v>41486</v>
      </c>
      <c r="F143" t="str">
        <f>"9781317546399"</f>
        <v>9781317546399</v>
      </c>
      <c r="G143" t="str">
        <f>"9781844652242"</f>
        <v>9781844652242</v>
      </c>
      <c r="H143" t="s">
        <v>162</v>
      </c>
      <c r="I143">
        <v>210.904</v>
      </c>
      <c r="J143" t="s">
        <v>470</v>
      </c>
      <c r="K143" t="s">
        <v>44</v>
      </c>
      <c r="N143" t="s">
        <v>45</v>
      </c>
      <c r="O143" t="s">
        <v>46</v>
      </c>
      <c r="P143" t="s">
        <v>45</v>
      </c>
      <c r="Q143" t="s">
        <v>47</v>
      </c>
      <c r="R143" t="s">
        <v>44</v>
      </c>
      <c r="S143">
        <v>0</v>
      </c>
      <c r="W143" s="3">
        <v>0</v>
      </c>
      <c r="X143" t="s">
        <v>49</v>
      </c>
      <c r="Y143">
        <v>0</v>
      </c>
      <c r="Z143">
        <v>7</v>
      </c>
      <c r="AA143" t="s">
        <v>471</v>
      </c>
      <c r="AB143">
        <v>92</v>
      </c>
      <c r="AC143" t="s">
        <v>49</v>
      </c>
      <c r="AD143">
        <v>0</v>
      </c>
      <c r="AE143">
        <v>10553878</v>
      </c>
      <c r="AF143" t="s">
        <v>50</v>
      </c>
      <c r="AG143" t="s">
        <v>57</v>
      </c>
    </row>
    <row r="144" spans="1:33" x14ac:dyDescent="0.35">
      <c r="A144" s="1">
        <v>44908.615972222222</v>
      </c>
      <c r="B144">
        <v>4825527</v>
      </c>
      <c r="C144" t="s">
        <v>472</v>
      </c>
      <c r="D144" t="s">
        <v>473</v>
      </c>
      <c r="E144" s="2">
        <v>42817</v>
      </c>
      <c r="F144" t="str">
        <f>"9789004323131"</f>
        <v>9789004323131</v>
      </c>
      <c r="G144" t="str">
        <f>"9789004341463"</f>
        <v>9789004341463</v>
      </c>
      <c r="H144" t="s">
        <v>474</v>
      </c>
      <c r="I144">
        <v>180</v>
      </c>
      <c r="J144" t="s">
        <v>475</v>
      </c>
      <c r="K144" t="s">
        <v>44</v>
      </c>
      <c r="N144" t="s">
        <v>45</v>
      </c>
      <c r="O144" t="s">
        <v>46</v>
      </c>
      <c r="P144" t="s">
        <v>45</v>
      </c>
      <c r="Q144" t="s">
        <v>47</v>
      </c>
      <c r="R144" t="s">
        <v>44</v>
      </c>
      <c r="S144">
        <v>0</v>
      </c>
      <c r="W144" s="3">
        <v>0</v>
      </c>
      <c r="X144" t="s">
        <v>49</v>
      </c>
      <c r="Y144">
        <v>0</v>
      </c>
      <c r="Z144">
        <v>4</v>
      </c>
      <c r="AA144" t="s">
        <v>476</v>
      </c>
      <c r="AB144">
        <v>112</v>
      </c>
      <c r="AC144" t="s">
        <v>49</v>
      </c>
      <c r="AD144">
        <v>0</v>
      </c>
      <c r="AE144">
        <v>11363731</v>
      </c>
      <c r="AF144" t="s">
        <v>50</v>
      </c>
      <c r="AG144" t="s">
        <v>57</v>
      </c>
    </row>
    <row r="145" spans="1:33" x14ac:dyDescent="0.35">
      <c r="A145" s="1">
        <v>44908.61041666667</v>
      </c>
      <c r="B145">
        <v>1783339</v>
      </c>
      <c r="C145" t="s">
        <v>477</v>
      </c>
      <c r="D145" t="s">
        <v>76</v>
      </c>
      <c r="E145" s="2">
        <v>41486</v>
      </c>
      <c r="F145" t="str">
        <f>"9781317546511"</f>
        <v>9781317546511</v>
      </c>
      <c r="G145" t="str">
        <f>"9781844652204"</f>
        <v>9781844652204</v>
      </c>
      <c r="H145" t="s">
        <v>162</v>
      </c>
      <c r="I145">
        <v>210</v>
      </c>
      <c r="J145" t="s">
        <v>163</v>
      </c>
      <c r="K145" t="s">
        <v>44</v>
      </c>
      <c r="N145" t="s">
        <v>45</v>
      </c>
      <c r="O145" t="s">
        <v>46</v>
      </c>
      <c r="P145" t="s">
        <v>45</v>
      </c>
      <c r="Q145" t="s">
        <v>47</v>
      </c>
      <c r="R145" t="s">
        <v>44</v>
      </c>
      <c r="S145">
        <v>0</v>
      </c>
      <c r="W145" s="3">
        <v>0</v>
      </c>
      <c r="X145" t="s">
        <v>49</v>
      </c>
      <c r="Y145">
        <v>0</v>
      </c>
      <c r="Z145">
        <v>6</v>
      </c>
      <c r="AA145" t="s">
        <v>478</v>
      </c>
      <c r="AB145">
        <v>78</v>
      </c>
      <c r="AC145" t="s">
        <v>49</v>
      </c>
      <c r="AD145">
        <v>0</v>
      </c>
      <c r="AE145">
        <v>10553877</v>
      </c>
      <c r="AF145" t="s">
        <v>50</v>
      </c>
      <c r="AG145" t="s">
        <v>57</v>
      </c>
    </row>
    <row r="146" spans="1:33" x14ac:dyDescent="0.35">
      <c r="A146" s="1">
        <v>44908.57916666667</v>
      </c>
      <c r="B146">
        <v>5896257</v>
      </c>
      <c r="C146" t="s">
        <v>479</v>
      </c>
      <c r="D146" t="s">
        <v>59</v>
      </c>
      <c r="E146" s="2">
        <v>44167</v>
      </c>
      <c r="F146" t="str">
        <f>"9781119551737"</f>
        <v>9781119551737</v>
      </c>
      <c r="G146" t="str">
        <f>"9781119551720"</f>
        <v>9781119551720</v>
      </c>
      <c r="H146" t="s">
        <v>261</v>
      </c>
      <c r="I146">
        <v>628.51</v>
      </c>
      <c r="J146" t="s">
        <v>480</v>
      </c>
      <c r="K146" t="s">
        <v>55</v>
      </c>
      <c r="N146" t="s">
        <v>45</v>
      </c>
      <c r="O146" t="s">
        <v>46</v>
      </c>
      <c r="P146" t="s">
        <v>45</v>
      </c>
      <c r="Q146" t="s">
        <v>47</v>
      </c>
      <c r="R146" t="s">
        <v>44</v>
      </c>
      <c r="S146">
        <v>0</v>
      </c>
      <c r="W146" s="3">
        <v>1.0648148148148147E-3</v>
      </c>
      <c r="X146" t="s">
        <v>481</v>
      </c>
      <c r="Y146">
        <v>14</v>
      </c>
      <c r="Z146">
        <v>0</v>
      </c>
      <c r="AA146" t="s">
        <v>49</v>
      </c>
      <c r="AB146">
        <v>0</v>
      </c>
      <c r="AC146" t="s">
        <v>49</v>
      </c>
      <c r="AD146">
        <v>0</v>
      </c>
      <c r="AE146">
        <v>-1</v>
      </c>
      <c r="AF146" t="s">
        <v>50</v>
      </c>
      <c r="AG146" t="s">
        <v>411</v>
      </c>
    </row>
    <row r="147" spans="1:33" x14ac:dyDescent="0.35">
      <c r="A147" s="1">
        <v>44908.468055555553</v>
      </c>
      <c r="B147">
        <v>6369320</v>
      </c>
      <c r="C147" t="s">
        <v>482</v>
      </c>
      <c r="D147" t="s">
        <v>76</v>
      </c>
      <c r="E147" s="2">
        <v>44110</v>
      </c>
      <c r="F147" t="str">
        <f>"9781000191806"</f>
        <v>9781000191806</v>
      </c>
      <c r="G147" t="str">
        <f>"9780367247461"</f>
        <v>9780367247461</v>
      </c>
      <c r="H147" t="s">
        <v>483</v>
      </c>
      <c r="I147">
        <v>720.47</v>
      </c>
      <c r="J147" t="s">
        <v>484</v>
      </c>
      <c r="K147" t="s">
        <v>55</v>
      </c>
      <c r="Q147" t="s">
        <v>47</v>
      </c>
      <c r="R147" t="s">
        <v>44</v>
      </c>
      <c r="S147">
        <v>0</v>
      </c>
      <c r="W147" s="3">
        <v>1.3888888888888889E-3</v>
      </c>
      <c r="X147" t="s">
        <v>485</v>
      </c>
      <c r="Y147">
        <v>18</v>
      </c>
      <c r="Z147">
        <v>0</v>
      </c>
      <c r="AA147" t="s">
        <v>49</v>
      </c>
      <c r="AB147">
        <v>0</v>
      </c>
      <c r="AC147" t="s">
        <v>49</v>
      </c>
      <c r="AD147">
        <v>0</v>
      </c>
      <c r="AE147">
        <v>-1</v>
      </c>
      <c r="AF147" t="s">
        <v>63</v>
      </c>
      <c r="AG147" t="s">
        <v>411</v>
      </c>
    </row>
    <row r="148" spans="1:33" x14ac:dyDescent="0.35">
      <c r="A148" s="1">
        <v>44908.460416666669</v>
      </c>
      <c r="B148">
        <v>6109828</v>
      </c>
      <c r="C148" t="s">
        <v>486</v>
      </c>
      <c r="D148" t="s">
        <v>105</v>
      </c>
      <c r="E148" s="2">
        <v>43868</v>
      </c>
      <c r="F148" t="str">
        <f>"9783030331283"</f>
        <v>9783030331283</v>
      </c>
      <c r="G148" t="str">
        <f>"9783030331276"</f>
        <v>9783030331276</v>
      </c>
      <c r="H148" t="s">
        <v>487</v>
      </c>
      <c r="I148">
        <v>610.28562999999895</v>
      </c>
      <c r="J148" t="s">
        <v>488</v>
      </c>
      <c r="K148" t="s">
        <v>55</v>
      </c>
      <c r="Q148" t="s">
        <v>47</v>
      </c>
      <c r="R148" t="s">
        <v>44</v>
      </c>
      <c r="S148">
        <v>0</v>
      </c>
      <c r="W148" s="3">
        <v>9.8379629629629642E-4</v>
      </c>
      <c r="X148" t="s">
        <v>489</v>
      </c>
      <c r="Y148">
        <v>15</v>
      </c>
      <c r="Z148">
        <v>0</v>
      </c>
      <c r="AA148" t="s">
        <v>49</v>
      </c>
      <c r="AB148">
        <v>0</v>
      </c>
      <c r="AC148" t="s">
        <v>49</v>
      </c>
      <c r="AD148">
        <v>0</v>
      </c>
      <c r="AE148">
        <v>-1</v>
      </c>
      <c r="AF148" t="s">
        <v>50</v>
      </c>
      <c r="AG148" t="s">
        <v>57</v>
      </c>
    </row>
    <row r="149" spans="1:33" x14ac:dyDescent="0.35">
      <c r="A149" s="1">
        <v>44907.831250000003</v>
      </c>
      <c r="B149">
        <v>481118</v>
      </c>
      <c r="C149" t="s">
        <v>490</v>
      </c>
      <c r="D149" t="s">
        <v>76</v>
      </c>
      <c r="E149" s="2">
        <v>40217</v>
      </c>
      <c r="F149" t="str">
        <f>"9780203865019"</f>
        <v>9780203865019</v>
      </c>
      <c r="G149" t="str">
        <f>"9780415777742"</f>
        <v>9780415777742</v>
      </c>
      <c r="H149" t="s">
        <v>337</v>
      </c>
      <c r="I149">
        <v>327.5</v>
      </c>
      <c r="J149" t="s">
        <v>491</v>
      </c>
      <c r="K149" t="s">
        <v>44</v>
      </c>
      <c r="N149" t="s">
        <v>45</v>
      </c>
      <c r="O149" t="s">
        <v>46</v>
      </c>
      <c r="P149" t="s">
        <v>45</v>
      </c>
      <c r="Q149" t="s">
        <v>47</v>
      </c>
      <c r="R149" t="s">
        <v>44</v>
      </c>
      <c r="S149">
        <v>0</v>
      </c>
      <c r="W149" s="3">
        <v>5.9027777777777778E-4</v>
      </c>
      <c r="X149" t="s">
        <v>492</v>
      </c>
      <c r="Y149">
        <v>7</v>
      </c>
      <c r="Z149">
        <v>0</v>
      </c>
      <c r="AA149" t="s">
        <v>49</v>
      </c>
      <c r="AB149">
        <v>0</v>
      </c>
      <c r="AC149" t="s">
        <v>49</v>
      </c>
      <c r="AD149">
        <v>0</v>
      </c>
      <c r="AE149">
        <v>10361780</v>
      </c>
      <c r="AF149" t="s">
        <v>50</v>
      </c>
      <c r="AG149" t="s">
        <v>493</v>
      </c>
    </row>
    <row r="150" spans="1:33" x14ac:dyDescent="0.35">
      <c r="A150" s="1">
        <v>44907.803472222222</v>
      </c>
      <c r="B150">
        <v>1084832</v>
      </c>
      <c r="C150" t="s">
        <v>494</v>
      </c>
      <c r="D150" t="s">
        <v>53</v>
      </c>
      <c r="E150" s="2">
        <v>41329</v>
      </c>
      <c r="F150" t="str">
        <f>"9781400846146"</f>
        <v>9781400846146</v>
      </c>
      <c r="G150" t="str">
        <f>"9780691158044"</f>
        <v>9780691158044</v>
      </c>
      <c r="H150" t="s">
        <v>419</v>
      </c>
      <c r="I150">
        <v>320.96199999999999</v>
      </c>
      <c r="J150" t="s">
        <v>495</v>
      </c>
      <c r="K150" t="s">
        <v>44</v>
      </c>
      <c r="N150" t="s">
        <v>45</v>
      </c>
      <c r="O150" t="s">
        <v>46</v>
      </c>
      <c r="P150" t="s">
        <v>45</v>
      </c>
      <c r="Q150" t="s">
        <v>47</v>
      </c>
      <c r="R150" t="s">
        <v>44</v>
      </c>
      <c r="S150">
        <v>0</v>
      </c>
      <c r="W150" s="3">
        <v>1.2847222222222223E-3</v>
      </c>
      <c r="X150" t="s">
        <v>205</v>
      </c>
      <c r="Y150">
        <v>2</v>
      </c>
      <c r="Z150">
        <v>0</v>
      </c>
      <c r="AA150" t="s">
        <v>49</v>
      </c>
      <c r="AB150">
        <v>0</v>
      </c>
      <c r="AC150" t="s">
        <v>49</v>
      </c>
      <c r="AD150">
        <v>0</v>
      </c>
      <c r="AE150">
        <v>10645129</v>
      </c>
      <c r="AF150" t="s">
        <v>50</v>
      </c>
      <c r="AG150" t="s">
        <v>57</v>
      </c>
    </row>
    <row r="151" spans="1:33" x14ac:dyDescent="0.35">
      <c r="A151" s="1">
        <v>44907.731249999997</v>
      </c>
      <c r="B151">
        <v>1749111</v>
      </c>
      <c r="C151" t="s">
        <v>496</v>
      </c>
      <c r="D151" t="s">
        <v>497</v>
      </c>
      <c r="E151" s="2">
        <v>39531</v>
      </c>
      <c r="F151" t="str">
        <f>"9781441122094"</f>
        <v>9781441122094</v>
      </c>
      <c r="G151" t="str">
        <f>"9780826498915"</f>
        <v>9780826498915</v>
      </c>
      <c r="H151" t="s">
        <v>498</v>
      </c>
      <c r="I151">
        <v>194</v>
      </c>
      <c r="J151" t="s">
        <v>499</v>
      </c>
      <c r="K151" t="s">
        <v>44</v>
      </c>
      <c r="N151" t="s">
        <v>45</v>
      </c>
      <c r="O151" t="s">
        <v>46</v>
      </c>
      <c r="P151" t="s">
        <v>45</v>
      </c>
      <c r="Q151" t="s">
        <v>47</v>
      </c>
      <c r="R151" t="s">
        <v>44</v>
      </c>
      <c r="S151">
        <v>0</v>
      </c>
      <c r="W151" s="3">
        <v>2.3148148148148146E-4</v>
      </c>
      <c r="X151" t="s">
        <v>500</v>
      </c>
      <c r="Y151">
        <v>5</v>
      </c>
      <c r="Z151">
        <v>0</v>
      </c>
      <c r="AA151" t="s">
        <v>49</v>
      </c>
      <c r="AB151">
        <v>0</v>
      </c>
      <c r="AC151" t="s">
        <v>49</v>
      </c>
      <c r="AD151">
        <v>0</v>
      </c>
      <c r="AE151">
        <v>10866834</v>
      </c>
      <c r="AF151" t="s">
        <v>50</v>
      </c>
      <c r="AG151" t="s">
        <v>318</v>
      </c>
    </row>
    <row r="152" spans="1:33" x14ac:dyDescent="0.35">
      <c r="A152" s="1">
        <v>44907.645138888889</v>
      </c>
      <c r="B152">
        <v>288625</v>
      </c>
      <c r="C152" t="s">
        <v>501</v>
      </c>
      <c r="D152" t="s">
        <v>502</v>
      </c>
      <c r="E152" s="2">
        <v>39128</v>
      </c>
      <c r="F152" t="str">
        <f>"9780511273087"</f>
        <v>9780511273087</v>
      </c>
      <c r="G152" t="str">
        <f>"9780521854870"</f>
        <v>9780521854870</v>
      </c>
      <c r="H152" t="s">
        <v>151</v>
      </c>
      <c r="I152" t="s">
        <v>503</v>
      </c>
      <c r="J152" t="s">
        <v>504</v>
      </c>
      <c r="K152" t="s">
        <v>44</v>
      </c>
      <c r="N152" t="s">
        <v>45</v>
      </c>
      <c r="O152" t="s">
        <v>46</v>
      </c>
      <c r="P152" t="s">
        <v>45</v>
      </c>
      <c r="Q152" t="s">
        <v>47</v>
      </c>
      <c r="R152" t="s">
        <v>44</v>
      </c>
      <c r="S152">
        <v>0</v>
      </c>
      <c r="W152" s="3">
        <v>2.3148148148148147E-5</v>
      </c>
      <c r="X152" t="s">
        <v>121</v>
      </c>
      <c r="Y152">
        <v>1</v>
      </c>
      <c r="Z152">
        <v>0</v>
      </c>
      <c r="AA152" t="s">
        <v>49</v>
      </c>
      <c r="AB152">
        <v>0</v>
      </c>
      <c r="AC152" t="s">
        <v>49</v>
      </c>
      <c r="AD152">
        <v>0</v>
      </c>
      <c r="AE152">
        <v>10167707</v>
      </c>
      <c r="AF152" t="s">
        <v>50</v>
      </c>
      <c r="AG152" t="s">
        <v>505</v>
      </c>
    </row>
    <row r="153" spans="1:33" x14ac:dyDescent="0.35">
      <c r="A153" s="1">
        <v>44907.451388888891</v>
      </c>
      <c r="B153">
        <v>716578</v>
      </c>
      <c r="C153" t="s">
        <v>506</v>
      </c>
      <c r="D153" t="s">
        <v>507</v>
      </c>
      <c r="E153" s="2">
        <v>40679</v>
      </c>
      <c r="F153" t="str">
        <f>"9780748646302"</f>
        <v>9780748646302</v>
      </c>
      <c r="G153" t="str">
        <f>"9780748640577"</f>
        <v>9780748640577</v>
      </c>
      <c r="H153" t="s">
        <v>162</v>
      </c>
      <c r="I153">
        <v>211.822</v>
      </c>
      <c r="J153" t="s">
        <v>508</v>
      </c>
      <c r="K153" t="s">
        <v>44</v>
      </c>
      <c r="N153" t="s">
        <v>45</v>
      </c>
      <c r="O153" t="s">
        <v>46</v>
      </c>
      <c r="P153" t="s">
        <v>45</v>
      </c>
      <c r="Q153" t="s">
        <v>47</v>
      </c>
      <c r="R153" t="s">
        <v>44</v>
      </c>
      <c r="S153">
        <v>0</v>
      </c>
      <c r="W153" s="3">
        <v>3.7037037037037035E-4</v>
      </c>
      <c r="X153" t="s">
        <v>509</v>
      </c>
      <c r="Y153">
        <v>8</v>
      </c>
      <c r="Z153">
        <v>0</v>
      </c>
      <c r="AA153" t="s">
        <v>49</v>
      </c>
      <c r="AB153">
        <v>0</v>
      </c>
      <c r="AC153" t="s">
        <v>49</v>
      </c>
      <c r="AD153">
        <v>0</v>
      </c>
      <c r="AE153">
        <v>10478313</v>
      </c>
      <c r="AF153" t="s">
        <v>50</v>
      </c>
      <c r="AG153" t="s">
        <v>57</v>
      </c>
    </row>
    <row r="154" spans="1:33" x14ac:dyDescent="0.35">
      <c r="A154" s="1">
        <v>44907.408333333333</v>
      </c>
      <c r="B154">
        <v>716578</v>
      </c>
      <c r="C154" t="s">
        <v>506</v>
      </c>
      <c r="D154" t="s">
        <v>507</v>
      </c>
      <c r="E154" s="2">
        <v>40679</v>
      </c>
      <c r="F154" t="str">
        <f>"9780748646302"</f>
        <v>9780748646302</v>
      </c>
      <c r="G154" t="str">
        <f>"9780748640577"</f>
        <v>9780748640577</v>
      </c>
      <c r="H154" t="s">
        <v>162</v>
      </c>
      <c r="I154">
        <v>211.822</v>
      </c>
      <c r="J154" t="s">
        <v>508</v>
      </c>
      <c r="K154" t="s">
        <v>44</v>
      </c>
      <c r="N154" t="s">
        <v>45</v>
      </c>
      <c r="O154" t="s">
        <v>46</v>
      </c>
      <c r="P154" t="s">
        <v>45</v>
      </c>
      <c r="Q154" t="s">
        <v>47</v>
      </c>
      <c r="R154" t="s">
        <v>44</v>
      </c>
      <c r="S154">
        <v>0</v>
      </c>
      <c r="W154" s="3">
        <v>8.449074074074075E-4</v>
      </c>
      <c r="X154" t="s">
        <v>510</v>
      </c>
      <c r="Y154">
        <v>7</v>
      </c>
      <c r="Z154">
        <v>0</v>
      </c>
      <c r="AA154" t="s">
        <v>49</v>
      </c>
      <c r="AB154">
        <v>0</v>
      </c>
      <c r="AC154" t="s">
        <v>49</v>
      </c>
      <c r="AD154">
        <v>0</v>
      </c>
      <c r="AE154">
        <v>10478313</v>
      </c>
      <c r="AF154" t="s">
        <v>50</v>
      </c>
      <c r="AG154" t="s">
        <v>57</v>
      </c>
    </row>
    <row r="155" spans="1:33" x14ac:dyDescent="0.35">
      <c r="A155" s="1">
        <v>44907.354861111111</v>
      </c>
      <c r="B155">
        <v>288625</v>
      </c>
      <c r="C155" t="s">
        <v>501</v>
      </c>
      <c r="D155" t="s">
        <v>502</v>
      </c>
      <c r="E155" s="2">
        <v>39128</v>
      </c>
      <c r="F155" t="str">
        <f>"9780511273087"</f>
        <v>9780511273087</v>
      </c>
      <c r="G155" t="str">
        <f>"9780521854870"</f>
        <v>9780521854870</v>
      </c>
      <c r="H155" t="s">
        <v>151</v>
      </c>
      <c r="I155" t="s">
        <v>503</v>
      </c>
      <c r="J155" t="s">
        <v>504</v>
      </c>
      <c r="K155" t="s">
        <v>44</v>
      </c>
      <c r="N155" t="s">
        <v>45</v>
      </c>
      <c r="O155" t="s">
        <v>46</v>
      </c>
      <c r="P155" t="s">
        <v>45</v>
      </c>
      <c r="Q155" t="s">
        <v>47</v>
      </c>
      <c r="R155" t="s">
        <v>44</v>
      </c>
      <c r="S155">
        <v>0</v>
      </c>
      <c r="W155" s="3">
        <v>2.2106481481481478E-3</v>
      </c>
      <c r="X155" t="s">
        <v>511</v>
      </c>
      <c r="Y155">
        <v>21</v>
      </c>
      <c r="Z155">
        <v>0</v>
      </c>
      <c r="AA155" t="s">
        <v>49</v>
      </c>
      <c r="AB155">
        <v>0</v>
      </c>
      <c r="AC155" t="s">
        <v>49</v>
      </c>
      <c r="AD155">
        <v>0</v>
      </c>
      <c r="AE155">
        <v>10167707</v>
      </c>
      <c r="AF155" t="s">
        <v>50</v>
      </c>
      <c r="AG155" t="s">
        <v>505</v>
      </c>
    </row>
    <row r="156" spans="1:33" x14ac:dyDescent="0.35">
      <c r="A156" s="1">
        <v>44907.352777777778</v>
      </c>
      <c r="B156">
        <v>6792356</v>
      </c>
      <c r="C156" t="s">
        <v>512</v>
      </c>
      <c r="D156" t="s">
        <v>213</v>
      </c>
      <c r="E156" s="2">
        <v>44496</v>
      </c>
      <c r="F156" t="str">
        <f>"9780128209073"</f>
        <v>9780128209073</v>
      </c>
      <c r="G156" t="str">
        <f>"9780128206294"</f>
        <v>9780128206294</v>
      </c>
      <c r="H156" t="s">
        <v>513</v>
      </c>
      <c r="I156">
        <v>620.5</v>
      </c>
      <c r="J156" t="s">
        <v>514</v>
      </c>
      <c r="K156" t="s">
        <v>55</v>
      </c>
      <c r="Q156" t="s">
        <v>47</v>
      </c>
      <c r="R156" t="s">
        <v>44</v>
      </c>
      <c r="S156">
        <v>0</v>
      </c>
      <c r="W156" s="3">
        <v>3.8657407407407408E-3</v>
      </c>
      <c r="X156" t="s">
        <v>515</v>
      </c>
      <c r="Y156">
        <v>9</v>
      </c>
      <c r="Z156">
        <v>0</v>
      </c>
      <c r="AA156" t="s">
        <v>49</v>
      </c>
      <c r="AB156">
        <v>0</v>
      </c>
      <c r="AC156" t="s">
        <v>49</v>
      </c>
      <c r="AD156">
        <v>0</v>
      </c>
      <c r="AE156">
        <v>-1</v>
      </c>
      <c r="AF156" t="s">
        <v>50</v>
      </c>
      <c r="AG156" t="s">
        <v>57</v>
      </c>
    </row>
    <row r="157" spans="1:33" x14ac:dyDescent="0.35">
      <c r="A157" s="1">
        <v>44907.337500000001</v>
      </c>
      <c r="B157">
        <v>288625</v>
      </c>
      <c r="C157" t="s">
        <v>501</v>
      </c>
      <c r="D157" t="s">
        <v>502</v>
      </c>
      <c r="E157" s="2">
        <v>39128</v>
      </c>
      <c r="F157" t="str">
        <f>"9780511273087"</f>
        <v>9780511273087</v>
      </c>
      <c r="G157" t="str">
        <f>"9780521854870"</f>
        <v>9780521854870</v>
      </c>
      <c r="H157" t="s">
        <v>151</v>
      </c>
      <c r="I157" t="s">
        <v>503</v>
      </c>
      <c r="J157" t="s">
        <v>504</v>
      </c>
      <c r="K157" t="s">
        <v>44</v>
      </c>
      <c r="N157" t="s">
        <v>45</v>
      </c>
      <c r="O157" t="s">
        <v>46</v>
      </c>
      <c r="P157" t="s">
        <v>45</v>
      </c>
      <c r="Q157" t="s">
        <v>47</v>
      </c>
      <c r="R157" t="s">
        <v>44</v>
      </c>
      <c r="S157">
        <v>0</v>
      </c>
      <c r="W157" s="3">
        <v>2.7858796296296298E-2</v>
      </c>
      <c r="X157" t="s">
        <v>516</v>
      </c>
      <c r="Y157">
        <v>101</v>
      </c>
      <c r="Z157">
        <v>0</v>
      </c>
      <c r="AA157" t="s">
        <v>49</v>
      </c>
      <c r="AB157">
        <v>0</v>
      </c>
      <c r="AC157" t="s">
        <v>49</v>
      </c>
      <c r="AD157">
        <v>0</v>
      </c>
      <c r="AE157">
        <v>10167707</v>
      </c>
      <c r="AF157" t="s">
        <v>63</v>
      </c>
      <c r="AG157" t="s">
        <v>57</v>
      </c>
    </row>
    <row r="158" spans="1:33" x14ac:dyDescent="0.35">
      <c r="A158" s="1">
        <v>44907.314583333333</v>
      </c>
      <c r="B158">
        <v>764961</v>
      </c>
      <c r="C158" t="s">
        <v>517</v>
      </c>
      <c r="D158" t="s">
        <v>76</v>
      </c>
      <c r="E158" s="2">
        <v>37986</v>
      </c>
      <c r="F158" t="str">
        <f>"9780429917288"</f>
        <v>9780429917288</v>
      </c>
      <c r="G158" t="str">
        <f>"9781855752870"</f>
        <v>9781855752870</v>
      </c>
      <c r="H158" t="s">
        <v>151</v>
      </c>
      <c r="I158" t="s">
        <v>518</v>
      </c>
      <c r="J158" t="s">
        <v>519</v>
      </c>
      <c r="K158" t="s">
        <v>44</v>
      </c>
      <c r="N158" t="s">
        <v>45</v>
      </c>
      <c r="O158" t="s">
        <v>46</v>
      </c>
      <c r="P158" t="s">
        <v>45</v>
      </c>
      <c r="Q158" t="s">
        <v>47</v>
      </c>
      <c r="R158" t="s">
        <v>44</v>
      </c>
      <c r="S158">
        <v>0</v>
      </c>
      <c r="W158" s="3">
        <v>3.8182870370370374E-2</v>
      </c>
      <c r="X158" t="s">
        <v>520</v>
      </c>
      <c r="Y158">
        <v>12</v>
      </c>
      <c r="Z158">
        <v>0</v>
      </c>
      <c r="AA158" t="s">
        <v>49</v>
      </c>
      <c r="AB158">
        <v>0</v>
      </c>
      <c r="AC158" t="s">
        <v>49</v>
      </c>
      <c r="AD158">
        <v>0</v>
      </c>
      <c r="AE158">
        <v>10570955</v>
      </c>
      <c r="AF158" t="s">
        <v>63</v>
      </c>
      <c r="AG158" t="s">
        <v>57</v>
      </c>
    </row>
    <row r="159" spans="1:33" x14ac:dyDescent="0.35">
      <c r="A159" s="1">
        <v>44907.200694444444</v>
      </c>
      <c r="B159">
        <v>6273771</v>
      </c>
      <c r="C159" t="s">
        <v>521</v>
      </c>
      <c r="D159" t="s">
        <v>105</v>
      </c>
      <c r="E159" s="2">
        <v>44037</v>
      </c>
      <c r="F159" t="str">
        <f>"9783030531416"</f>
        <v>9783030531416</v>
      </c>
      <c r="G159" t="str">
        <f>"9783030531409"</f>
        <v>9783030531409</v>
      </c>
      <c r="H159" t="s">
        <v>106</v>
      </c>
      <c r="I159">
        <v>6.31</v>
      </c>
      <c r="J159" t="s">
        <v>107</v>
      </c>
      <c r="K159" t="s">
        <v>55</v>
      </c>
      <c r="Q159" t="s">
        <v>47</v>
      </c>
      <c r="R159" t="s">
        <v>44</v>
      </c>
      <c r="S159">
        <v>0</v>
      </c>
      <c r="W159" s="3">
        <v>3.5879629629629635E-4</v>
      </c>
      <c r="X159" t="s">
        <v>522</v>
      </c>
      <c r="Y159">
        <v>3</v>
      </c>
      <c r="Z159">
        <v>0</v>
      </c>
      <c r="AA159" t="s">
        <v>49</v>
      </c>
      <c r="AB159">
        <v>0</v>
      </c>
      <c r="AC159" t="s">
        <v>49</v>
      </c>
      <c r="AD159">
        <v>0</v>
      </c>
      <c r="AE159">
        <v>-1</v>
      </c>
      <c r="AF159" t="s">
        <v>50</v>
      </c>
      <c r="AG159" t="s">
        <v>523</v>
      </c>
    </row>
    <row r="160" spans="1:33" x14ac:dyDescent="0.35">
      <c r="A160" s="1">
        <v>44907.111111111109</v>
      </c>
      <c r="B160">
        <v>6884709</v>
      </c>
      <c r="C160" t="s">
        <v>524</v>
      </c>
      <c r="D160" t="s">
        <v>76</v>
      </c>
      <c r="E160" s="2">
        <v>44655</v>
      </c>
      <c r="F160" t="str">
        <f>"9781000554526"</f>
        <v>9781000554526</v>
      </c>
      <c r="G160" t="str">
        <f>"9781032060552"</f>
        <v>9781032060552</v>
      </c>
      <c r="H160" t="s">
        <v>525</v>
      </c>
      <c r="I160">
        <v>362.19624140000002</v>
      </c>
      <c r="J160" t="s">
        <v>526</v>
      </c>
      <c r="K160" t="s">
        <v>55</v>
      </c>
      <c r="Q160" t="s">
        <v>47</v>
      </c>
      <c r="R160" t="s">
        <v>44</v>
      </c>
      <c r="S160">
        <v>0</v>
      </c>
      <c r="W160" s="3">
        <v>4.6296296296296294E-5</v>
      </c>
      <c r="X160" t="s">
        <v>527</v>
      </c>
      <c r="Y160">
        <v>1</v>
      </c>
      <c r="Z160">
        <v>0</v>
      </c>
      <c r="AA160" t="s">
        <v>49</v>
      </c>
      <c r="AB160">
        <v>0</v>
      </c>
      <c r="AC160" t="s">
        <v>49</v>
      </c>
      <c r="AD160">
        <v>0</v>
      </c>
      <c r="AE160">
        <v>-1</v>
      </c>
      <c r="AF160" t="s">
        <v>50</v>
      </c>
      <c r="AG160" t="s">
        <v>528</v>
      </c>
    </row>
    <row r="161" spans="1:33" x14ac:dyDescent="0.35">
      <c r="A161" s="1">
        <v>44907.099305555559</v>
      </c>
      <c r="B161">
        <v>6185671</v>
      </c>
      <c r="C161" t="s">
        <v>529</v>
      </c>
      <c r="D161" t="s">
        <v>530</v>
      </c>
      <c r="E161" s="2">
        <v>43921</v>
      </c>
      <c r="F161" t="str">
        <f>"9789814881098"</f>
        <v>9789814881098</v>
      </c>
      <c r="G161" t="str">
        <f>"9789814881081"</f>
        <v>9789814881081</v>
      </c>
      <c r="H161" t="s">
        <v>531</v>
      </c>
      <c r="I161">
        <v>355.03305899999998</v>
      </c>
      <c r="J161" t="s">
        <v>532</v>
      </c>
      <c r="K161" t="s">
        <v>44</v>
      </c>
      <c r="N161" t="s">
        <v>45</v>
      </c>
      <c r="O161" t="s">
        <v>46</v>
      </c>
      <c r="P161" t="s">
        <v>177</v>
      </c>
      <c r="Q161" t="s">
        <v>47</v>
      </c>
      <c r="R161" t="s">
        <v>55</v>
      </c>
      <c r="S161">
        <v>0</v>
      </c>
      <c r="W161" s="3">
        <v>9.5601851851851855E-3</v>
      </c>
      <c r="X161" t="s">
        <v>533</v>
      </c>
      <c r="Y161">
        <v>4</v>
      </c>
      <c r="Z161">
        <v>0</v>
      </c>
      <c r="AA161" t="s">
        <v>49</v>
      </c>
      <c r="AB161">
        <v>0</v>
      </c>
      <c r="AC161" t="s">
        <v>49</v>
      </c>
      <c r="AD161">
        <v>0</v>
      </c>
      <c r="AE161">
        <v>-1</v>
      </c>
      <c r="AF161" t="s">
        <v>50</v>
      </c>
      <c r="AG161" t="s">
        <v>528</v>
      </c>
    </row>
    <row r="162" spans="1:33" x14ac:dyDescent="0.35">
      <c r="A162" s="1">
        <v>44907.066666666666</v>
      </c>
      <c r="B162">
        <v>5990013</v>
      </c>
      <c r="C162" t="s">
        <v>534</v>
      </c>
      <c r="D162" t="s">
        <v>59</v>
      </c>
      <c r="E162" s="2">
        <v>43871</v>
      </c>
      <c r="F162" t="str">
        <f>"9781119480303"</f>
        <v>9781119480303</v>
      </c>
      <c r="G162" t="str">
        <f>"9781119480532"</f>
        <v>9781119480532</v>
      </c>
      <c r="H162" t="s">
        <v>535</v>
      </c>
      <c r="K162" t="s">
        <v>44</v>
      </c>
      <c r="N162" t="s">
        <v>45</v>
      </c>
      <c r="O162" t="s">
        <v>46</v>
      </c>
      <c r="P162" t="s">
        <v>45</v>
      </c>
      <c r="Q162" t="s">
        <v>47</v>
      </c>
      <c r="R162" t="s">
        <v>44</v>
      </c>
      <c r="S162">
        <v>0</v>
      </c>
      <c r="W162" s="3">
        <v>1.5046296296296297E-4</v>
      </c>
      <c r="X162" t="s">
        <v>196</v>
      </c>
      <c r="Y162">
        <v>2</v>
      </c>
      <c r="Z162">
        <v>0</v>
      </c>
      <c r="AA162" t="s">
        <v>49</v>
      </c>
      <c r="AB162">
        <v>0</v>
      </c>
      <c r="AC162" t="s">
        <v>49</v>
      </c>
      <c r="AD162">
        <v>0</v>
      </c>
      <c r="AE162">
        <v>-1</v>
      </c>
      <c r="AF162" t="s">
        <v>63</v>
      </c>
      <c r="AG162" t="s">
        <v>388</v>
      </c>
    </row>
    <row r="163" spans="1:33" x14ac:dyDescent="0.35">
      <c r="A163" s="1">
        <v>44907.06527777778</v>
      </c>
      <c r="B163">
        <v>5721225</v>
      </c>
      <c r="C163" t="s">
        <v>536</v>
      </c>
      <c r="D163" t="s">
        <v>537</v>
      </c>
      <c r="E163" s="2">
        <v>43465</v>
      </c>
      <c r="F163" t="str">
        <f>"9780429858741"</f>
        <v>9780429858741</v>
      </c>
      <c r="G163" t="str">
        <f>"9789814800136"</f>
        <v>9789814800136</v>
      </c>
      <c r="H163" t="s">
        <v>538</v>
      </c>
      <c r="I163">
        <v>621.47</v>
      </c>
      <c r="J163" t="s">
        <v>539</v>
      </c>
      <c r="K163" t="s">
        <v>55</v>
      </c>
      <c r="Q163" t="s">
        <v>47</v>
      </c>
      <c r="R163" t="s">
        <v>44</v>
      </c>
      <c r="S163">
        <v>0</v>
      </c>
      <c r="W163" s="3">
        <v>5.4398148148148144E-4</v>
      </c>
      <c r="X163" t="s">
        <v>540</v>
      </c>
      <c r="Y163">
        <v>16</v>
      </c>
      <c r="Z163">
        <v>0</v>
      </c>
      <c r="AA163" t="s">
        <v>49</v>
      </c>
      <c r="AB163">
        <v>0</v>
      </c>
      <c r="AC163" t="s">
        <v>49</v>
      </c>
      <c r="AD163">
        <v>0</v>
      </c>
      <c r="AE163">
        <v>-1</v>
      </c>
      <c r="AF163" t="s">
        <v>63</v>
      </c>
      <c r="AG163" t="s">
        <v>388</v>
      </c>
    </row>
    <row r="164" spans="1:33" x14ac:dyDescent="0.35">
      <c r="A164" s="1">
        <v>44907.063194444447</v>
      </c>
      <c r="B164">
        <v>1163672</v>
      </c>
      <c r="C164" t="s">
        <v>541</v>
      </c>
      <c r="D164" t="s">
        <v>59</v>
      </c>
      <c r="E164" s="2">
        <v>41435</v>
      </c>
      <c r="F164" t="str">
        <f>"9781118443361"</f>
        <v>9781118443361</v>
      </c>
      <c r="G164" t="str">
        <f>"9780470710999"</f>
        <v>9780470710999</v>
      </c>
      <c r="H164" t="s">
        <v>542</v>
      </c>
      <c r="I164" t="s">
        <v>543</v>
      </c>
      <c r="J164" t="s">
        <v>544</v>
      </c>
      <c r="K164" t="s">
        <v>44</v>
      </c>
      <c r="N164" t="s">
        <v>45</v>
      </c>
      <c r="O164" t="s">
        <v>46</v>
      </c>
      <c r="P164" t="s">
        <v>45</v>
      </c>
      <c r="Q164" t="s">
        <v>47</v>
      </c>
      <c r="R164" t="s">
        <v>44</v>
      </c>
      <c r="S164">
        <v>0</v>
      </c>
      <c r="W164" s="3">
        <v>1.0416666666666667E-4</v>
      </c>
      <c r="X164" t="s">
        <v>205</v>
      </c>
      <c r="Y164">
        <v>2</v>
      </c>
      <c r="Z164">
        <v>0</v>
      </c>
      <c r="AA164" t="s">
        <v>49</v>
      </c>
      <c r="AB164">
        <v>0</v>
      </c>
      <c r="AC164" t="s">
        <v>49</v>
      </c>
      <c r="AD164">
        <v>0</v>
      </c>
      <c r="AE164">
        <v>10683246</v>
      </c>
      <c r="AF164" t="s">
        <v>63</v>
      </c>
      <c r="AG164" t="s">
        <v>388</v>
      </c>
    </row>
    <row r="165" spans="1:33" x14ac:dyDescent="0.35">
      <c r="A165" s="1">
        <v>44907.0625</v>
      </c>
      <c r="B165">
        <v>5377541</v>
      </c>
      <c r="C165" t="s">
        <v>545</v>
      </c>
      <c r="D165" t="s">
        <v>65</v>
      </c>
      <c r="E165" s="2">
        <v>43217</v>
      </c>
      <c r="F165" t="str">
        <f>"9780128161685"</f>
        <v>9780128161685</v>
      </c>
      <c r="G165" t="str">
        <f>"9780128161364"</f>
        <v>9780128161364</v>
      </c>
      <c r="H165" t="s">
        <v>546</v>
      </c>
      <c r="I165">
        <v>621.31700000000001</v>
      </c>
      <c r="J165" t="s">
        <v>547</v>
      </c>
      <c r="K165" t="s">
        <v>55</v>
      </c>
      <c r="N165" t="s">
        <v>79</v>
      </c>
      <c r="P165" t="s">
        <v>97</v>
      </c>
      <c r="Q165" t="s">
        <v>47</v>
      </c>
      <c r="R165" t="s">
        <v>44</v>
      </c>
      <c r="S165">
        <v>0</v>
      </c>
      <c r="W165" s="3">
        <v>2.7777777777777778E-4</v>
      </c>
      <c r="X165" t="s">
        <v>205</v>
      </c>
      <c r="Y165">
        <v>2</v>
      </c>
      <c r="Z165">
        <v>0</v>
      </c>
      <c r="AA165" t="s">
        <v>49</v>
      </c>
      <c r="AB165">
        <v>0</v>
      </c>
      <c r="AC165" t="s">
        <v>49</v>
      </c>
      <c r="AD165">
        <v>0</v>
      </c>
      <c r="AE165">
        <v>11552965</v>
      </c>
      <c r="AF165" t="s">
        <v>63</v>
      </c>
      <c r="AG165" t="s">
        <v>388</v>
      </c>
    </row>
    <row r="166" spans="1:33" x14ac:dyDescent="0.35">
      <c r="A166" s="1">
        <v>44907.05972222222</v>
      </c>
      <c r="B166">
        <v>5233970</v>
      </c>
      <c r="C166" t="s">
        <v>548</v>
      </c>
      <c r="D166" t="s">
        <v>65</v>
      </c>
      <c r="E166" s="2">
        <v>43124</v>
      </c>
      <c r="F166" t="str">
        <f>"9780128054369"</f>
        <v>9780128054369</v>
      </c>
      <c r="G166" t="str">
        <f>"9780128052457"</f>
        <v>9780128052457</v>
      </c>
      <c r="H166" t="s">
        <v>546</v>
      </c>
      <c r="I166">
        <v>621.31700000000001</v>
      </c>
      <c r="J166" t="s">
        <v>549</v>
      </c>
      <c r="K166" t="s">
        <v>55</v>
      </c>
      <c r="N166" t="s">
        <v>79</v>
      </c>
      <c r="P166" t="s">
        <v>97</v>
      </c>
      <c r="Q166" t="s">
        <v>47</v>
      </c>
      <c r="R166" t="s">
        <v>44</v>
      </c>
      <c r="S166">
        <v>1</v>
      </c>
      <c r="T166">
        <v>1</v>
      </c>
      <c r="U166" s="1">
        <v>44907.05972222222</v>
      </c>
      <c r="V166" s="1">
        <v>44908.05972222222</v>
      </c>
      <c r="W166" s="3">
        <v>3.4722222222222222E-5</v>
      </c>
      <c r="X166" t="s">
        <v>121</v>
      </c>
      <c r="Y166">
        <v>1</v>
      </c>
      <c r="Z166">
        <v>0</v>
      </c>
      <c r="AA166" t="s">
        <v>49</v>
      </c>
      <c r="AB166">
        <v>0</v>
      </c>
      <c r="AC166" t="s">
        <v>49</v>
      </c>
      <c r="AD166">
        <v>0</v>
      </c>
      <c r="AE166">
        <v>11502460</v>
      </c>
      <c r="AF166" t="s">
        <v>63</v>
      </c>
      <c r="AG166" t="s">
        <v>388</v>
      </c>
    </row>
    <row r="167" spans="1:33" x14ac:dyDescent="0.35">
      <c r="A167" s="1">
        <v>44907.054861111108</v>
      </c>
      <c r="B167">
        <v>1744501</v>
      </c>
      <c r="C167" t="s">
        <v>550</v>
      </c>
      <c r="D167" t="s">
        <v>65</v>
      </c>
      <c r="E167" s="2">
        <v>41827</v>
      </c>
      <c r="F167" t="str">
        <f>"9780857097736"</f>
        <v>9780857097736</v>
      </c>
      <c r="G167" t="str">
        <f>"9780857097682"</f>
        <v>9780857097682</v>
      </c>
      <c r="H167" t="s">
        <v>116</v>
      </c>
      <c r="I167">
        <v>665.81</v>
      </c>
      <c r="J167" t="s">
        <v>551</v>
      </c>
      <c r="K167" t="s">
        <v>55</v>
      </c>
      <c r="N167" t="s">
        <v>79</v>
      </c>
      <c r="P167" t="s">
        <v>80</v>
      </c>
      <c r="Q167" t="s">
        <v>47</v>
      </c>
      <c r="R167" t="s">
        <v>44</v>
      </c>
      <c r="S167">
        <v>0</v>
      </c>
      <c r="W167" s="3">
        <v>9.2361111111111116E-3</v>
      </c>
      <c r="X167" t="s">
        <v>552</v>
      </c>
      <c r="Y167">
        <v>13</v>
      </c>
      <c r="Z167">
        <v>0</v>
      </c>
      <c r="AA167" t="s">
        <v>49</v>
      </c>
      <c r="AB167">
        <v>0</v>
      </c>
      <c r="AC167" t="s">
        <v>553</v>
      </c>
      <c r="AD167">
        <v>1</v>
      </c>
      <c r="AE167">
        <v>10896677</v>
      </c>
      <c r="AF167" t="s">
        <v>50</v>
      </c>
      <c r="AG167" t="s">
        <v>279</v>
      </c>
    </row>
    <row r="168" spans="1:33" x14ac:dyDescent="0.35">
      <c r="A168" s="1">
        <v>44907.054861111108</v>
      </c>
      <c r="B168">
        <v>5233970</v>
      </c>
      <c r="C168" t="s">
        <v>548</v>
      </c>
      <c r="D168" t="s">
        <v>65</v>
      </c>
      <c r="E168" s="2">
        <v>43124</v>
      </c>
      <c r="F168" t="str">
        <f>"9780128054369"</f>
        <v>9780128054369</v>
      </c>
      <c r="G168" t="str">
        <f>"9780128052457"</f>
        <v>9780128052457</v>
      </c>
      <c r="H168" t="s">
        <v>546</v>
      </c>
      <c r="I168">
        <v>621.31700000000001</v>
      </c>
      <c r="J168" t="s">
        <v>549</v>
      </c>
      <c r="K168" t="s">
        <v>55</v>
      </c>
      <c r="N168" t="s">
        <v>79</v>
      </c>
      <c r="P168" t="s">
        <v>97</v>
      </c>
      <c r="Q168" t="s">
        <v>47</v>
      </c>
      <c r="R168" t="s">
        <v>44</v>
      </c>
      <c r="S168">
        <v>0</v>
      </c>
      <c r="W168" s="3">
        <v>4.9074074074074072E-3</v>
      </c>
      <c r="X168" t="s">
        <v>554</v>
      </c>
      <c r="Y168">
        <v>45</v>
      </c>
      <c r="Z168">
        <v>1</v>
      </c>
      <c r="AA168" t="s">
        <v>555</v>
      </c>
      <c r="AB168">
        <v>4</v>
      </c>
      <c r="AC168" t="s">
        <v>49</v>
      </c>
      <c r="AD168">
        <v>0</v>
      </c>
      <c r="AE168">
        <v>11502460</v>
      </c>
      <c r="AF168" t="s">
        <v>63</v>
      </c>
      <c r="AG168" t="s">
        <v>388</v>
      </c>
    </row>
    <row r="169" spans="1:33" x14ac:dyDescent="0.35">
      <c r="A169" s="1">
        <v>44907.053472222222</v>
      </c>
      <c r="B169">
        <v>1143638</v>
      </c>
      <c r="C169" t="s">
        <v>556</v>
      </c>
      <c r="D169" t="s">
        <v>59</v>
      </c>
      <c r="E169" s="2">
        <v>40644</v>
      </c>
      <c r="F169" t="str">
        <f>"9781118622605"</f>
        <v>9781118622605</v>
      </c>
      <c r="G169" t="str">
        <f>"9781848211957"</f>
        <v>9781848211957</v>
      </c>
      <c r="H169" t="s">
        <v>546</v>
      </c>
      <c r="I169">
        <v>621.31299999999999</v>
      </c>
      <c r="J169" t="s">
        <v>557</v>
      </c>
      <c r="K169" t="s">
        <v>44</v>
      </c>
      <c r="N169" t="s">
        <v>45</v>
      </c>
      <c r="O169" t="s">
        <v>46</v>
      </c>
      <c r="P169" t="s">
        <v>45</v>
      </c>
      <c r="Q169" t="s">
        <v>47</v>
      </c>
      <c r="R169" t="s">
        <v>44</v>
      </c>
      <c r="S169">
        <v>0</v>
      </c>
      <c r="W169" s="3">
        <v>5.7870370370370366E-5</v>
      </c>
      <c r="X169" t="s">
        <v>113</v>
      </c>
      <c r="Y169">
        <v>2</v>
      </c>
      <c r="Z169">
        <v>0</v>
      </c>
      <c r="AA169" t="s">
        <v>49</v>
      </c>
      <c r="AB169">
        <v>0</v>
      </c>
      <c r="AC169" t="s">
        <v>49</v>
      </c>
      <c r="AD169">
        <v>0</v>
      </c>
      <c r="AE169">
        <v>10671568</v>
      </c>
      <c r="AF169" t="s">
        <v>63</v>
      </c>
      <c r="AG169" t="s">
        <v>388</v>
      </c>
    </row>
    <row r="170" spans="1:33" x14ac:dyDescent="0.35">
      <c r="A170" s="1">
        <v>44907.052083333336</v>
      </c>
      <c r="B170">
        <v>510127</v>
      </c>
      <c r="C170" t="s">
        <v>558</v>
      </c>
      <c r="D170" t="s">
        <v>59</v>
      </c>
      <c r="E170" s="2">
        <v>40224</v>
      </c>
      <c r="F170" t="str">
        <f>"9780470551561"</f>
        <v>9780470551561</v>
      </c>
      <c r="G170" t="str">
        <f>"9780470521564"</f>
        <v>9780470521564</v>
      </c>
      <c r="H170" t="s">
        <v>542</v>
      </c>
      <c r="I170" t="s">
        <v>559</v>
      </c>
      <c r="J170" t="s">
        <v>560</v>
      </c>
      <c r="K170" t="s">
        <v>44</v>
      </c>
      <c r="N170" t="s">
        <v>45</v>
      </c>
      <c r="O170" t="s">
        <v>46</v>
      </c>
      <c r="P170" t="s">
        <v>45</v>
      </c>
      <c r="Q170" t="s">
        <v>47</v>
      </c>
      <c r="R170" t="s">
        <v>44</v>
      </c>
      <c r="S170">
        <v>1</v>
      </c>
      <c r="W170" s="3">
        <v>9.2592592592592588E-5</v>
      </c>
      <c r="X170" t="s">
        <v>561</v>
      </c>
      <c r="Y170">
        <v>2</v>
      </c>
      <c r="Z170">
        <v>0</v>
      </c>
      <c r="AA170" t="s">
        <v>49</v>
      </c>
      <c r="AB170">
        <v>0</v>
      </c>
      <c r="AC170" t="s">
        <v>49</v>
      </c>
      <c r="AD170">
        <v>0</v>
      </c>
      <c r="AE170">
        <v>10381083</v>
      </c>
      <c r="AF170" t="s">
        <v>63</v>
      </c>
      <c r="AG170" t="s">
        <v>388</v>
      </c>
    </row>
    <row r="171" spans="1:33" x14ac:dyDescent="0.35">
      <c r="A171" s="1">
        <v>44907.049305555556</v>
      </c>
      <c r="B171">
        <v>510127</v>
      </c>
      <c r="C171" t="s">
        <v>558</v>
      </c>
      <c r="D171" t="s">
        <v>59</v>
      </c>
      <c r="E171" s="2">
        <v>40224</v>
      </c>
      <c r="F171" t="str">
        <f>"9780470551561"</f>
        <v>9780470551561</v>
      </c>
      <c r="G171" t="str">
        <f>"9780470521564"</f>
        <v>9780470521564</v>
      </c>
      <c r="H171" t="s">
        <v>542</v>
      </c>
      <c r="I171" t="s">
        <v>559</v>
      </c>
      <c r="J171" t="s">
        <v>560</v>
      </c>
      <c r="K171" t="s">
        <v>44</v>
      </c>
      <c r="N171" t="s">
        <v>45</v>
      </c>
      <c r="O171" t="s">
        <v>46</v>
      </c>
      <c r="P171" t="s">
        <v>45</v>
      </c>
      <c r="Q171" t="s">
        <v>47</v>
      </c>
      <c r="R171" t="s">
        <v>44</v>
      </c>
      <c r="S171">
        <v>0</v>
      </c>
      <c r="W171" s="3">
        <v>2.9282407407407412E-3</v>
      </c>
      <c r="X171" t="s">
        <v>562</v>
      </c>
      <c r="Y171">
        <v>41</v>
      </c>
      <c r="Z171">
        <v>0</v>
      </c>
      <c r="AA171" t="s">
        <v>49</v>
      </c>
      <c r="AB171">
        <v>0</v>
      </c>
      <c r="AC171" t="s">
        <v>49</v>
      </c>
      <c r="AD171">
        <v>0</v>
      </c>
      <c r="AE171">
        <v>10381083</v>
      </c>
      <c r="AF171" t="s">
        <v>63</v>
      </c>
      <c r="AG171" t="s">
        <v>388</v>
      </c>
    </row>
    <row r="172" spans="1:33" x14ac:dyDescent="0.35">
      <c r="A172" s="1">
        <v>44907.048611111109</v>
      </c>
      <c r="B172">
        <v>4653431</v>
      </c>
      <c r="C172" t="s">
        <v>563</v>
      </c>
      <c r="D172" t="s">
        <v>59</v>
      </c>
      <c r="E172" s="2">
        <v>42646</v>
      </c>
      <c r="F172" t="str">
        <f>"9781119037118"</f>
        <v>9781119037118</v>
      </c>
      <c r="G172" t="str">
        <f>"9781119037071"</f>
        <v>9781119037071</v>
      </c>
      <c r="H172" t="s">
        <v>542</v>
      </c>
      <c r="I172">
        <v>621.38153220000004</v>
      </c>
      <c r="J172" t="s">
        <v>564</v>
      </c>
      <c r="K172" t="s">
        <v>44</v>
      </c>
      <c r="N172" t="s">
        <v>45</v>
      </c>
      <c r="O172" t="s">
        <v>46</v>
      </c>
      <c r="P172" t="s">
        <v>45</v>
      </c>
      <c r="Q172" t="s">
        <v>47</v>
      </c>
      <c r="R172" t="s">
        <v>44</v>
      </c>
      <c r="S172">
        <v>0</v>
      </c>
      <c r="W172" s="3">
        <v>8.1018518518518516E-4</v>
      </c>
      <c r="X172" t="s">
        <v>565</v>
      </c>
      <c r="Y172">
        <v>9</v>
      </c>
      <c r="Z172">
        <v>0</v>
      </c>
      <c r="AA172" t="s">
        <v>49</v>
      </c>
      <c r="AB172">
        <v>0</v>
      </c>
      <c r="AC172" t="s">
        <v>49</v>
      </c>
      <c r="AD172">
        <v>0</v>
      </c>
      <c r="AE172">
        <v>11250972</v>
      </c>
      <c r="AF172" t="s">
        <v>63</v>
      </c>
      <c r="AG172" t="s">
        <v>388</v>
      </c>
    </row>
    <row r="173" spans="1:33" x14ac:dyDescent="0.35">
      <c r="A173" s="1">
        <v>44907.04791666667</v>
      </c>
      <c r="B173">
        <v>6348896</v>
      </c>
      <c r="C173" t="s">
        <v>566</v>
      </c>
      <c r="D173" t="s">
        <v>105</v>
      </c>
      <c r="E173" s="2">
        <v>44087</v>
      </c>
      <c r="F173" t="str">
        <f>"9783030516611"</f>
        <v>9783030516611</v>
      </c>
      <c r="G173" t="str">
        <f>"9783030516604"</f>
        <v>9783030516604</v>
      </c>
      <c r="H173" t="s">
        <v>542</v>
      </c>
      <c r="I173">
        <v>621.38153220000004</v>
      </c>
      <c r="J173" t="s">
        <v>567</v>
      </c>
      <c r="K173" t="s">
        <v>55</v>
      </c>
      <c r="Q173" t="s">
        <v>47</v>
      </c>
      <c r="R173" t="s">
        <v>44</v>
      </c>
      <c r="S173">
        <v>0</v>
      </c>
      <c r="W173" s="3">
        <v>5.7870370370370366E-5</v>
      </c>
      <c r="X173" t="s">
        <v>121</v>
      </c>
      <c r="Y173">
        <v>1</v>
      </c>
      <c r="Z173">
        <v>0</v>
      </c>
      <c r="AA173" t="s">
        <v>49</v>
      </c>
      <c r="AB173">
        <v>0</v>
      </c>
      <c r="AC173" t="s">
        <v>49</v>
      </c>
      <c r="AD173">
        <v>0</v>
      </c>
      <c r="AE173">
        <v>-1</v>
      </c>
      <c r="AF173" t="s">
        <v>63</v>
      </c>
      <c r="AG173" t="s">
        <v>388</v>
      </c>
    </row>
    <row r="174" spans="1:33" x14ac:dyDescent="0.35">
      <c r="A174" s="1">
        <v>44907.047222222223</v>
      </c>
      <c r="B174">
        <v>6383561</v>
      </c>
      <c r="C174" t="s">
        <v>568</v>
      </c>
      <c r="D174" t="s">
        <v>105</v>
      </c>
      <c r="E174" s="2">
        <v>44138</v>
      </c>
      <c r="F174" t="str">
        <f>"9783030541248"</f>
        <v>9783030541248</v>
      </c>
      <c r="G174" t="str">
        <f>"9783030541231"</f>
        <v>9783030541231</v>
      </c>
      <c r="H174" t="s">
        <v>542</v>
      </c>
      <c r="I174">
        <v>621.38153220000004</v>
      </c>
      <c r="J174" t="s">
        <v>567</v>
      </c>
      <c r="K174" t="s">
        <v>55</v>
      </c>
      <c r="Q174" t="s">
        <v>47</v>
      </c>
      <c r="R174" t="s">
        <v>44</v>
      </c>
      <c r="S174">
        <v>0</v>
      </c>
      <c r="W174" s="3">
        <v>1.1574074074074073E-4</v>
      </c>
      <c r="X174" t="s">
        <v>121</v>
      </c>
      <c r="Y174">
        <v>1</v>
      </c>
      <c r="Z174">
        <v>0</v>
      </c>
      <c r="AA174" t="s">
        <v>49</v>
      </c>
      <c r="AB174">
        <v>0</v>
      </c>
      <c r="AC174" t="s">
        <v>49</v>
      </c>
      <c r="AD174">
        <v>0</v>
      </c>
      <c r="AE174">
        <v>-1</v>
      </c>
      <c r="AF174" t="s">
        <v>63</v>
      </c>
      <c r="AG174" t="s">
        <v>388</v>
      </c>
    </row>
    <row r="175" spans="1:33" x14ac:dyDescent="0.35">
      <c r="A175" s="1">
        <v>44907.043749999997</v>
      </c>
      <c r="B175">
        <v>4856329</v>
      </c>
      <c r="C175" t="s">
        <v>569</v>
      </c>
      <c r="D175" t="s">
        <v>59</v>
      </c>
      <c r="E175" s="2">
        <v>42940</v>
      </c>
      <c r="F175" t="str">
        <f>"9781119280361"</f>
        <v>9781119280361</v>
      </c>
      <c r="G175" t="str">
        <f>"9781119280347"</f>
        <v>9781119280347</v>
      </c>
      <c r="H175" t="s">
        <v>546</v>
      </c>
      <c r="I175">
        <v>621.31244000000004</v>
      </c>
      <c r="J175" t="s">
        <v>570</v>
      </c>
      <c r="K175" t="s">
        <v>44</v>
      </c>
      <c r="N175" t="s">
        <v>45</v>
      </c>
      <c r="O175" t="s">
        <v>46</v>
      </c>
      <c r="P175" t="s">
        <v>45</v>
      </c>
      <c r="Q175" t="s">
        <v>47</v>
      </c>
      <c r="R175" t="s">
        <v>44</v>
      </c>
      <c r="S175">
        <v>1</v>
      </c>
      <c r="W175" s="3">
        <v>2.0717592592592593E-3</v>
      </c>
      <c r="X175" t="s">
        <v>571</v>
      </c>
      <c r="Y175">
        <v>33</v>
      </c>
      <c r="Z175">
        <v>0</v>
      </c>
      <c r="AA175" t="s">
        <v>49</v>
      </c>
      <c r="AB175">
        <v>0</v>
      </c>
      <c r="AC175" t="s">
        <v>49</v>
      </c>
      <c r="AD175">
        <v>0</v>
      </c>
      <c r="AE175">
        <v>11382948</v>
      </c>
      <c r="AF175" t="s">
        <v>63</v>
      </c>
      <c r="AG175" t="s">
        <v>388</v>
      </c>
    </row>
    <row r="176" spans="1:33" x14ac:dyDescent="0.35">
      <c r="A176" s="1">
        <v>44907.027083333334</v>
      </c>
      <c r="B176">
        <v>6820553</v>
      </c>
      <c r="C176" t="s">
        <v>572</v>
      </c>
      <c r="D176" t="s">
        <v>59</v>
      </c>
      <c r="E176" s="2">
        <v>44551</v>
      </c>
      <c r="F176" t="str">
        <f>"9781119214205"</f>
        <v>9781119214205</v>
      </c>
      <c r="G176" t="str">
        <f>"9781119214182"</f>
        <v>9781119214182</v>
      </c>
      <c r="H176" t="s">
        <v>546</v>
      </c>
      <c r="I176">
        <v>621.30999999999995</v>
      </c>
      <c r="J176" t="s">
        <v>573</v>
      </c>
      <c r="K176" t="s">
        <v>55</v>
      </c>
      <c r="Q176" t="s">
        <v>47</v>
      </c>
      <c r="R176" t="s">
        <v>44</v>
      </c>
      <c r="S176">
        <v>0</v>
      </c>
      <c r="W176" s="3">
        <v>1.554398148148148E-2</v>
      </c>
      <c r="X176" t="s">
        <v>574</v>
      </c>
      <c r="Y176">
        <v>11</v>
      </c>
      <c r="Z176">
        <v>0</v>
      </c>
      <c r="AA176" t="s">
        <v>49</v>
      </c>
      <c r="AB176">
        <v>0</v>
      </c>
      <c r="AC176" t="s">
        <v>49</v>
      </c>
      <c r="AD176">
        <v>0</v>
      </c>
      <c r="AE176">
        <v>-1</v>
      </c>
      <c r="AF176" t="s">
        <v>50</v>
      </c>
      <c r="AG176" t="s">
        <v>388</v>
      </c>
    </row>
    <row r="177" spans="1:33" x14ac:dyDescent="0.35">
      <c r="A177" s="1">
        <v>44906.902777777781</v>
      </c>
      <c r="B177">
        <v>2083001</v>
      </c>
      <c r="C177" t="s">
        <v>575</v>
      </c>
      <c r="D177" t="s">
        <v>424</v>
      </c>
      <c r="E177" s="2">
        <v>42217</v>
      </c>
      <c r="F177" t="str">
        <f>"9781442252929"</f>
        <v>9781442252929</v>
      </c>
      <c r="G177" t="str">
        <f>"9781442252905"</f>
        <v>9781442252905</v>
      </c>
      <c r="H177" t="s">
        <v>385</v>
      </c>
      <c r="I177">
        <v>25.502849999999999</v>
      </c>
      <c r="J177" t="s">
        <v>576</v>
      </c>
      <c r="K177" t="s">
        <v>44</v>
      </c>
      <c r="N177" t="s">
        <v>45</v>
      </c>
      <c r="O177" t="s">
        <v>46</v>
      </c>
      <c r="P177" t="s">
        <v>45</v>
      </c>
      <c r="Q177" t="s">
        <v>47</v>
      </c>
      <c r="R177" t="s">
        <v>44</v>
      </c>
      <c r="S177">
        <v>0</v>
      </c>
      <c r="W177" s="3">
        <v>8.1018518518518516E-5</v>
      </c>
      <c r="X177" t="s">
        <v>577</v>
      </c>
      <c r="Y177">
        <v>2</v>
      </c>
      <c r="Z177">
        <v>0</v>
      </c>
      <c r="AA177" t="s">
        <v>49</v>
      </c>
      <c r="AB177">
        <v>0</v>
      </c>
      <c r="AC177" t="s">
        <v>49</v>
      </c>
      <c r="AD177">
        <v>0</v>
      </c>
      <c r="AE177">
        <v>11073594</v>
      </c>
      <c r="AF177" t="s">
        <v>50</v>
      </c>
      <c r="AG177" t="s">
        <v>279</v>
      </c>
    </row>
    <row r="178" spans="1:33" x14ac:dyDescent="0.35">
      <c r="A178" s="1">
        <v>44906.743055555555</v>
      </c>
      <c r="B178">
        <v>1562328</v>
      </c>
      <c r="C178" t="s">
        <v>578</v>
      </c>
      <c r="D178" t="s">
        <v>65</v>
      </c>
      <c r="E178" s="2">
        <v>41620</v>
      </c>
      <c r="F178" t="str">
        <f>"9780123973153"</f>
        <v>9780123973153</v>
      </c>
      <c r="G178" t="str">
        <f>"9780123970213"</f>
        <v>9780123970213</v>
      </c>
      <c r="H178" t="s">
        <v>579</v>
      </c>
      <c r="I178">
        <v>621.47</v>
      </c>
      <c r="J178" t="s">
        <v>580</v>
      </c>
      <c r="K178" t="s">
        <v>44</v>
      </c>
      <c r="N178" t="s">
        <v>45</v>
      </c>
      <c r="O178" t="s">
        <v>46</v>
      </c>
      <c r="P178" t="s">
        <v>45</v>
      </c>
      <c r="Q178" t="s">
        <v>47</v>
      </c>
      <c r="R178" t="s">
        <v>44</v>
      </c>
      <c r="S178">
        <v>0</v>
      </c>
      <c r="W178" s="3">
        <v>6.7129629629629625E-4</v>
      </c>
      <c r="X178" t="s">
        <v>581</v>
      </c>
      <c r="Y178">
        <v>5</v>
      </c>
      <c r="Z178">
        <v>2</v>
      </c>
      <c r="AA178" t="s">
        <v>582</v>
      </c>
      <c r="AB178">
        <v>46</v>
      </c>
      <c r="AC178" t="s">
        <v>49</v>
      </c>
      <c r="AD178">
        <v>0</v>
      </c>
      <c r="AE178">
        <v>10808517</v>
      </c>
      <c r="AF178" t="s">
        <v>50</v>
      </c>
      <c r="AG178" t="s">
        <v>523</v>
      </c>
    </row>
    <row r="179" spans="1:33" x14ac:dyDescent="0.35">
      <c r="A179" s="1">
        <v>44906.729166666664</v>
      </c>
      <c r="B179">
        <v>5139938</v>
      </c>
      <c r="C179" t="s">
        <v>295</v>
      </c>
      <c r="D179" t="s">
        <v>296</v>
      </c>
      <c r="E179" s="2">
        <v>41852</v>
      </c>
      <c r="F179" t="str">
        <f>"9781613994078"</f>
        <v>9781613994078</v>
      </c>
      <c r="G179" t="str">
        <f>"9781613993286"</f>
        <v>9781613993286</v>
      </c>
      <c r="H179" t="s">
        <v>297</v>
      </c>
      <c r="I179">
        <v>622.33820000000003</v>
      </c>
      <c r="J179" t="s">
        <v>298</v>
      </c>
      <c r="K179" t="s">
        <v>44</v>
      </c>
      <c r="N179" t="s">
        <v>45</v>
      </c>
      <c r="O179" t="s">
        <v>46</v>
      </c>
      <c r="P179" t="s">
        <v>45</v>
      </c>
      <c r="Q179" t="s">
        <v>47</v>
      </c>
      <c r="R179" t="s">
        <v>44</v>
      </c>
      <c r="S179">
        <v>1</v>
      </c>
      <c r="W179" s="3">
        <v>0</v>
      </c>
      <c r="X179" t="s">
        <v>49</v>
      </c>
      <c r="Y179">
        <v>0</v>
      </c>
      <c r="Z179">
        <v>0</v>
      </c>
      <c r="AA179" t="s">
        <v>49</v>
      </c>
      <c r="AB179">
        <v>0</v>
      </c>
      <c r="AC179" t="s">
        <v>49</v>
      </c>
      <c r="AD179">
        <v>0</v>
      </c>
      <c r="AE179">
        <v>11465346</v>
      </c>
      <c r="AF179" t="s">
        <v>63</v>
      </c>
      <c r="AG179" t="s">
        <v>57</v>
      </c>
    </row>
    <row r="180" spans="1:33" x14ac:dyDescent="0.35">
      <c r="A180" s="1">
        <v>44906.707638888889</v>
      </c>
      <c r="B180">
        <v>1562328</v>
      </c>
      <c r="C180" t="s">
        <v>578</v>
      </c>
      <c r="D180" t="s">
        <v>65</v>
      </c>
      <c r="E180" s="2">
        <v>41620</v>
      </c>
      <c r="F180" t="str">
        <f>"9780123973153"</f>
        <v>9780123973153</v>
      </c>
      <c r="G180" t="str">
        <f>"9780123970213"</f>
        <v>9780123970213</v>
      </c>
      <c r="H180" t="s">
        <v>579</v>
      </c>
      <c r="I180">
        <v>621.47</v>
      </c>
      <c r="J180" t="s">
        <v>580</v>
      </c>
      <c r="K180" t="s">
        <v>44</v>
      </c>
      <c r="N180" t="s">
        <v>45</v>
      </c>
      <c r="O180" t="s">
        <v>46</v>
      </c>
      <c r="P180" t="s">
        <v>45</v>
      </c>
      <c r="Q180" t="s">
        <v>47</v>
      </c>
      <c r="R180" t="s">
        <v>44</v>
      </c>
      <c r="S180">
        <v>0</v>
      </c>
      <c r="W180" s="3">
        <v>2.6620370370370372E-4</v>
      </c>
      <c r="X180" t="s">
        <v>583</v>
      </c>
      <c r="Y180">
        <v>2</v>
      </c>
      <c r="Z180">
        <v>0</v>
      </c>
      <c r="AA180" t="s">
        <v>49</v>
      </c>
      <c r="AB180">
        <v>0</v>
      </c>
      <c r="AC180" t="s">
        <v>49</v>
      </c>
      <c r="AD180">
        <v>0</v>
      </c>
      <c r="AE180">
        <v>10808517</v>
      </c>
      <c r="AF180" t="s">
        <v>50</v>
      </c>
      <c r="AG180" t="s">
        <v>523</v>
      </c>
    </row>
    <row r="181" spans="1:33" x14ac:dyDescent="0.35">
      <c r="A181" s="1">
        <v>44906.697222222225</v>
      </c>
      <c r="B181">
        <v>6373380</v>
      </c>
      <c r="C181" t="s">
        <v>584</v>
      </c>
      <c r="D181" t="s">
        <v>76</v>
      </c>
      <c r="E181" s="2">
        <v>44001</v>
      </c>
      <c r="F181" t="str">
        <f>"9781000710540"</f>
        <v>9781000710540</v>
      </c>
      <c r="G181" t="str">
        <f>""</f>
        <v/>
      </c>
      <c r="H181" t="s">
        <v>585</v>
      </c>
      <c r="I181">
        <v>537.62260000000003</v>
      </c>
      <c r="J181" t="s">
        <v>586</v>
      </c>
      <c r="K181" t="s">
        <v>55</v>
      </c>
      <c r="Q181" t="s">
        <v>47</v>
      </c>
      <c r="R181" t="s">
        <v>44</v>
      </c>
      <c r="S181">
        <v>0</v>
      </c>
      <c r="W181" s="3">
        <v>4.6296296296296294E-5</v>
      </c>
      <c r="X181" t="s">
        <v>121</v>
      </c>
      <c r="Y181">
        <v>1</v>
      </c>
      <c r="Z181">
        <v>0</v>
      </c>
      <c r="AA181" t="s">
        <v>49</v>
      </c>
      <c r="AB181">
        <v>0</v>
      </c>
      <c r="AC181" t="s">
        <v>49</v>
      </c>
      <c r="AD181">
        <v>0</v>
      </c>
      <c r="AE181">
        <v>-1</v>
      </c>
      <c r="AF181" t="s">
        <v>50</v>
      </c>
      <c r="AG181" t="s">
        <v>57</v>
      </c>
    </row>
    <row r="182" spans="1:33" x14ac:dyDescent="0.35">
      <c r="A182" s="1">
        <v>44906.697222222225</v>
      </c>
      <c r="B182">
        <v>6792356</v>
      </c>
      <c r="C182" t="s">
        <v>512</v>
      </c>
      <c r="D182" t="s">
        <v>213</v>
      </c>
      <c r="E182" s="2">
        <v>44496</v>
      </c>
      <c r="F182" t="str">
        <f>"9780128209073"</f>
        <v>9780128209073</v>
      </c>
      <c r="G182" t="str">
        <f>"9780128206294"</f>
        <v>9780128206294</v>
      </c>
      <c r="H182" t="s">
        <v>513</v>
      </c>
      <c r="I182">
        <v>620.5</v>
      </c>
      <c r="J182" t="s">
        <v>514</v>
      </c>
      <c r="K182" t="s">
        <v>55</v>
      </c>
      <c r="Q182" t="s">
        <v>47</v>
      </c>
      <c r="R182" t="s">
        <v>44</v>
      </c>
      <c r="S182">
        <v>0</v>
      </c>
      <c r="W182" s="3">
        <v>1.261574074074074E-3</v>
      </c>
      <c r="X182" t="s">
        <v>587</v>
      </c>
      <c r="Y182">
        <v>17</v>
      </c>
      <c r="Z182">
        <v>0</v>
      </c>
      <c r="AA182" t="s">
        <v>49</v>
      </c>
      <c r="AB182">
        <v>0</v>
      </c>
      <c r="AC182" t="s">
        <v>49</v>
      </c>
      <c r="AD182">
        <v>0</v>
      </c>
      <c r="AE182">
        <v>-1</v>
      </c>
      <c r="AF182" t="s">
        <v>50</v>
      </c>
      <c r="AG182" t="s">
        <v>57</v>
      </c>
    </row>
    <row r="183" spans="1:33" x14ac:dyDescent="0.35">
      <c r="A183" s="1">
        <v>44906.626388888886</v>
      </c>
      <c r="B183">
        <v>274237</v>
      </c>
      <c r="C183" t="s">
        <v>588</v>
      </c>
      <c r="D183" t="s">
        <v>65</v>
      </c>
      <c r="E183" s="2">
        <v>38987</v>
      </c>
      <c r="F183" t="str">
        <f>"9780080463919"</f>
        <v>9780080463919</v>
      </c>
      <c r="G183" t="str">
        <f>"9780123706119"</f>
        <v>9780123706119</v>
      </c>
      <c r="H183" t="s">
        <v>589</v>
      </c>
      <c r="I183">
        <v>621.36</v>
      </c>
      <c r="J183" t="s">
        <v>590</v>
      </c>
      <c r="K183" t="s">
        <v>44</v>
      </c>
      <c r="N183" t="s">
        <v>45</v>
      </c>
      <c r="O183" t="s">
        <v>46</v>
      </c>
      <c r="P183" t="s">
        <v>45</v>
      </c>
      <c r="Q183" t="s">
        <v>47</v>
      </c>
      <c r="R183" t="s">
        <v>44</v>
      </c>
      <c r="S183">
        <v>1</v>
      </c>
      <c r="W183" s="3">
        <v>0</v>
      </c>
      <c r="X183" t="s">
        <v>49</v>
      </c>
      <c r="Y183">
        <v>0</v>
      </c>
      <c r="Z183">
        <v>0</v>
      </c>
      <c r="AA183" t="s">
        <v>49</v>
      </c>
      <c r="AB183">
        <v>0</v>
      </c>
      <c r="AC183" t="s">
        <v>49</v>
      </c>
      <c r="AD183">
        <v>0</v>
      </c>
      <c r="AE183">
        <v>10150464</v>
      </c>
      <c r="AF183" t="s">
        <v>63</v>
      </c>
      <c r="AG183" t="s">
        <v>57</v>
      </c>
    </row>
    <row r="184" spans="1:33" x14ac:dyDescent="0.35">
      <c r="A184" s="1">
        <v>44905.980555555558</v>
      </c>
      <c r="B184">
        <v>6648837</v>
      </c>
      <c r="C184" t="s">
        <v>591</v>
      </c>
      <c r="D184" t="s">
        <v>76</v>
      </c>
      <c r="E184" s="2">
        <v>44428</v>
      </c>
      <c r="F184" t="str">
        <f>"9781000433289"</f>
        <v>9781000433289</v>
      </c>
      <c r="G184" t="str">
        <f>"9781032026244"</f>
        <v>9781032026244</v>
      </c>
      <c r="H184" t="s">
        <v>60</v>
      </c>
      <c r="I184">
        <v>382.30950999999999</v>
      </c>
      <c r="J184" t="s">
        <v>592</v>
      </c>
      <c r="K184" t="s">
        <v>55</v>
      </c>
      <c r="Q184" t="s">
        <v>47</v>
      </c>
      <c r="R184" t="s">
        <v>44</v>
      </c>
      <c r="S184">
        <v>0</v>
      </c>
      <c r="W184" s="3">
        <v>6.9444444444444444E-5</v>
      </c>
      <c r="X184" t="s">
        <v>121</v>
      </c>
      <c r="Y184">
        <v>1</v>
      </c>
      <c r="Z184">
        <v>0</v>
      </c>
      <c r="AA184" t="s">
        <v>49</v>
      </c>
      <c r="AB184">
        <v>0</v>
      </c>
      <c r="AC184" t="s">
        <v>49</v>
      </c>
      <c r="AD184">
        <v>0</v>
      </c>
      <c r="AE184">
        <v>-1</v>
      </c>
      <c r="AF184" t="s">
        <v>50</v>
      </c>
      <c r="AG184" t="s">
        <v>57</v>
      </c>
    </row>
    <row r="185" spans="1:33" x14ac:dyDescent="0.35">
      <c r="A185" s="1">
        <v>44905.95208333333</v>
      </c>
      <c r="B185">
        <v>6648837</v>
      </c>
      <c r="C185" t="s">
        <v>591</v>
      </c>
      <c r="D185" t="s">
        <v>76</v>
      </c>
      <c r="E185" s="2">
        <v>44428</v>
      </c>
      <c r="F185" t="str">
        <f>"9781000433289"</f>
        <v>9781000433289</v>
      </c>
      <c r="G185" t="str">
        <f>"9781032026244"</f>
        <v>9781032026244</v>
      </c>
      <c r="H185" t="s">
        <v>60</v>
      </c>
      <c r="I185">
        <v>382.30950999999999</v>
      </c>
      <c r="J185" t="s">
        <v>592</v>
      </c>
      <c r="K185" t="s">
        <v>55</v>
      </c>
      <c r="Q185" t="s">
        <v>47</v>
      </c>
      <c r="R185" t="s">
        <v>44</v>
      </c>
      <c r="S185">
        <v>0</v>
      </c>
      <c r="W185" s="3">
        <v>1.5046296296296297E-4</v>
      </c>
      <c r="X185" t="s">
        <v>593</v>
      </c>
      <c r="Y185">
        <v>2</v>
      </c>
      <c r="Z185">
        <v>0</v>
      </c>
      <c r="AA185" t="s">
        <v>49</v>
      </c>
      <c r="AB185">
        <v>0</v>
      </c>
      <c r="AC185" t="s">
        <v>49</v>
      </c>
      <c r="AD185">
        <v>0</v>
      </c>
      <c r="AE185">
        <v>-1</v>
      </c>
      <c r="AF185" t="s">
        <v>50</v>
      </c>
      <c r="AG185" t="s">
        <v>57</v>
      </c>
    </row>
    <row r="186" spans="1:33" x14ac:dyDescent="0.35">
      <c r="A186" s="1">
        <v>44905.923611111109</v>
      </c>
      <c r="B186">
        <v>288654</v>
      </c>
      <c r="C186" t="s">
        <v>594</v>
      </c>
      <c r="D186" t="s">
        <v>502</v>
      </c>
      <c r="E186" s="2">
        <v>39090</v>
      </c>
      <c r="F186" t="str">
        <f>"9780511272745"</f>
        <v>9780511272745</v>
      </c>
      <c r="G186" t="str">
        <f>"9780521825658"</f>
        <v>9780521825658</v>
      </c>
      <c r="H186" t="s">
        <v>43</v>
      </c>
      <c r="I186">
        <v>515.35199999999998</v>
      </c>
      <c r="J186" t="s">
        <v>595</v>
      </c>
      <c r="K186" t="s">
        <v>44</v>
      </c>
      <c r="N186" t="s">
        <v>45</v>
      </c>
      <c r="O186" t="s">
        <v>46</v>
      </c>
      <c r="P186" t="s">
        <v>45</v>
      </c>
      <c r="Q186" t="s">
        <v>47</v>
      </c>
      <c r="R186" t="s">
        <v>44</v>
      </c>
      <c r="S186">
        <v>0</v>
      </c>
      <c r="W186" s="3">
        <v>2.3148148148148151E-3</v>
      </c>
      <c r="X186" t="s">
        <v>596</v>
      </c>
      <c r="Y186">
        <v>3</v>
      </c>
      <c r="Z186">
        <v>0</v>
      </c>
      <c r="AA186" t="s">
        <v>49</v>
      </c>
      <c r="AB186">
        <v>0</v>
      </c>
      <c r="AC186" t="s">
        <v>49</v>
      </c>
      <c r="AD186">
        <v>0</v>
      </c>
      <c r="AE186">
        <v>10167737</v>
      </c>
      <c r="AF186" t="s">
        <v>50</v>
      </c>
      <c r="AG186" t="s">
        <v>57</v>
      </c>
    </row>
    <row r="187" spans="1:33" x14ac:dyDescent="0.35">
      <c r="A187" s="1">
        <v>44905.806944444441</v>
      </c>
      <c r="B187">
        <v>1446433</v>
      </c>
      <c r="C187" t="s">
        <v>597</v>
      </c>
      <c r="D187" t="s">
        <v>76</v>
      </c>
      <c r="E187" s="2">
        <v>40491</v>
      </c>
      <c r="F187" t="str">
        <f>"9781439895092"</f>
        <v>9781439895092</v>
      </c>
      <c r="G187" t="str">
        <f>"9781420061918"</f>
        <v>9781420061918</v>
      </c>
      <c r="H187" t="s">
        <v>261</v>
      </c>
      <c r="I187">
        <v>628.16200000000003</v>
      </c>
      <c r="J187" t="s">
        <v>598</v>
      </c>
      <c r="K187" t="s">
        <v>44</v>
      </c>
      <c r="N187" t="s">
        <v>45</v>
      </c>
      <c r="O187" t="s">
        <v>46</v>
      </c>
      <c r="P187" t="s">
        <v>45</v>
      </c>
      <c r="Q187" t="s">
        <v>47</v>
      </c>
      <c r="R187" t="s">
        <v>44</v>
      </c>
      <c r="S187">
        <v>0</v>
      </c>
      <c r="W187" s="3">
        <v>6.9444444444444444E-5</v>
      </c>
      <c r="X187" t="s">
        <v>121</v>
      </c>
      <c r="Y187">
        <v>1</v>
      </c>
      <c r="Z187">
        <v>0</v>
      </c>
      <c r="AA187" t="s">
        <v>49</v>
      </c>
      <c r="AB187">
        <v>0</v>
      </c>
      <c r="AC187" t="s">
        <v>49</v>
      </c>
      <c r="AD187">
        <v>0</v>
      </c>
      <c r="AE187">
        <v>11166019</v>
      </c>
      <c r="AF187" t="s">
        <v>50</v>
      </c>
      <c r="AG187" t="s">
        <v>57</v>
      </c>
    </row>
    <row r="188" spans="1:33" x14ac:dyDescent="0.35">
      <c r="A188" s="1">
        <v>44905.773611111108</v>
      </c>
      <c r="B188">
        <v>510127</v>
      </c>
      <c r="C188" t="s">
        <v>558</v>
      </c>
      <c r="D188" t="s">
        <v>59</v>
      </c>
      <c r="E188" s="2">
        <v>40224</v>
      </c>
      <c r="F188" t="str">
        <f>"9780470551561"</f>
        <v>9780470551561</v>
      </c>
      <c r="G188" t="str">
        <f>"9780470521564"</f>
        <v>9780470521564</v>
      </c>
      <c r="H188" t="s">
        <v>542</v>
      </c>
      <c r="I188" t="s">
        <v>559</v>
      </c>
      <c r="J188" t="s">
        <v>560</v>
      </c>
      <c r="K188" t="s">
        <v>44</v>
      </c>
      <c r="N188" t="s">
        <v>45</v>
      </c>
      <c r="O188" t="s">
        <v>46</v>
      </c>
      <c r="P188" t="s">
        <v>45</v>
      </c>
      <c r="Q188" t="s">
        <v>47</v>
      </c>
      <c r="R188" t="s">
        <v>44</v>
      </c>
      <c r="S188">
        <v>0</v>
      </c>
      <c r="W188" s="3">
        <v>2.488425925925926E-3</v>
      </c>
      <c r="X188" t="s">
        <v>599</v>
      </c>
      <c r="Y188">
        <v>26</v>
      </c>
      <c r="Z188">
        <v>0</v>
      </c>
      <c r="AA188" t="s">
        <v>49</v>
      </c>
      <c r="AB188">
        <v>0</v>
      </c>
      <c r="AC188" t="s">
        <v>49</v>
      </c>
      <c r="AD188">
        <v>0</v>
      </c>
      <c r="AE188">
        <v>10381083</v>
      </c>
      <c r="AF188" t="s">
        <v>50</v>
      </c>
      <c r="AG188" t="s">
        <v>388</v>
      </c>
    </row>
    <row r="189" spans="1:33" x14ac:dyDescent="0.35">
      <c r="A189" s="1">
        <v>44905.654166666667</v>
      </c>
      <c r="B189">
        <v>1744493</v>
      </c>
      <c r="C189" t="s">
        <v>600</v>
      </c>
      <c r="D189" t="s">
        <v>213</v>
      </c>
      <c r="E189" s="2">
        <v>41837</v>
      </c>
      <c r="F189" t="str">
        <f>"9780080982687"</f>
        <v>9780080982687</v>
      </c>
      <c r="G189" t="str">
        <f>"9780080982328"</f>
        <v>9780080982328</v>
      </c>
      <c r="H189" t="s">
        <v>100</v>
      </c>
      <c r="I189">
        <v>620.19299999999998</v>
      </c>
      <c r="J189" t="s">
        <v>601</v>
      </c>
      <c r="K189" t="s">
        <v>44</v>
      </c>
      <c r="N189" t="s">
        <v>45</v>
      </c>
      <c r="O189" t="s">
        <v>46</v>
      </c>
      <c r="P189" t="s">
        <v>45</v>
      </c>
      <c r="Q189" t="s">
        <v>47</v>
      </c>
      <c r="R189" t="s">
        <v>44</v>
      </c>
      <c r="S189">
        <v>0</v>
      </c>
      <c r="W189" s="3">
        <v>9.7222222222222209E-4</v>
      </c>
      <c r="X189" t="s">
        <v>602</v>
      </c>
      <c r="Y189">
        <v>13</v>
      </c>
      <c r="Z189">
        <v>0</v>
      </c>
      <c r="AA189" t="s">
        <v>49</v>
      </c>
      <c r="AB189">
        <v>0</v>
      </c>
      <c r="AC189" t="s">
        <v>49</v>
      </c>
      <c r="AD189">
        <v>0</v>
      </c>
      <c r="AE189">
        <v>10896656</v>
      </c>
      <c r="AF189" t="s">
        <v>50</v>
      </c>
      <c r="AG189" t="s">
        <v>411</v>
      </c>
    </row>
    <row r="190" spans="1:33" x14ac:dyDescent="0.35">
      <c r="A190" s="1">
        <v>44905.588194444441</v>
      </c>
      <c r="B190">
        <v>6819967</v>
      </c>
      <c r="C190" t="s">
        <v>408</v>
      </c>
      <c r="D190" t="s">
        <v>213</v>
      </c>
      <c r="E190" s="2">
        <v>44529</v>
      </c>
      <c r="F190" t="str">
        <f>"9780323859288"</f>
        <v>9780323859288</v>
      </c>
      <c r="G190" t="str">
        <f>"9780128243442"</f>
        <v>9780128243442</v>
      </c>
      <c r="H190" t="s">
        <v>261</v>
      </c>
      <c r="I190">
        <v>628.41999999999996</v>
      </c>
      <c r="J190" t="s">
        <v>409</v>
      </c>
      <c r="K190" t="s">
        <v>55</v>
      </c>
      <c r="N190" t="s">
        <v>293</v>
      </c>
      <c r="P190" t="s">
        <v>80</v>
      </c>
      <c r="Q190" t="s">
        <v>47</v>
      </c>
      <c r="R190" t="s">
        <v>44</v>
      </c>
      <c r="S190">
        <v>0</v>
      </c>
      <c r="W190" s="3">
        <v>2.7777777777777779E-3</v>
      </c>
      <c r="X190" t="s">
        <v>603</v>
      </c>
      <c r="Y190">
        <v>33</v>
      </c>
      <c r="Z190">
        <v>0</v>
      </c>
      <c r="AA190" t="s">
        <v>49</v>
      </c>
      <c r="AB190">
        <v>0</v>
      </c>
      <c r="AC190" t="s">
        <v>49</v>
      </c>
      <c r="AD190">
        <v>0</v>
      </c>
      <c r="AE190">
        <v>-1</v>
      </c>
      <c r="AF190" t="s">
        <v>50</v>
      </c>
      <c r="AG190" t="s">
        <v>411</v>
      </c>
    </row>
    <row r="191" spans="1:33" x14ac:dyDescent="0.35">
      <c r="A191" s="1">
        <v>44905.586805555555</v>
      </c>
      <c r="B191">
        <v>5896257</v>
      </c>
      <c r="C191" t="s">
        <v>479</v>
      </c>
      <c r="D191" t="s">
        <v>59</v>
      </c>
      <c r="E191" s="2">
        <v>44167</v>
      </c>
      <c r="F191" t="str">
        <f>"9781119551737"</f>
        <v>9781119551737</v>
      </c>
      <c r="G191" t="str">
        <f>"9781119551720"</f>
        <v>9781119551720</v>
      </c>
      <c r="H191" t="s">
        <v>261</v>
      </c>
      <c r="I191">
        <v>628.51</v>
      </c>
      <c r="J191" t="s">
        <v>480</v>
      </c>
      <c r="K191" t="s">
        <v>55</v>
      </c>
      <c r="N191" t="s">
        <v>45</v>
      </c>
      <c r="O191" t="s">
        <v>46</v>
      </c>
      <c r="P191" t="s">
        <v>45</v>
      </c>
      <c r="Q191" t="s">
        <v>47</v>
      </c>
      <c r="R191" t="s">
        <v>44</v>
      </c>
      <c r="S191">
        <v>0</v>
      </c>
      <c r="W191" s="3">
        <v>8.7962962962962962E-4</v>
      </c>
      <c r="X191" t="s">
        <v>604</v>
      </c>
      <c r="Y191">
        <v>13</v>
      </c>
      <c r="Z191">
        <v>0</v>
      </c>
      <c r="AA191" t="s">
        <v>49</v>
      </c>
      <c r="AB191">
        <v>0</v>
      </c>
      <c r="AC191" t="s">
        <v>49</v>
      </c>
      <c r="AD191">
        <v>0</v>
      </c>
      <c r="AE191">
        <v>-1</v>
      </c>
      <c r="AF191" t="s">
        <v>50</v>
      </c>
      <c r="AG191" t="s">
        <v>411</v>
      </c>
    </row>
    <row r="192" spans="1:33" x14ac:dyDescent="0.35">
      <c r="A192" s="1">
        <v>44905.56527777778</v>
      </c>
      <c r="B192">
        <v>6437644</v>
      </c>
      <c r="C192" t="s">
        <v>605</v>
      </c>
      <c r="D192" t="s">
        <v>105</v>
      </c>
      <c r="E192" s="2">
        <v>44188</v>
      </c>
      <c r="F192" t="str">
        <f>"9783030603151"</f>
        <v>9783030603151</v>
      </c>
      <c r="G192" t="str">
        <f>"9783030603144"</f>
        <v>9783030603144</v>
      </c>
      <c r="H192" t="s">
        <v>606</v>
      </c>
      <c r="I192">
        <v>179.7</v>
      </c>
      <c r="J192" t="s">
        <v>607</v>
      </c>
      <c r="K192" t="s">
        <v>55</v>
      </c>
      <c r="Q192" t="s">
        <v>47</v>
      </c>
      <c r="R192" t="s">
        <v>44</v>
      </c>
      <c r="S192">
        <v>0</v>
      </c>
      <c r="W192" s="3">
        <v>0</v>
      </c>
      <c r="X192" t="s">
        <v>49</v>
      </c>
      <c r="Y192">
        <v>0</v>
      </c>
      <c r="Z192">
        <v>0</v>
      </c>
      <c r="AA192" t="s">
        <v>49</v>
      </c>
      <c r="AB192">
        <v>0</v>
      </c>
      <c r="AC192" t="s">
        <v>49</v>
      </c>
      <c r="AD192">
        <v>0</v>
      </c>
      <c r="AE192">
        <v>-1</v>
      </c>
      <c r="AF192" t="s">
        <v>50</v>
      </c>
      <c r="AG192" t="s">
        <v>388</v>
      </c>
    </row>
    <row r="193" spans="1:33" x14ac:dyDescent="0.35">
      <c r="A193" s="1">
        <v>44905.47152777778</v>
      </c>
      <c r="B193">
        <v>1640151</v>
      </c>
      <c r="C193" t="s">
        <v>608</v>
      </c>
      <c r="D193" t="s">
        <v>65</v>
      </c>
      <c r="E193" s="2">
        <v>37008</v>
      </c>
      <c r="F193" t="str">
        <f>"9781855737556"</f>
        <v>9781855737556</v>
      </c>
      <c r="G193" t="str">
        <f>"9781855733336"</f>
        <v>9781855733336</v>
      </c>
      <c r="H193" t="s">
        <v>609</v>
      </c>
      <c r="I193">
        <v>677.02824499999997</v>
      </c>
      <c r="J193" t="s">
        <v>610</v>
      </c>
      <c r="K193" t="s">
        <v>44</v>
      </c>
      <c r="N193" t="s">
        <v>45</v>
      </c>
      <c r="O193" t="s">
        <v>46</v>
      </c>
      <c r="P193" t="s">
        <v>45</v>
      </c>
      <c r="Q193" t="s">
        <v>47</v>
      </c>
      <c r="R193" t="s">
        <v>44</v>
      </c>
      <c r="S193">
        <v>1</v>
      </c>
      <c r="W193" s="3">
        <v>1.1574074074074073E-5</v>
      </c>
      <c r="X193" t="s">
        <v>49</v>
      </c>
      <c r="Y193">
        <v>0</v>
      </c>
      <c r="Z193">
        <v>0</v>
      </c>
      <c r="AA193" t="s">
        <v>49</v>
      </c>
      <c r="AB193">
        <v>0</v>
      </c>
      <c r="AC193" t="s">
        <v>49</v>
      </c>
      <c r="AD193">
        <v>0</v>
      </c>
      <c r="AE193">
        <v>10833127</v>
      </c>
      <c r="AF193" t="s">
        <v>63</v>
      </c>
      <c r="AG193" t="s">
        <v>57</v>
      </c>
    </row>
    <row r="194" spans="1:33" x14ac:dyDescent="0.35">
      <c r="A194" s="1">
        <v>44905.355555555558</v>
      </c>
      <c r="B194">
        <v>1655929</v>
      </c>
      <c r="C194" t="s">
        <v>611</v>
      </c>
      <c r="D194" t="s">
        <v>59</v>
      </c>
      <c r="E194" s="2">
        <v>41813</v>
      </c>
      <c r="F194" t="str">
        <f>"9781118474570"</f>
        <v>9781118474570</v>
      </c>
      <c r="G194" t="str">
        <f>"9781118474600"</f>
        <v>9781118474600</v>
      </c>
      <c r="H194" t="s">
        <v>176</v>
      </c>
      <c r="I194">
        <v>363.19260000000003</v>
      </c>
      <c r="J194" t="s">
        <v>612</v>
      </c>
      <c r="K194" t="s">
        <v>44</v>
      </c>
      <c r="N194" t="s">
        <v>45</v>
      </c>
      <c r="O194" t="s">
        <v>46</v>
      </c>
      <c r="P194" t="s">
        <v>45</v>
      </c>
      <c r="Q194" t="s">
        <v>47</v>
      </c>
      <c r="R194" t="s">
        <v>44</v>
      </c>
      <c r="S194">
        <v>1</v>
      </c>
      <c r="W194" s="3">
        <v>0</v>
      </c>
      <c r="X194" t="s">
        <v>49</v>
      </c>
      <c r="Y194">
        <v>0</v>
      </c>
      <c r="Z194">
        <v>0</v>
      </c>
      <c r="AA194" t="s">
        <v>49</v>
      </c>
      <c r="AB194">
        <v>0</v>
      </c>
      <c r="AC194" t="s">
        <v>49</v>
      </c>
      <c r="AD194">
        <v>0</v>
      </c>
      <c r="AE194">
        <v>10851108</v>
      </c>
      <c r="AF194" t="s">
        <v>63</v>
      </c>
      <c r="AG194" t="s">
        <v>523</v>
      </c>
    </row>
    <row r="195" spans="1:33" x14ac:dyDescent="0.35">
      <c r="A195" s="1">
        <v>44905.275694444441</v>
      </c>
      <c r="B195">
        <v>6012259</v>
      </c>
      <c r="C195" t="s">
        <v>613</v>
      </c>
      <c r="D195" t="s">
        <v>614</v>
      </c>
      <c r="E195" s="2">
        <v>43839</v>
      </c>
      <c r="F195" t="str">
        <f>"9789813295315"</f>
        <v>9789813295315</v>
      </c>
      <c r="G195" t="str">
        <f>"9789813295308"</f>
        <v>9789813295308</v>
      </c>
      <c r="H195" t="s">
        <v>513</v>
      </c>
      <c r="I195">
        <v>620</v>
      </c>
      <c r="J195" t="s">
        <v>615</v>
      </c>
      <c r="K195" t="s">
        <v>55</v>
      </c>
      <c r="Q195" t="s">
        <v>47</v>
      </c>
      <c r="R195" t="s">
        <v>44</v>
      </c>
      <c r="S195">
        <v>0</v>
      </c>
      <c r="W195" s="3">
        <v>6.3078703703703708E-3</v>
      </c>
      <c r="X195" t="s">
        <v>616</v>
      </c>
      <c r="Y195">
        <v>10</v>
      </c>
      <c r="Z195">
        <v>0</v>
      </c>
      <c r="AA195" t="s">
        <v>49</v>
      </c>
      <c r="AB195">
        <v>0</v>
      </c>
      <c r="AC195" t="s">
        <v>49</v>
      </c>
      <c r="AD195">
        <v>0</v>
      </c>
      <c r="AE195">
        <v>-1</v>
      </c>
      <c r="AF195" t="s">
        <v>50</v>
      </c>
      <c r="AG195" t="s">
        <v>57</v>
      </c>
    </row>
    <row r="196" spans="1:33" x14ac:dyDescent="0.35">
      <c r="A196" s="1">
        <v>44905.178472222222</v>
      </c>
      <c r="B196">
        <v>817872</v>
      </c>
      <c r="C196" t="s">
        <v>617</v>
      </c>
      <c r="D196" t="s">
        <v>59</v>
      </c>
      <c r="E196" s="2">
        <v>40981</v>
      </c>
      <c r="F196" t="str">
        <f>"9781118207208"</f>
        <v>9781118207208</v>
      </c>
      <c r="G196" t="str">
        <f>"9781118087572"</f>
        <v>9781118087572</v>
      </c>
      <c r="H196" t="s">
        <v>618</v>
      </c>
      <c r="I196">
        <v>501.51</v>
      </c>
      <c r="J196" t="s">
        <v>619</v>
      </c>
      <c r="K196" t="s">
        <v>44</v>
      </c>
      <c r="N196" t="s">
        <v>45</v>
      </c>
      <c r="O196" t="s">
        <v>46</v>
      </c>
      <c r="P196" t="s">
        <v>45</v>
      </c>
      <c r="Q196" t="s">
        <v>47</v>
      </c>
      <c r="R196" t="s">
        <v>44</v>
      </c>
      <c r="S196">
        <v>0</v>
      </c>
      <c r="W196" s="3">
        <v>3.4722222222222224E-4</v>
      </c>
      <c r="X196" t="s">
        <v>620</v>
      </c>
      <c r="Y196">
        <v>6</v>
      </c>
      <c r="Z196">
        <v>0</v>
      </c>
      <c r="AA196" t="s">
        <v>49</v>
      </c>
      <c r="AB196">
        <v>0</v>
      </c>
      <c r="AC196" t="s">
        <v>49</v>
      </c>
      <c r="AD196">
        <v>0</v>
      </c>
      <c r="AE196">
        <v>10546545</v>
      </c>
      <c r="AF196" t="s">
        <v>50</v>
      </c>
      <c r="AG196" t="s">
        <v>57</v>
      </c>
    </row>
    <row r="197" spans="1:33" x14ac:dyDescent="0.35">
      <c r="A197" s="1">
        <v>44905.174305555556</v>
      </c>
      <c r="B197">
        <v>697582</v>
      </c>
      <c r="C197" t="s">
        <v>621</v>
      </c>
      <c r="D197" t="s">
        <v>59</v>
      </c>
      <c r="E197" s="2">
        <v>40785</v>
      </c>
      <c r="F197" t="str">
        <f>"9781118086438"</f>
        <v>9781118086438</v>
      </c>
      <c r="G197" t="str">
        <f>"9781118086810"</f>
        <v>9781118086810</v>
      </c>
      <c r="H197" t="s">
        <v>95</v>
      </c>
      <c r="I197" t="s">
        <v>622</v>
      </c>
      <c r="J197" t="s">
        <v>623</v>
      </c>
      <c r="K197" t="s">
        <v>44</v>
      </c>
      <c r="N197" t="s">
        <v>45</v>
      </c>
      <c r="O197" t="s">
        <v>46</v>
      </c>
      <c r="P197" t="s">
        <v>45</v>
      </c>
      <c r="Q197" t="s">
        <v>47</v>
      </c>
      <c r="R197" t="s">
        <v>44</v>
      </c>
      <c r="S197">
        <v>0</v>
      </c>
      <c r="W197" s="3">
        <v>1.9212962962962962E-3</v>
      </c>
      <c r="X197" t="s">
        <v>624</v>
      </c>
      <c r="Y197">
        <v>32</v>
      </c>
      <c r="Z197">
        <v>0</v>
      </c>
      <c r="AA197" t="s">
        <v>49</v>
      </c>
      <c r="AB197">
        <v>0</v>
      </c>
      <c r="AC197" t="s">
        <v>49</v>
      </c>
      <c r="AD197">
        <v>0</v>
      </c>
      <c r="AE197">
        <v>10484856</v>
      </c>
      <c r="AF197" t="s">
        <v>50</v>
      </c>
      <c r="AG197" t="s">
        <v>57</v>
      </c>
    </row>
    <row r="198" spans="1:33" x14ac:dyDescent="0.35">
      <c r="A198" s="1">
        <v>44905.113888888889</v>
      </c>
      <c r="B198">
        <v>764961</v>
      </c>
      <c r="C198" t="s">
        <v>517</v>
      </c>
      <c r="D198" t="s">
        <v>76</v>
      </c>
      <c r="E198" s="2">
        <v>37986</v>
      </c>
      <c r="F198" t="str">
        <f>"9780429917288"</f>
        <v>9780429917288</v>
      </c>
      <c r="G198" t="str">
        <f>"9781855752870"</f>
        <v>9781855752870</v>
      </c>
      <c r="H198" t="s">
        <v>151</v>
      </c>
      <c r="I198" t="s">
        <v>518</v>
      </c>
      <c r="J198" t="s">
        <v>519</v>
      </c>
      <c r="K198" t="s">
        <v>44</v>
      </c>
      <c r="N198" t="s">
        <v>45</v>
      </c>
      <c r="O198" t="s">
        <v>46</v>
      </c>
      <c r="P198" t="s">
        <v>45</v>
      </c>
      <c r="Q198" t="s">
        <v>47</v>
      </c>
      <c r="R198" t="s">
        <v>44</v>
      </c>
      <c r="S198">
        <v>0</v>
      </c>
      <c r="W198" s="3">
        <v>2.3148148148148146E-4</v>
      </c>
      <c r="X198" t="s">
        <v>625</v>
      </c>
      <c r="Y198">
        <v>5</v>
      </c>
      <c r="Z198">
        <v>0</v>
      </c>
      <c r="AA198" t="s">
        <v>49</v>
      </c>
      <c r="AB198">
        <v>0</v>
      </c>
      <c r="AC198" t="s">
        <v>49</v>
      </c>
      <c r="AD198">
        <v>0</v>
      </c>
      <c r="AE198">
        <v>10570955</v>
      </c>
      <c r="AF198" t="s">
        <v>50</v>
      </c>
      <c r="AG198" t="s">
        <v>57</v>
      </c>
    </row>
    <row r="199" spans="1:33" x14ac:dyDescent="0.35">
      <c r="A199" s="1">
        <v>44905.03125</v>
      </c>
      <c r="B199">
        <v>5829217</v>
      </c>
      <c r="C199" t="s">
        <v>626</v>
      </c>
      <c r="D199" t="s">
        <v>627</v>
      </c>
      <c r="E199" s="2">
        <v>43259</v>
      </c>
      <c r="F199" t="str">
        <f>"9781496395139"</f>
        <v>9781496395139</v>
      </c>
      <c r="G199" t="str">
        <f>"9781496335418"</f>
        <v>9781496335418</v>
      </c>
      <c r="H199" t="s">
        <v>77</v>
      </c>
      <c r="I199" t="s">
        <v>628</v>
      </c>
      <c r="J199" t="s">
        <v>629</v>
      </c>
      <c r="K199" t="s">
        <v>44</v>
      </c>
      <c r="N199" t="s">
        <v>45</v>
      </c>
      <c r="O199" t="s">
        <v>46</v>
      </c>
      <c r="P199" t="s">
        <v>45</v>
      </c>
      <c r="Q199" t="s">
        <v>47</v>
      </c>
      <c r="R199" t="s">
        <v>44</v>
      </c>
      <c r="S199">
        <v>1</v>
      </c>
      <c r="W199" s="3">
        <v>0</v>
      </c>
      <c r="X199" t="s">
        <v>49</v>
      </c>
      <c r="Y199">
        <v>0</v>
      </c>
      <c r="Z199">
        <v>0</v>
      </c>
      <c r="AA199" t="s">
        <v>49</v>
      </c>
      <c r="AB199">
        <v>0</v>
      </c>
      <c r="AC199" t="s">
        <v>49</v>
      </c>
      <c r="AD199">
        <v>0</v>
      </c>
      <c r="AE199">
        <v>-1</v>
      </c>
      <c r="AF199" t="s">
        <v>63</v>
      </c>
      <c r="AG199" t="s">
        <v>630</v>
      </c>
    </row>
    <row r="200" spans="1:33" x14ac:dyDescent="0.35">
      <c r="A200" s="1">
        <v>44904.906944444447</v>
      </c>
      <c r="B200">
        <v>6437644</v>
      </c>
      <c r="C200" t="s">
        <v>605</v>
      </c>
      <c r="D200" t="s">
        <v>105</v>
      </c>
      <c r="E200" s="2">
        <v>44188</v>
      </c>
      <c r="F200" t="str">
        <f>"9783030603151"</f>
        <v>9783030603151</v>
      </c>
      <c r="G200" t="str">
        <f>"9783030603144"</f>
        <v>9783030603144</v>
      </c>
      <c r="H200" t="s">
        <v>606</v>
      </c>
      <c r="I200">
        <v>179.7</v>
      </c>
      <c r="J200" t="s">
        <v>607</v>
      </c>
      <c r="K200" t="s">
        <v>55</v>
      </c>
      <c r="Q200" t="s">
        <v>47</v>
      </c>
      <c r="R200" t="s">
        <v>44</v>
      </c>
      <c r="S200">
        <v>0</v>
      </c>
      <c r="W200" s="3">
        <v>2.1296296296296298E-3</v>
      </c>
      <c r="X200" t="s">
        <v>631</v>
      </c>
      <c r="Y200">
        <v>9</v>
      </c>
      <c r="Z200">
        <v>0</v>
      </c>
      <c r="AA200" t="s">
        <v>49</v>
      </c>
      <c r="AB200">
        <v>0</v>
      </c>
      <c r="AC200" t="s">
        <v>49</v>
      </c>
      <c r="AD200">
        <v>0</v>
      </c>
      <c r="AE200">
        <v>-1</v>
      </c>
      <c r="AF200" t="s">
        <v>50</v>
      </c>
      <c r="AG200" t="s">
        <v>388</v>
      </c>
    </row>
    <row r="201" spans="1:33" x14ac:dyDescent="0.35">
      <c r="A201" s="1">
        <v>44904.743055555555</v>
      </c>
      <c r="B201">
        <v>267499</v>
      </c>
      <c r="C201" t="s">
        <v>632</v>
      </c>
      <c r="D201" t="s">
        <v>633</v>
      </c>
      <c r="E201" s="2">
        <v>37329</v>
      </c>
      <c r="F201" t="str">
        <f>"9781601294296"</f>
        <v>9781601294296</v>
      </c>
      <c r="G201" t="str">
        <f>"9781586030919"</f>
        <v>9781586030919</v>
      </c>
      <c r="H201" t="s">
        <v>77</v>
      </c>
      <c r="I201" t="s">
        <v>634</v>
      </c>
      <c r="J201" t="s">
        <v>635</v>
      </c>
      <c r="K201" t="s">
        <v>44</v>
      </c>
      <c r="N201" t="s">
        <v>45</v>
      </c>
      <c r="O201" t="s">
        <v>46</v>
      </c>
      <c r="P201" t="s">
        <v>177</v>
      </c>
      <c r="Q201" t="s">
        <v>47</v>
      </c>
      <c r="R201" t="s">
        <v>55</v>
      </c>
      <c r="S201">
        <v>0</v>
      </c>
      <c r="W201" s="3">
        <v>4.7222222222222223E-3</v>
      </c>
      <c r="X201" t="s">
        <v>636</v>
      </c>
      <c r="Y201">
        <v>10</v>
      </c>
      <c r="Z201">
        <v>0</v>
      </c>
      <c r="AA201" t="s">
        <v>49</v>
      </c>
      <c r="AB201">
        <v>0</v>
      </c>
      <c r="AC201" t="s">
        <v>49</v>
      </c>
      <c r="AD201">
        <v>0</v>
      </c>
      <c r="AE201">
        <v>10116482</v>
      </c>
      <c r="AF201" t="s">
        <v>50</v>
      </c>
      <c r="AG201" t="s">
        <v>637</v>
      </c>
    </row>
    <row r="202" spans="1:33" x14ac:dyDescent="0.35">
      <c r="A202" s="1">
        <v>44904.725694444445</v>
      </c>
      <c r="B202">
        <v>7104670</v>
      </c>
      <c r="C202" t="s">
        <v>638</v>
      </c>
      <c r="D202" t="s">
        <v>59</v>
      </c>
      <c r="E202" s="2">
        <v>41575</v>
      </c>
      <c r="F202" t="str">
        <f>"9783527670802"</f>
        <v>9783527670802</v>
      </c>
      <c r="G202" t="str">
        <f>"9783527334636"</f>
        <v>9783527334636</v>
      </c>
      <c r="H202" t="s">
        <v>639</v>
      </c>
      <c r="K202" t="s">
        <v>44</v>
      </c>
      <c r="N202" t="s">
        <v>45</v>
      </c>
      <c r="O202" t="s">
        <v>46</v>
      </c>
      <c r="P202" t="s">
        <v>45</v>
      </c>
      <c r="Q202" t="s">
        <v>47</v>
      </c>
      <c r="R202" t="s">
        <v>44</v>
      </c>
      <c r="S202">
        <v>0</v>
      </c>
      <c r="W202" s="3">
        <v>1.4467592592592594E-3</v>
      </c>
      <c r="X202" t="s">
        <v>640</v>
      </c>
      <c r="Y202">
        <v>30</v>
      </c>
      <c r="Z202">
        <v>0</v>
      </c>
      <c r="AA202" t="s">
        <v>49</v>
      </c>
      <c r="AB202">
        <v>0</v>
      </c>
      <c r="AC202" t="s">
        <v>49</v>
      </c>
      <c r="AD202">
        <v>0</v>
      </c>
      <c r="AE202">
        <v>-1</v>
      </c>
      <c r="AF202" t="s">
        <v>50</v>
      </c>
      <c r="AG202" t="s">
        <v>411</v>
      </c>
    </row>
    <row r="203" spans="1:33" x14ac:dyDescent="0.35">
      <c r="A203" s="1">
        <v>44904.587500000001</v>
      </c>
      <c r="B203">
        <v>6541201</v>
      </c>
      <c r="C203" t="s">
        <v>641</v>
      </c>
      <c r="D203" t="s">
        <v>537</v>
      </c>
      <c r="E203" s="2">
        <v>44344</v>
      </c>
      <c r="F203" t="str">
        <f>"9781000258271"</f>
        <v>9781000258271</v>
      </c>
      <c r="G203" t="str">
        <f>"9789814877435"</f>
        <v>9789814877435</v>
      </c>
      <c r="H203" t="s">
        <v>120</v>
      </c>
      <c r="I203">
        <v>620.5</v>
      </c>
      <c r="J203" t="s">
        <v>642</v>
      </c>
      <c r="K203" t="s">
        <v>55</v>
      </c>
      <c r="N203" t="s">
        <v>293</v>
      </c>
      <c r="P203" t="s">
        <v>80</v>
      </c>
      <c r="Q203" t="s">
        <v>47</v>
      </c>
      <c r="R203" t="s">
        <v>44</v>
      </c>
      <c r="S203">
        <v>1</v>
      </c>
      <c r="T203">
        <v>90</v>
      </c>
      <c r="U203" s="1">
        <v>44904.587500000001</v>
      </c>
      <c r="V203" s="1">
        <v>44994.587500000001</v>
      </c>
      <c r="W203" s="3">
        <v>1.3888888888888889E-4</v>
      </c>
      <c r="X203" t="s">
        <v>643</v>
      </c>
      <c r="Y203">
        <v>2</v>
      </c>
      <c r="Z203">
        <v>0</v>
      </c>
      <c r="AA203" t="s">
        <v>49</v>
      </c>
      <c r="AB203">
        <v>0</v>
      </c>
      <c r="AC203" t="s">
        <v>49</v>
      </c>
      <c r="AD203">
        <v>0</v>
      </c>
      <c r="AE203">
        <v>-1</v>
      </c>
      <c r="AF203" t="s">
        <v>63</v>
      </c>
      <c r="AG203" t="s">
        <v>57</v>
      </c>
    </row>
    <row r="204" spans="1:33" x14ac:dyDescent="0.35">
      <c r="A204" s="1">
        <v>44904.586805555555</v>
      </c>
      <c r="B204">
        <v>3408116</v>
      </c>
      <c r="C204" t="s">
        <v>644</v>
      </c>
      <c r="D204" t="s">
        <v>645</v>
      </c>
      <c r="E204" s="2">
        <v>40066</v>
      </c>
      <c r="F204" t="str">
        <f>"9781438427423"</f>
        <v>9781438427423</v>
      </c>
      <c r="G204" t="str">
        <f>"9781438427331"</f>
        <v>9781438427331</v>
      </c>
      <c r="H204" t="s">
        <v>498</v>
      </c>
      <c r="I204" t="s">
        <v>646</v>
      </c>
      <c r="J204" t="s">
        <v>647</v>
      </c>
      <c r="K204" t="s">
        <v>44</v>
      </c>
      <c r="N204" t="s">
        <v>45</v>
      </c>
      <c r="O204" t="s">
        <v>46</v>
      </c>
      <c r="P204" t="s">
        <v>45</v>
      </c>
      <c r="Q204" t="s">
        <v>47</v>
      </c>
      <c r="R204" t="s">
        <v>44</v>
      </c>
      <c r="S204">
        <v>0</v>
      </c>
      <c r="W204" s="3">
        <v>6.9444444444444444E-5</v>
      </c>
      <c r="X204" t="s">
        <v>196</v>
      </c>
      <c r="Y204">
        <v>2</v>
      </c>
      <c r="Z204">
        <v>0</v>
      </c>
      <c r="AA204" t="s">
        <v>49</v>
      </c>
      <c r="AB204">
        <v>0</v>
      </c>
      <c r="AC204" t="s">
        <v>49</v>
      </c>
      <c r="AD204">
        <v>0</v>
      </c>
      <c r="AE204">
        <v>10588663</v>
      </c>
      <c r="AF204" t="s">
        <v>50</v>
      </c>
      <c r="AG204" t="s">
        <v>57</v>
      </c>
    </row>
    <row r="205" spans="1:33" x14ac:dyDescent="0.35">
      <c r="A205" s="1">
        <v>44904.586805555555</v>
      </c>
      <c r="B205">
        <v>6541201</v>
      </c>
      <c r="C205" t="s">
        <v>641</v>
      </c>
      <c r="D205" t="s">
        <v>537</v>
      </c>
      <c r="E205" s="2">
        <v>44344</v>
      </c>
      <c r="F205" t="str">
        <f>"9781000258271"</f>
        <v>9781000258271</v>
      </c>
      <c r="G205" t="str">
        <f>"9789814877435"</f>
        <v>9789814877435</v>
      </c>
      <c r="H205" t="s">
        <v>120</v>
      </c>
      <c r="I205">
        <v>620.5</v>
      </c>
      <c r="J205" t="s">
        <v>642</v>
      </c>
      <c r="K205" t="s">
        <v>55</v>
      </c>
      <c r="N205" t="s">
        <v>293</v>
      </c>
      <c r="P205" t="s">
        <v>80</v>
      </c>
      <c r="Q205" t="s">
        <v>47</v>
      </c>
      <c r="R205" t="s">
        <v>44</v>
      </c>
      <c r="S205">
        <v>0</v>
      </c>
      <c r="W205" s="3">
        <v>4.6296296296296293E-4</v>
      </c>
      <c r="X205" t="s">
        <v>648</v>
      </c>
      <c r="Y205">
        <v>2</v>
      </c>
      <c r="Z205">
        <v>0</v>
      </c>
      <c r="AA205" t="s">
        <v>49</v>
      </c>
      <c r="AB205">
        <v>0</v>
      </c>
      <c r="AC205" t="s">
        <v>49</v>
      </c>
      <c r="AD205">
        <v>0</v>
      </c>
      <c r="AE205">
        <v>-1</v>
      </c>
      <c r="AF205" t="s">
        <v>63</v>
      </c>
      <c r="AG205" t="s">
        <v>57</v>
      </c>
    </row>
    <row r="206" spans="1:33" x14ac:dyDescent="0.35">
      <c r="A206" s="1">
        <v>44904.572916666664</v>
      </c>
      <c r="B206">
        <v>3407326</v>
      </c>
      <c r="C206" t="s">
        <v>649</v>
      </c>
      <c r="D206" t="s">
        <v>645</v>
      </c>
      <c r="E206" s="2">
        <v>40878</v>
      </c>
      <c r="F206" t="str">
        <f>"9781438439563"</f>
        <v>9781438439563</v>
      </c>
      <c r="G206" t="str">
        <f>"9781438439556"</f>
        <v>9781438439556</v>
      </c>
      <c r="H206" t="s">
        <v>498</v>
      </c>
      <c r="I206">
        <v>193</v>
      </c>
      <c r="J206" t="s">
        <v>650</v>
      </c>
      <c r="K206" t="s">
        <v>44</v>
      </c>
      <c r="N206" t="s">
        <v>45</v>
      </c>
      <c r="O206" t="s">
        <v>46</v>
      </c>
      <c r="P206" t="s">
        <v>45</v>
      </c>
      <c r="Q206" t="s">
        <v>47</v>
      </c>
      <c r="R206" t="s">
        <v>44</v>
      </c>
      <c r="S206">
        <v>0</v>
      </c>
      <c r="W206" s="3">
        <v>1.3402777777777777E-2</v>
      </c>
      <c r="X206" t="s">
        <v>651</v>
      </c>
      <c r="Y206">
        <v>8</v>
      </c>
      <c r="Z206">
        <v>0</v>
      </c>
      <c r="AA206" t="s">
        <v>49</v>
      </c>
      <c r="AB206">
        <v>0</v>
      </c>
      <c r="AC206" t="s">
        <v>49</v>
      </c>
      <c r="AD206">
        <v>0</v>
      </c>
      <c r="AE206">
        <v>10574188</v>
      </c>
      <c r="AF206" t="s">
        <v>50</v>
      </c>
      <c r="AG206" t="s">
        <v>57</v>
      </c>
    </row>
    <row r="207" spans="1:33" x14ac:dyDescent="0.35">
      <c r="A207" s="1">
        <v>44904.565972222219</v>
      </c>
      <c r="B207">
        <v>6808921</v>
      </c>
      <c r="C207" t="s">
        <v>652</v>
      </c>
      <c r="D207" t="s">
        <v>65</v>
      </c>
      <c r="E207" s="2">
        <v>44508</v>
      </c>
      <c r="F207" t="str">
        <f>"9780128201794"</f>
        <v>9780128201794</v>
      </c>
      <c r="G207" t="str">
        <f>"9780128201787"</f>
        <v>9780128201787</v>
      </c>
      <c r="H207" t="s">
        <v>653</v>
      </c>
      <c r="I207">
        <v>631.86</v>
      </c>
      <c r="J207" t="s">
        <v>654</v>
      </c>
      <c r="K207" t="s">
        <v>55</v>
      </c>
      <c r="Q207" t="s">
        <v>47</v>
      </c>
      <c r="R207" t="s">
        <v>44</v>
      </c>
      <c r="S207">
        <v>0</v>
      </c>
      <c r="W207" s="3">
        <v>1.4328703703703703E-2</v>
      </c>
      <c r="X207" t="s">
        <v>655</v>
      </c>
      <c r="Y207">
        <v>9</v>
      </c>
      <c r="Z207">
        <v>0</v>
      </c>
      <c r="AA207" t="s">
        <v>49</v>
      </c>
      <c r="AB207">
        <v>0</v>
      </c>
      <c r="AC207" t="s">
        <v>49</v>
      </c>
      <c r="AD207">
        <v>0</v>
      </c>
      <c r="AE207">
        <v>-1</v>
      </c>
      <c r="AF207" t="s">
        <v>63</v>
      </c>
      <c r="AG207" t="s">
        <v>318</v>
      </c>
    </row>
    <row r="208" spans="1:33" x14ac:dyDescent="0.35">
      <c r="A208" s="1">
        <v>44904.540972222225</v>
      </c>
      <c r="B208">
        <v>5560173</v>
      </c>
      <c r="C208" t="s">
        <v>656</v>
      </c>
      <c r="D208" t="s">
        <v>657</v>
      </c>
      <c r="E208" s="2">
        <v>43391</v>
      </c>
      <c r="F208" t="str">
        <f>"9781476632681"</f>
        <v>9781476632681</v>
      </c>
      <c r="G208" t="str">
        <f>"9781476673851"</f>
        <v>9781476673851</v>
      </c>
      <c r="H208" t="s">
        <v>658</v>
      </c>
      <c r="I208">
        <v>739.27820750000001</v>
      </c>
      <c r="J208" t="s">
        <v>659</v>
      </c>
      <c r="K208" t="s">
        <v>44</v>
      </c>
      <c r="N208" t="s">
        <v>45</v>
      </c>
      <c r="O208" t="s">
        <v>46</v>
      </c>
      <c r="P208" t="s">
        <v>45</v>
      </c>
      <c r="Q208" t="s">
        <v>47</v>
      </c>
      <c r="R208" t="s">
        <v>44</v>
      </c>
      <c r="S208">
        <v>0</v>
      </c>
      <c r="W208" s="3">
        <v>1.6203703703703703E-4</v>
      </c>
      <c r="X208" t="s">
        <v>660</v>
      </c>
      <c r="Y208">
        <v>5</v>
      </c>
      <c r="Z208">
        <v>0</v>
      </c>
      <c r="AA208" t="s">
        <v>49</v>
      </c>
      <c r="AB208">
        <v>0</v>
      </c>
      <c r="AC208" t="s">
        <v>49</v>
      </c>
      <c r="AD208">
        <v>0</v>
      </c>
      <c r="AE208">
        <v>11625847</v>
      </c>
      <c r="AF208" t="s">
        <v>50</v>
      </c>
      <c r="AG208" t="s">
        <v>388</v>
      </c>
    </row>
    <row r="209" spans="1:33" x14ac:dyDescent="0.35">
      <c r="A209" s="1">
        <v>44904.531944444447</v>
      </c>
      <c r="B209">
        <v>5900251</v>
      </c>
      <c r="C209" t="s">
        <v>661</v>
      </c>
      <c r="D209" t="s">
        <v>105</v>
      </c>
      <c r="E209" s="2">
        <v>43745</v>
      </c>
      <c r="F209" t="str">
        <f>"9783030206802"</f>
        <v>9783030206802</v>
      </c>
      <c r="G209" t="str">
        <f>"9783030206796"</f>
        <v>9783030206796</v>
      </c>
      <c r="H209" t="s">
        <v>60</v>
      </c>
      <c r="I209">
        <v>658</v>
      </c>
      <c r="J209" t="s">
        <v>662</v>
      </c>
      <c r="K209" t="s">
        <v>55</v>
      </c>
      <c r="Q209" t="s">
        <v>47</v>
      </c>
      <c r="R209" t="s">
        <v>44</v>
      </c>
      <c r="S209">
        <v>0</v>
      </c>
      <c r="W209" s="3">
        <v>7.1759259259259259E-3</v>
      </c>
      <c r="X209" t="s">
        <v>663</v>
      </c>
      <c r="Y209">
        <v>17</v>
      </c>
      <c r="Z209">
        <v>0</v>
      </c>
      <c r="AA209" t="s">
        <v>49</v>
      </c>
      <c r="AB209">
        <v>0</v>
      </c>
      <c r="AC209" t="s">
        <v>49</v>
      </c>
      <c r="AD209">
        <v>0</v>
      </c>
      <c r="AE209">
        <v>-1</v>
      </c>
      <c r="AF209" t="s">
        <v>63</v>
      </c>
      <c r="AG209" t="s">
        <v>637</v>
      </c>
    </row>
    <row r="210" spans="1:33" x14ac:dyDescent="0.35">
      <c r="A210" s="1">
        <v>44904.522916666669</v>
      </c>
      <c r="B210">
        <v>267499</v>
      </c>
      <c r="C210" t="s">
        <v>632</v>
      </c>
      <c r="D210" t="s">
        <v>633</v>
      </c>
      <c r="E210" s="2">
        <v>37329</v>
      </c>
      <c r="F210" t="str">
        <f>"9781601294296"</f>
        <v>9781601294296</v>
      </c>
      <c r="G210" t="str">
        <f>"9781586030919"</f>
        <v>9781586030919</v>
      </c>
      <c r="H210" t="s">
        <v>77</v>
      </c>
      <c r="I210" t="s">
        <v>634</v>
      </c>
      <c r="J210" t="s">
        <v>635</v>
      </c>
      <c r="K210" t="s">
        <v>44</v>
      </c>
      <c r="N210" t="s">
        <v>45</v>
      </c>
      <c r="O210" t="s">
        <v>46</v>
      </c>
      <c r="P210" t="s">
        <v>177</v>
      </c>
      <c r="Q210" t="s">
        <v>47</v>
      </c>
      <c r="R210" t="s">
        <v>55</v>
      </c>
      <c r="S210">
        <v>0</v>
      </c>
      <c r="W210" s="3">
        <v>4.6296296296296294E-5</v>
      </c>
      <c r="X210" t="s">
        <v>121</v>
      </c>
      <c r="Y210">
        <v>1</v>
      </c>
      <c r="Z210">
        <v>0</v>
      </c>
      <c r="AA210" t="s">
        <v>49</v>
      </c>
      <c r="AB210">
        <v>0</v>
      </c>
      <c r="AC210" t="s">
        <v>49</v>
      </c>
      <c r="AD210">
        <v>0</v>
      </c>
      <c r="AE210">
        <v>10116482</v>
      </c>
      <c r="AF210" t="s">
        <v>50</v>
      </c>
      <c r="AG210" t="s">
        <v>637</v>
      </c>
    </row>
    <row r="211" spans="1:33" x14ac:dyDescent="0.35">
      <c r="A211" s="1">
        <v>44904.505555555559</v>
      </c>
      <c r="B211">
        <v>5560173</v>
      </c>
      <c r="C211" t="s">
        <v>656</v>
      </c>
      <c r="D211" t="s">
        <v>657</v>
      </c>
      <c r="E211" s="2">
        <v>43391</v>
      </c>
      <c r="F211" t="str">
        <f>"9781476632681"</f>
        <v>9781476632681</v>
      </c>
      <c r="G211" t="str">
        <f>"9781476673851"</f>
        <v>9781476673851</v>
      </c>
      <c r="H211" t="s">
        <v>658</v>
      </c>
      <c r="I211">
        <v>739.27820750000001</v>
      </c>
      <c r="J211" t="s">
        <v>659</v>
      </c>
      <c r="K211" t="s">
        <v>44</v>
      </c>
      <c r="N211" t="s">
        <v>45</v>
      </c>
      <c r="O211" t="s">
        <v>46</v>
      </c>
      <c r="P211" t="s">
        <v>45</v>
      </c>
      <c r="Q211" t="s">
        <v>47</v>
      </c>
      <c r="R211" t="s">
        <v>44</v>
      </c>
      <c r="S211">
        <v>0</v>
      </c>
      <c r="W211" s="3">
        <v>1.4004629629629629E-3</v>
      </c>
      <c r="X211" t="s">
        <v>664</v>
      </c>
      <c r="Y211">
        <v>12</v>
      </c>
      <c r="Z211">
        <v>0</v>
      </c>
      <c r="AA211" t="s">
        <v>49</v>
      </c>
      <c r="AB211">
        <v>0</v>
      </c>
      <c r="AC211" t="s">
        <v>49</v>
      </c>
      <c r="AD211">
        <v>0</v>
      </c>
      <c r="AE211">
        <v>11625847</v>
      </c>
      <c r="AF211" t="s">
        <v>50</v>
      </c>
      <c r="AG211" t="s">
        <v>388</v>
      </c>
    </row>
    <row r="212" spans="1:33" x14ac:dyDescent="0.35">
      <c r="A212" s="1">
        <v>44904.468055555553</v>
      </c>
      <c r="B212">
        <v>5560173</v>
      </c>
      <c r="C212" t="s">
        <v>656</v>
      </c>
      <c r="D212" t="s">
        <v>657</v>
      </c>
      <c r="E212" s="2">
        <v>43391</v>
      </c>
      <c r="F212" t="str">
        <f>"9781476632681"</f>
        <v>9781476632681</v>
      </c>
      <c r="G212" t="str">
        <f>"9781476673851"</f>
        <v>9781476673851</v>
      </c>
      <c r="H212" t="s">
        <v>658</v>
      </c>
      <c r="I212">
        <v>739.27820750000001</v>
      </c>
      <c r="J212" t="s">
        <v>659</v>
      </c>
      <c r="K212" t="s">
        <v>44</v>
      </c>
      <c r="N212" t="s">
        <v>45</v>
      </c>
      <c r="O212" t="s">
        <v>46</v>
      </c>
      <c r="P212" t="s">
        <v>45</v>
      </c>
      <c r="Q212" t="s">
        <v>47</v>
      </c>
      <c r="R212" t="s">
        <v>44</v>
      </c>
      <c r="S212">
        <v>0</v>
      </c>
      <c r="W212" s="3">
        <v>4.6296296296296294E-5</v>
      </c>
      <c r="X212" t="s">
        <v>121</v>
      </c>
      <c r="Y212">
        <v>1</v>
      </c>
      <c r="Z212">
        <v>0</v>
      </c>
      <c r="AA212" t="s">
        <v>49</v>
      </c>
      <c r="AB212">
        <v>0</v>
      </c>
      <c r="AC212" t="s">
        <v>49</v>
      </c>
      <c r="AD212">
        <v>0</v>
      </c>
      <c r="AE212">
        <v>11625847</v>
      </c>
      <c r="AF212" t="s">
        <v>50</v>
      </c>
      <c r="AG212" t="s">
        <v>388</v>
      </c>
    </row>
    <row r="213" spans="1:33" x14ac:dyDescent="0.35">
      <c r="A213" s="1">
        <v>44904.378472222219</v>
      </c>
      <c r="B213">
        <v>909395</v>
      </c>
      <c r="C213" t="s">
        <v>665</v>
      </c>
      <c r="D213" t="s">
        <v>666</v>
      </c>
      <c r="E213" s="2">
        <v>38609</v>
      </c>
      <c r="F213" t="str">
        <f>"9780231509886"</f>
        <v>9780231509886</v>
      </c>
      <c r="G213" t="str">
        <f>"9780231136211"</f>
        <v>9780231136211</v>
      </c>
      <c r="H213" t="s">
        <v>667</v>
      </c>
      <c r="I213">
        <v>952.04</v>
      </c>
      <c r="J213" t="s">
        <v>668</v>
      </c>
      <c r="K213" t="s">
        <v>44</v>
      </c>
      <c r="N213" t="s">
        <v>45</v>
      </c>
      <c r="O213" t="s">
        <v>46</v>
      </c>
      <c r="P213" t="s">
        <v>45</v>
      </c>
      <c r="Q213" t="s">
        <v>47</v>
      </c>
      <c r="R213" t="s">
        <v>44</v>
      </c>
      <c r="S213">
        <v>0</v>
      </c>
      <c r="W213" s="3">
        <v>1.8043981481481484E-2</v>
      </c>
      <c r="X213" t="s">
        <v>669</v>
      </c>
      <c r="Y213">
        <v>20</v>
      </c>
      <c r="Z213">
        <v>0</v>
      </c>
      <c r="AA213" t="s">
        <v>49</v>
      </c>
      <c r="AB213">
        <v>0</v>
      </c>
      <c r="AC213" t="s">
        <v>49</v>
      </c>
      <c r="AD213">
        <v>0</v>
      </c>
      <c r="AE213">
        <v>10183600</v>
      </c>
      <c r="AF213" t="s">
        <v>50</v>
      </c>
      <c r="AG213" t="s">
        <v>670</v>
      </c>
    </row>
    <row r="214" spans="1:33" x14ac:dyDescent="0.35">
      <c r="A214" s="1">
        <v>44904.368055555555</v>
      </c>
      <c r="B214">
        <v>865481</v>
      </c>
      <c r="C214" t="s">
        <v>671</v>
      </c>
      <c r="D214" t="s">
        <v>672</v>
      </c>
      <c r="E214" s="2">
        <v>40566</v>
      </c>
      <c r="F214" t="str">
        <f>"9780814733035"</f>
        <v>9780814733035</v>
      </c>
      <c r="G214" t="str">
        <f>"9780814732090"</f>
        <v>9780814732090</v>
      </c>
      <c r="H214" t="s">
        <v>673</v>
      </c>
      <c r="I214" t="s">
        <v>674</v>
      </c>
      <c r="J214" t="s">
        <v>675</v>
      </c>
      <c r="K214" t="s">
        <v>44</v>
      </c>
      <c r="N214" t="s">
        <v>45</v>
      </c>
      <c r="O214" t="s">
        <v>46</v>
      </c>
      <c r="P214" t="s">
        <v>177</v>
      </c>
      <c r="Q214" t="s">
        <v>47</v>
      </c>
      <c r="R214" t="s">
        <v>55</v>
      </c>
      <c r="S214">
        <v>0</v>
      </c>
      <c r="W214" s="3">
        <v>9.2592592592592588E-5</v>
      </c>
      <c r="X214" t="s">
        <v>205</v>
      </c>
      <c r="Y214">
        <v>2</v>
      </c>
      <c r="Z214">
        <v>0</v>
      </c>
      <c r="AA214" t="s">
        <v>49</v>
      </c>
      <c r="AB214">
        <v>0</v>
      </c>
      <c r="AC214" t="s">
        <v>49</v>
      </c>
      <c r="AD214">
        <v>0</v>
      </c>
      <c r="AE214">
        <v>11076248</v>
      </c>
      <c r="AF214" t="s">
        <v>50</v>
      </c>
      <c r="AG214" t="s">
        <v>676</v>
      </c>
    </row>
    <row r="215" spans="1:33" x14ac:dyDescent="0.35">
      <c r="A215" s="1">
        <v>44904.340277777781</v>
      </c>
      <c r="B215">
        <v>5560173</v>
      </c>
      <c r="C215" t="s">
        <v>656</v>
      </c>
      <c r="D215" t="s">
        <v>657</v>
      </c>
      <c r="E215" s="2">
        <v>43391</v>
      </c>
      <c r="F215" t="str">
        <f>"9781476632681"</f>
        <v>9781476632681</v>
      </c>
      <c r="G215" t="str">
        <f>"9781476673851"</f>
        <v>9781476673851</v>
      </c>
      <c r="H215" t="s">
        <v>658</v>
      </c>
      <c r="I215">
        <v>739.27820750000001</v>
      </c>
      <c r="J215" t="s">
        <v>659</v>
      </c>
      <c r="K215" t="s">
        <v>44</v>
      </c>
      <c r="N215" t="s">
        <v>45</v>
      </c>
      <c r="O215" t="s">
        <v>46</v>
      </c>
      <c r="P215" t="s">
        <v>45</v>
      </c>
      <c r="Q215" t="s">
        <v>47</v>
      </c>
      <c r="R215" t="s">
        <v>44</v>
      </c>
      <c r="S215">
        <v>0</v>
      </c>
      <c r="W215" s="3">
        <v>1.1782407407407406E-2</v>
      </c>
      <c r="X215" t="s">
        <v>677</v>
      </c>
      <c r="Y215">
        <v>13</v>
      </c>
      <c r="Z215">
        <v>0</v>
      </c>
      <c r="AA215" t="s">
        <v>49</v>
      </c>
      <c r="AB215">
        <v>0</v>
      </c>
      <c r="AC215" t="s">
        <v>678</v>
      </c>
      <c r="AD215">
        <v>1</v>
      </c>
      <c r="AE215">
        <v>11625847</v>
      </c>
      <c r="AF215" t="s">
        <v>50</v>
      </c>
      <c r="AG215" t="s">
        <v>388</v>
      </c>
    </row>
    <row r="216" spans="1:33" x14ac:dyDescent="0.35">
      <c r="A216" s="1">
        <v>44904.32916666667</v>
      </c>
      <c r="B216">
        <v>865481</v>
      </c>
      <c r="C216" t="s">
        <v>671</v>
      </c>
      <c r="D216" t="s">
        <v>672</v>
      </c>
      <c r="E216" s="2">
        <v>40566</v>
      </c>
      <c r="F216" t="str">
        <f>"9780814733035"</f>
        <v>9780814733035</v>
      </c>
      <c r="G216" t="str">
        <f>"9780814732090"</f>
        <v>9780814732090</v>
      </c>
      <c r="H216" t="s">
        <v>673</v>
      </c>
      <c r="I216" t="s">
        <v>674</v>
      </c>
      <c r="J216" t="s">
        <v>675</v>
      </c>
      <c r="K216" t="s">
        <v>44</v>
      </c>
      <c r="N216" t="s">
        <v>45</v>
      </c>
      <c r="O216" t="s">
        <v>46</v>
      </c>
      <c r="P216" t="s">
        <v>177</v>
      </c>
      <c r="Q216" t="s">
        <v>47</v>
      </c>
      <c r="R216" t="s">
        <v>55</v>
      </c>
      <c r="S216">
        <v>0</v>
      </c>
      <c r="W216" s="3">
        <v>1.6203703703703703E-4</v>
      </c>
      <c r="X216" t="s">
        <v>679</v>
      </c>
      <c r="Y216">
        <v>5</v>
      </c>
      <c r="Z216">
        <v>0</v>
      </c>
      <c r="AA216" t="s">
        <v>49</v>
      </c>
      <c r="AB216">
        <v>0</v>
      </c>
      <c r="AC216" t="s">
        <v>49</v>
      </c>
      <c r="AD216">
        <v>0</v>
      </c>
      <c r="AE216">
        <v>11076248</v>
      </c>
      <c r="AF216" t="s">
        <v>50</v>
      </c>
      <c r="AG216" t="s">
        <v>676</v>
      </c>
    </row>
    <row r="217" spans="1:33" x14ac:dyDescent="0.35">
      <c r="A217" s="1">
        <v>44904.14166666667</v>
      </c>
      <c r="B217">
        <v>1562328</v>
      </c>
      <c r="C217" t="s">
        <v>578</v>
      </c>
      <c r="D217" t="s">
        <v>65</v>
      </c>
      <c r="E217" s="2">
        <v>41620</v>
      </c>
      <c r="F217" t="str">
        <f>"9780123973153"</f>
        <v>9780123973153</v>
      </c>
      <c r="G217" t="str">
        <f>"9780123970213"</f>
        <v>9780123970213</v>
      </c>
      <c r="H217" t="s">
        <v>579</v>
      </c>
      <c r="I217">
        <v>621.47</v>
      </c>
      <c r="J217" t="s">
        <v>580</v>
      </c>
      <c r="K217" t="s">
        <v>44</v>
      </c>
      <c r="N217" t="s">
        <v>45</v>
      </c>
      <c r="O217" t="s">
        <v>46</v>
      </c>
      <c r="P217" t="s">
        <v>45</v>
      </c>
      <c r="Q217" t="s">
        <v>47</v>
      </c>
      <c r="R217" t="s">
        <v>44</v>
      </c>
      <c r="S217">
        <v>0</v>
      </c>
      <c r="W217" s="3">
        <v>1.1539351851851851E-2</v>
      </c>
      <c r="X217" t="s">
        <v>680</v>
      </c>
      <c r="Y217">
        <v>49</v>
      </c>
      <c r="Z217">
        <v>8</v>
      </c>
      <c r="AA217" t="s">
        <v>681</v>
      </c>
      <c r="AB217">
        <v>74</v>
      </c>
      <c r="AC217" t="s">
        <v>49</v>
      </c>
      <c r="AD217">
        <v>0</v>
      </c>
      <c r="AE217">
        <v>10808517</v>
      </c>
      <c r="AF217" t="s">
        <v>63</v>
      </c>
      <c r="AG217" t="s">
        <v>523</v>
      </c>
    </row>
    <row r="218" spans="1:33" x14ac:dyDescent="0.35">
      <c r="A218" s="1">
        <v>44904.129166666666</v>
      </c>
      <c r="B218">
        <v>886523</v>
      </c>
      <c r="C218" t="s">
        <v>682</v>
      </c>
      <c r="D218" t="s">
        <v>125</v>
      </c>
      <c r="E218" s="2">
        <v>40992</v>
      </c>
      <c r="F218" t="str">
        <f>"9780191626944"</f>
        <v>9780191626944</v>
      </c>
      <c r="G218" t="str">
        <f>"9780199644377"</f>
        <v>9780199644377</v>
      </c>
      <c r="H218" t="s">
        <v>585</v>
      </c>
      <c r="I218">
        <v>535.09</v>
      </c>
      <c r="J218" t="s">
        <v>683</v>
      </c>
      <c r="K218" t="s">
        <v>44</v>
      </c>
      <c r="N218" t="s">
        <v>45</v>
      </c>
      <c r="O218" t="s">
        <v>46</v>
      </c>
      <c r="P218" t="s">
        <v>45</v>
      </c>
      <c r="Q218" t="s">
        <v>47</v>
      </c>
      <c r="R218" t="s">
        <v>44</v>
      </c>
      <c r="S218">
        <v>0</v>
      </c>
      <c r="W218" s="3">
        <v>8.9236111111111113E-3</v>
      </c>
      <c r="X218" t="s">
        <v>684</v>
      </c>
      <c r="Y218">
        <v>13</v>
      </c>
      <c r="Z218">
        <v>0</v>
      </c>
      <c r="AA218" t="s">
        <v>49</v>
      </c>
      <c r="AB218">
        <v>0</v>
      </c>
      <c r="AC218" t="s">
        <v>49</v>
      </c>
      <c r="AD218">
        <v>0</v>
      </c>
      <c r="AE218">
        <v>10768342</v>
      </c>
      <c r="AF218" t="s">
        <v>50</v>
      </c>
      <c r="AG218" t="s">
        <v>122</v>
      </c>
    </row>
    <row r="219" spans="1:33" x14ac:dyDescent="0.35">
      <c r="A219" s="1">
        <v>44904.054166666669</v>
      </c>
      <c r="B219">
        <v>6437644</v>
      </c>
      <c r="C219" t="s">
        <v>605</v>
      </c>
      <c r="D219" t="s">
        <v>105</v>
      </c>
      <c r="E219" s="2">
        <v>44188</v>
      </c>
      <c r="F219" t="str">
        <f>"9783030603151"</f>
        <v>9783030603151</v>
      </c>
      <c r="G219" t="str">
        <f>"9783030603144"</f>
        <v>9783030603144</v>
      </c>
      <c r="H219" t="s">
        <v>606</v>
      </c>
      <c r="I219">
        <v>179.7</v>
      </c>
      <c r="J219" t="s">
        <v>607</v>
      </c>
      <c r="K219" t="s">
        <v>55</v>
      </c>
      <c r="Q219" t="s">
        <v>47</v>
      </c>
      <c r="R219" t="s">
        <v>44</v>
      </c>
      <c r="S219">
        <v>0</v>
      </c>
      <c r="W219" s="3">
        <v>9.4907407407407408E-4</v>
      </c>
      <c r="X219" t="s">
        <v>685</v>
      </c>
      <c r="Y219">
        <v>9</v>
      </c>
      <c r="Z219">
        <v>0</v>
      </c>
      <c r="AA219" t="s">
        <v>49</v>
      </c>
      <c r="AB219">
        <v>0</v>
      </c>
      <c r="AC219" t="s">
        <v>49</v>
      </c>
      <c r="AD219">
        <v>0</v>
      </c>
      <c r="AE219">
        <v>-1</v>
      </c>
      <c r="AF219" t="s">
        <v>50</v>
      </c>
      <c r="AG219" t="s">
        <v>388</v>
      </c>
    </row>
    <row r="220" spans="1:33" x14ac:dyDescent="0.35">
      <c r="A220" s="1">
        <v>44904.033333333333</v>
      </c>
      <c r="B220">
        <v>886523</v>
      </c>
      <c r="C220" t="s">
        <v>682</v>
      </c>
      <c r="D220" t="s">
        <v>125</v>
      </c>
      <c r="E220" s="2">
        <v>40992</v>
      </c>
      <c r="F220" t="str">
        <f>"9780191626944"</f>
        <v>9780191626944</v>
      </c>
      <c r="G220" t="str">
        <f>"9780199644377"</f>
        <v>9780199644377</v>
      </c>
      <c r="H220" t="s">
        <v>585</v>
      </c>
      <c r="I220">
        <v>535.09</v>
      </c>
      <c r="J220" t="s">
        <v>683</v>
      </c>
      <c r="K220" t="s">
        <v>44</v>
      </c>
      <c r="N220" t="s">
        <v>45</v>
      </c>
      <c r="O220" t="s">
        <v>46</v>
      </c>
      <c r="P220" t="s">
        <v>45</v>
      </c>
      <c r="Q220" t="s">
        <v>47</v>
      </c>
      <c r="R220" t="s">
        <v>44</v>
      </c>
      <c r="S220">
        <v>0</v>
      </c>
      <c r="W220" s="3">
        <v>7.0601851851851847E-4</v>
      </c>
      <c r="X220" t="s">
        <v>686</v>
      </c>
      <c r="Y220">
        <v>9</v>
      </c>
      <c r="Z220">
        <v>0</v>
      </c>
      <c r="AA220" t="s">
        <v>49</v>
      </c>
      <c r="AB220">
        <v>0</v>
      </c>
      <c r="AC220" t="s">
        <v>49</v>
      </c>
      <c r="AD220">
        <v>0</v>
      </c>
      <c r="AE220">
        <v>10768342</v>
      </c>
      <c r="AF220" t="s">
        <v>50</v>
      </c>
      <c r="AG220" t="s">
        <v>122</v>
      </c>
    </row>
    <row r="221" spans="1:33" x14ac:dyDescent="0.35">
      <c r="A221" s="1">
        <v>44904.030555555553</v>
      </c>
      <c r="B221">
        <v>6437644</v>
      </c>
      <c r="C221" t="s">
        <v>605</v>
      </c>
      <c r="D221" t="s">
        <v>105</v>
      </c>
      <c r="E221" s="2">
        <v>44188</v>
      </c>
      <c r="F221" t="str">
        <f>"9783030603151"</f>
        <v>9783030603151</v>
      </c>
      <c r="G221" t="str">
        <f>"9783030603144"</f>
        <v>9783030603144</v>
      </c>
      <c r="H221" t="s">
        <v>606</v>
      </c>
      <c r="I221">
        <v>179.7</v>
      </c>
      <c r="J221" t="s">
        <v>607</v>
      </c>
      <c r="K221" t="s">
        <v>55</v>
      </c>
      <c r="Q221" t="s">
        <v>47</v>
      </c>
      <c r="R221" t="s">
        <v>44</v>
      </c>
      <c r="S221">
        <v>0</v>
      </c>
      <c r="W221" s="3">
        <v>4.6296296296296294E-5</v>
      </c>
      <c r="X221" t="s">
        <v>121</v>
      </c>
      <c r="Y221">
        <v>1</v>
      </c>
      <c r="Z221">
        <v>0</v>
      </c>
      <c r="AA221" t="s">
        <v>49</v>
      </c>
      <c r="AB221">
        <v>0</v>
      </c>
      <c r="AC221" t="s">
        <v>49</v>
      </c>
      <c r="AD221">
        <v>0</v>
      </c>
      <c r="AE221">
        <v>-1</v>
      </c>
      <c r="AF221" t="s">
        <v>50</v>
      </c>
      <c r="AG221" t="s">
        <v>388</v>
      </c>
    </row>
    <row r="222" spans="1:33" x14ac:dyDescent="0.35">
      <c r="A222" s="1">
        <v>44903.96597222222</v>
      </c>
      <c r="B222">
        <v>1604463</v>
      </c>
      <c r="C222" t="s">
        <v>687</v>
      </c>
      <c r="D222" t="s">
        <v>132</v>
      </c>
      <c r="E222" s="2">
        <v>41696</v>
      </c>
      <c r="F222" t="str">
        <f>"9780804789592"</f>
        <v>9780804789592</v>
      </c>
      <c r="G222" t="str">
        <f>"9780804768573"</f>
        <v>9780804768573</v>
      </c>
      <c r="H222" t="s">
        <v>133</v>
      </c>
      <c r="I222">
        <v>332.76509171700002</v>
      </c>
      <c r="J222" t="s">
        <v>688</v>
      </c>
      <c r="K222" t="s">
        <v>44</v>
      </c>
      <c r="N222" t="s">
        <v>45</v>
      </c>
      <c r="O222" t="s">
        <v>46</v>
      </c>
      <c r="P222" t="s">
        <v>45</v>
      </c>
      <c r="Q222" t="s">
        <v>47</v>
      </c>
      <c r="R222" t="s">
        <v>44</v>
      </c>
      <c r="S222">
        <v>0</v>
      </c>
      <c r="W222" s="3">
        <v>2.0833333333333335E-4</v>
      </c>
      <c r="X222" t="s">
        <v>689</v>
      </c>
      <c r="Y222">
        <v>6</v>
      </c>
      <c r="Z222">
        <v>0</v>
      </c>
      <c r="AA222" t="s">
        <v>49</v>
      </c>
      <c r="AB222">
        <v>0</v>
      </c>
      <c r="AC222" t="s">
        <v>49</v>
      </c>
      <c r="AD222">
        <v>0</v>
      </c>
      <c r="AE222">
        <v>10834378</v>
      </c>
      <c r="AF222" t="s">
        <v>50</v>
      </c>
      <c r="AG222" t="s">
        <v>57</v>
      </c>
    </row>
    <row r="223" spans="1:33" x14ac:dyDescent="0.35">
      <c r="A223" s="1">
        <v>44903.964583333334</v>
      </c>
      <c r="B223">
        <v>254783</v>
      </c>
      <c r="C223" t="s">
        <v>690</v>
      </c>
      <c r="D223" t="s">
        <v>150</v>
      </c>
      <c r="E223" s="2">
        <v>37046</v>
      </c>
      <c r="F223" t="str">
        <f>"9781412933292"</f>
        <v>9781412933292</v>
      </c>
      <c r="G223" t="str">
        <f>"9780761971191"</f>
        <v>9780761971191</v>
      </c>
      <c r="H223" t="s">
        <v>691</v>
      </c>
      <c r="I223">
        <v>306.3</v>
      </c>
      <c r="J223" t="s">
        <v>692</v>
      </c>
      <c r="K223" t="s">
        <v>44</v>
      </c>
      <c r="N223" t="s">
        <v>45</v>
      </c>
      <c r="O223" t="s">
        <v>46</v>
      </c>
      <c r="P223" t="s">
        <v>45</v>
      </c>
      <c r="Q223" t="s">
        <v>47</v>
      </c>
      <c r="R223" t="s">
        <v>44</v>
      </c>
      <c r="S223">
        <v>0</v>
      </c>
      <c r="W223" s="3">
        <v>4.2708333333333339E-3</v>
      </c>
      <c r="X223" t="s">
        <v>693</v>
      </c>
      <c r="Y223">
        <v>9</v>
      </c>
      <c r="Z223">
        <v>0</v>
      </c>
      <c r="AA223" t="s">
        <v>49</v>
      </c>
      <c r="AB223">
        <v>0</v>
      </c>
      <c r="AC223" t="s">
        <v>49</v>
      </c>
      <c r="AD223">
        <v>0</v>
      </c>
      <c r="AE223">
        <v>10080849</v>
      </c>
      <c r="AF223" t="s">
        <v>50</v>
      </c>
      <c r="AG223" t="s">
        <v>57</v>
      </c>
    </row>
    <row r="224" spans="1:33" x14ac:dyDescent="0.35">
      <c r="A224" s="1">
        <v>44903.963194444441</v>
      </c>
      <c r="B224">
        <v>886523</v>
      </c>
      <c r="C224" t="s">
        <v>682</v>
      </c>
      <c r="D224" t="s">
        <v>125</v>
      </c>
      <c r="E224" s="2">
        <v>40992</v>
      </c>
      <c r="F224" t="str">
        <f>"9780191626944"</f>
        <v>9780191626944</v>
      </c>
      <c r="G224" t="str">
        <f>"9780199644377"</f>
        <v>9780199644377</v>
      </c>
      <c r="H224" t="s">
        <v>585</v>
      </c>
      <c r="I224">
        <v>535.09</v>
      </c>
      <c r="J224" t="s">
        <v>683</v>
      </c>
      <c r="K224" t="s">
        <v>44</v>
      </c>
      <c r="N224" t="s">
        <v>45</v>
      </c>
      <c r="O224" t="s">
        <v>46</v>
      </c>
      <c r="P224" t="s">
        <v>45</v>
      </c>
      <c r="Q224" t="s">
        <v>47</v>
      </c>
      <c r="R224" t="s">
        <v>44</v>
      </c>
      <c r="S224">
        <v>0</v>
      </c>
      <c r="W224" s="3">
        <v>1.892361111111111E-2</v>
      </c>
      <c r="X224" t="s">
        <v>694</v>
      </c>
      <c r="Y224">
        <v>56</v>
      </c>
      <c r="Z224">
        <v>0</v>
      </c>
      <c r="AA224" t="s">
        <v>49</v>
      </c>
      <c r="AB224">
        <v>0</v>
      </c>
      <c r="AC224" t="s">
        <v>49</v>
      </c>
      <c r="AD224">
        <v>0</v>
      </c>
      <c r="AE224">
        <v>10768342</v>
      </c>
      <c r="AF224" t="s">
        <v>50</v>
      </c>
      <c r="AG224" t="s">
        <v>122</v>
      </c>
    </row>
    <row r="225" spans="1:33" x14ac:dyDescent="0.35">
      <c r="A225" s="1">
        <v>44903.947222222225</v>
      </c>
      <c r="B225">
        <v>5092525</v>
      </c>
      <c r="C225" t="s">
        <v>695</v>
      </c>
      <c r="D225" t="s">
        <v>696</v>
      </c>
      <c r="E225" s="2">
        <v>41683</v>
      </c>
      <c r="F225" t="str">
        <f>"9781909453692"</f>
        <v>9781909453692</v>
      </c>
      <c r="G225" t="str">
        <f>"9781909453715"</f>
        <v>9781909453715</v>
      </c>
      <c r="H225" t="s">
        <v>77</v>
      </c>
      <c r="I225">
        <v>610.28</v>
      </c>
      <c r="J225" t="s">
        <v>697</v>
      </c>
      <c r="K225" t="s">
        <v>44</v>
      </c>
      <c r="N225" t="s">
        <v>45</v>
      </c>
      <c r="O225" t="s">
        <v>46</v>
      </c>
      <c r="P225" t="s">
        <v>45</v>
      </c>
      <c r="Q225" t="s">
        <v>47</v>
      </c>
      <c r="R225" t="s">
        <v>44</v>
      </c>
      <c r="S225">
        <v>0</v>
      </c>
      <c r="W225" s="3">
        <v>7.5231481481481471E-4</v>
      </c>
      <c r="X225" t="s">
        <v>698</v>
      </c>
      <c r="Y225">
        <v>13</v>
      </c>
      <c r="Z225">
        <v>0</v>
      </c>
      <c r="AA225" t="s">
        <v>49</v>
      </c>
      <c r="AB225">
        <v>0</v>
      </c>
      <c r="AC225" t="s">
        <v>49</v>
      </c>
      <c r="AD225">
        <v>0</v>
      </c>
      <c r="AE225">
        <v>11451412</v>
      </c>
      <c r="AF225" t="s">
        <v>50</v>
      </c>
      <c r="AG225" t="s">
        <v>699</v>
      </c>
    </row>
    <row r="226" spans="1:33" x14ac:dyDescent="0.35">
      <c r="A226" s="1">
        <v>44903.940972222219</v>
      </c>
      <c r="B226">
        <v>1209902</v>
      </c>
      <c r="C226" t="s">
        <v>700</v>
      </c>
      <c r="D226" t="s">
        <v>71</v>
      </c>
      <c r="E226" s="2">
        <v>36312</v>
      </c>
      <c r="F226" t="str">
        <f>"9789812774903"</f>
        <v>9789812774903</v>
      </c>
      <c r="G226" t="str">
        <f>"9789810237813"</f>
        <v>9789810237813</v>
      </c>
      <c r="H226" t="s">
        <v>701</v>
      </c>
      <c r="I226">
        <v>502</v>
      </c>
      <c r="J226" t="s">
        <v>702</v>
      </c>
      <c r="K226" t="s">
        <v>44</v>
      </c>
      <c r="N226" t="s">
        <v>45</v>
      </c>
      <c r="O226" t="s">
        <v>46</v>
      </c>
      <c r="P226" t="s">
        <v>45</v>
      </c>
      <c r="Q226" t="s">
        <v>47</v>
      </c>
      <c r="R226" t="s">
        <v>44</v>
      </c>
      <c r="S226">
        <v>0</v>
      </c>
      <c r="W226" s="3">
        <v>2.3148148148148147E-5</v>
      </c>
      <c r="X226" t="s">
        <v>121</v>
      </c>
      <c r="Y226">
        <v>1</v>
      </c>
      <c r="Z226">
        <v>0</v>
      </c>
      <c r="AA226" t="s">
        <v>49</v>
      </c>
      <c r="AB226">
        <v>0</v>
      </c>
      <c r="AC226" t="s">
        <v>49</v>
      </c>
      <c r="AD226">
        <v>0</v>
      </c>
      <c r="AE226">
        <v>10201183</v>
      </c>
      <c r="AF226" t="s">
        <v>50</v>
      </c>
      <c r="AG226" t="s">
        <v>57</v>
      </c>
    </row>
    <row r="227" spans="1:33" x14ac:dyDescent="0.35">
      <c r="A227" s="1">
        <v>44903.936805555553</v>
      </c>
      <c r="B227">
        <v>886523</v>
      </c>
      <c r="C227" t="s">
        <v>682</v>
      </c>
      <c r="D227" t="s">
        <v>125</v>
      </c>
      <c r="E227" s="2">
        <v>40992</v>
      </c>
      <c r="F227" t="str">
        <f>"9780191626944"</f>
        <v>9780191626944</v>
      </c>
      <c r="G227" t="str">
        <f>"9780199644377"</f>
        <v>9780199644377</v>
      </c>
      <c r="H227" t="s">
        <v>585</v>
      </c>
      <c r="I227">
        <v>535.09</v>
      </c>
      <c r="J227" t="s">
        <v>683</v>
      </c>
      <c r="K227" t="s">
        <v>44</v>
      </c>
      <c r="N227" t="s">
        <v>45</v>
      </c>
      <c r="O227" t="s">
        <v>46</v>
      </c>
      <c r="P227" t="s">
        <v>45</v>
      </c>
      <c r="Q227" t="s">
        <v>47</v>
      </c>
      <c r="R227" t="s">
        <v>44</v>
      </c>
      <c r="S227">
        <v>0</v>
      </c>
      <c r="W227" s="3">
        <v>4.6990740740740743E-3</v>
      </c>
      <c r="X227" t="s">
        <v>703</v>
      </c>
      <c r="Y227">
        <v>6</v>
      </c>
      <c r="Z227">
        <v>0</v>
      </c>
      <c r="AA227" t="s">
        <v>49</v>
      </c>
      <c r="AB227">
        <v>0</v>
      </c>
      <c r="AC227" t="s">
        <v>49</v>
      </c>
      <c r="AD227">
        <v>0</v>
      </c>
      <c r="AE227">
        <v>10768342</v>
      </c>
      <c r="AF227" t="s">
        <v>50</v>
      </c>
      <c r="AG227" t="s">
        <v>122</v>
      </c>
    </row>
    <row r="228" spans="1:33" x14ac:dyDescent="0.35">
      <c r="A228" s="1">
        <v>44903.924305555556</v>
      </c>
      <c r="B228">
        <v>5092525</v>
      </c>
      <c r="C228" t="s">
        <v>695</v>
      </c>
      <c r="D228" t="s">
        <v>696</v>
      </c>
      <c r="E228" s="2">
        <v>41683</v>
      </c>
      <c r="F228" t="str">
        <f>"9781909453692"</f>
        <v>9781909453692</v>
      </c>
      <c r="G228" t="str">
        <f>"9781909453715"</f>
        <v>9781909453715</v>
      </c>
      <c r="H228" t="s">
        <v>77</v>
      </c>
      <c r="I228">
        <v>610.28</v>
      </c>
      <c r="J228" t="s">
        <v>697</v>
      </c>
      <c r="K228" t="s">
        <v>44</v>
      </c>
      <c r="N228" t="s">
        <v>45</v>
      </c>
      <c r="O228" t="s">
        <v>46</v>
      </c>
      <c r="P228" t="s">
        <v>45</v>
      </c>
      <c r="Q228" t="s">
        <v>47</v>
      </c>
      <c r="R228" t="s">
        <v>44</v>
      </c>
      <c r="S228">
        <v>0</v>
      </c>
      <c r="W228" s="3">
        <v>6.8287037037037025E-4</v>
      </c>
      <c r="X228" t="s">
        <v>704</v>
      </c>
      <c r="Y228">
        <v>9</v>
      </c>
      <c r="Z228">
        <v>0</v>
      </c>
      <c r="AA228" t="s">
        <v>49</v>
      </c>
      <c r="AB228">
        <v>0</v>
      </c>
      <c r="AC228" t="s">
        <v>49</v>
      </c>
      <c r="AD228">
        <v>0</v>
      </c>
      <c r="AE228">
        <v>11451412</v>
      </c>
      <c r="AF228" t="s">
        <v>50</v>
      </c>
      <c r="AG228" t="s">
        <v>699</v>
      </c>
    </row>
    <row r="229" spans="1:33" x14ac:dyDescent="0.35">
      <c r="A229" s="1">
        <v>44903.901388888888</v>
      </c>
      <c r="B229">
        <v>6994711</v>
      </c>
      <c r="C229" t="s">
        <v>705</v>
      </c>
      <c r="D229" t="s">
        <v>507</v>
      </c>
      <c r="E229" s="2">
        <v>42086</v>
      </c>
      <c r="F229" t="str">
        <f>"9781474403436"</f>
        <v>9781474403436</v>
      </c>
      <c r="G229" t="str">
        <f>"9781474419123"</f>
        <v>9781474419123</v>
      </c>
      <c r="H229" t="s">
        <v>419</v>
      </c>
      <c r="I229">
        <v>327.41104810000002</v>
      </c>
      <c r="J229" t="s">
        <v>706</v>
      </c>
      <c r="K229" t="s">
        <v>44</v>
      </c>
      <c r="N229" t="s">
        <v>45</v>
      </c>
      <c r="O229" t="s">
        <v>46</v>
      </c>
      <c r="P229" t="s">
        <v>45</v>
      </c>
      <c r="Q229" t="s">
        <v>47</v>
      </c>
      <c r="R229" t="s">
        <v>44</v>
      </c>
      <c r="S229">
        <v>0</v>
      </c>
      <c r="W229" s="3">
        <v>6.3657407407407402E-4</v>
      </c>
      <c r="X229" t="s">
        <v>707</v>
      </c>
      <c r="Y229">
        <v>7</v>
      </c>
      <c r="Z229">
        <v>0</v>
      </c>
      <c r="AA229" t="s">
        <v>49</v>
      </c>
      <c r="AB229">
        <v>0</v>
      </c>
      <c r="AC229" t="s">
        <v>49</v>
      </c>
      <c r="AD229">
        <v>0</v>
      </c>
      <c r="AE229">
        <v>-1</v>
      </c>
      <c r="AF229" t="s">
        <v>50</v>
      </c>
      <c r="AG229" t="s">
        <v>411</v>
      </c>
    </row>
    <row r="230" spans="1:33" x14ac:dyDescent="0.35">
      <c r="A230" s="1">
        <v>44903.86041666667</v>
      </c>
      <c r="B230">
        <v>1209902</v>
      </c>
      <c r="C230" t="s">
        <v>700</v>
      </c>
      <c r="D230" t="s">
        <v>71</v>
      </c>
      <c r="E230" s="2">
        <v>36312</v>
      </c>
      <c r="F230" t="str">
        <f>"9789812774903"</f>
        <v>9789812774903</v>
      </c>
      <c r="G230" t="str">
        <f>"9789810237813"</f>
        <v>9789810237813</v>
      </c>
      <c r="H230" t="s">
        <v>701</v>
      </c>
      <c r="I230">
        <v>502</v>
      </c>
      <c r="J230" t="s">
        <v>702</v>
      </c>
      <c r="K230" t="s">
        <v>44</v>
      </c>
      <c r="N230" t="s">
        <v>45</v>
      </c>
      <c r="O230" t="s">
        <v>46</v>
      </c>
      <c r="P230" t="s">
        <v>45</v>
      </c>
      <c r="Q230" t="s">
        <v>47</v>
      </c>
      <c r="R230" t="s">
        <v>44</v>
      </c>
      <c r="S230">
        <v>0</v>
      </c>
      <c r="W230" s="3">
        <v>2.7777777777777779E-3</v>
      </c>
      <c r="X230" t="s">
        <v>708</v>
      </c>
      <c r="Y230">
        <v>11</v>
      </c>
      <c r="Z230">
        <v>0</v>
      </c>
      <c r="AA230" t="s">
        <v>49</v>
      </c>
      <c r="AB230">
        <v>0</v>
      </c>
      <c r="AC230" t="s">
        <v>49</v>
      </c>
      <c r="AD230">
        <v>0</v>
      </c>
      <c r="AE230">
        <v>10201183</v>
      </c>
      <c r="AF230" t="s">
        <v>50</v>
      </c>
      <c r="AG230" t="s">
        <v>57</v>
      </c>
    </row>
    <row r="231" spans="1:33" x14ac:dyDescent="0.35">
      <c r="A231" s="1">
        <v>44903.845138888886</v>
      </c>
      <c r="B231">
        <v>6437644</v>
      </c>
      <c r="C231" t="s">
        <v>605</v>
      </c>
      <c r="D231" t="s">
        <v>105</v>
      </c>
      <c r="E231" s="2">
        <v>44188</v>
      </c>
      <c r="F231" t="str">
        <f>"9783030603151"</f>
        <v>9783030603151</v>
      </c>
      <c r="G231" t="str">
        <f>"9783030603144"</f>
        <v>9783030603144</v>
      </c>
      <c r="H231" t="s">
        <v>606</v>
      </c>
      <c r="I231">
        <v>179.7</v>
      </c>
      <c r="J231" t="s">
        <v>607</v>
      </c>
      <c r="K231" t="s">
        <v>55</v>
      </c>
      <c r="Q231" t="s">
        <v>47</v>
      </c>
      <c r="R231" t="s">
        <v>44</v>
      </c>
      <c r="S231">
        <v>0</v>
      </c>
      <c r="W231" s="3">
        <v>1.273148148148148E-4</v>
      </c>
      <c r="X231" t="s">
        <v>648</v>
      </c>
      <c r="Y231">
        <v>2</v>
      </c>
      <c r="Z231">
        <v>0</v>
      </c>
      <c r="AA231" t="s">
        <v>49</v>
      </c>
      <c r="AB231">
        <v>0</v>
      </c>
      <c r="AC231" t="s">
        <v>49</v>
      </c>
      <c r="AD231">
        <v>0</v>
      </c>
      <c r="AE231">
        <v>-1</v>
      </c>
      <c r="AF231" t="s">
        <v>50</v>
      </c>
      <c r="AG231" t="s">
        <v>388</v>
      </c>
    </row>
    <row r="232" spans="1:33" x14ac:dyDescent="0.35">
      <c r="A232" s="1">
        <v>44903.814583333333</v>
      </c>
      <c r="B232">
        <v>267499</v>
      </c>
      <c r="C232" t="s">
        <v>632</v>
      </c>
      <c r="D232" t="s">
        <v>633</v>
      </c>
      <c r="E232" s="2">
        <v>37329</v>
      </c>
      <c r="F232" t="str">
        <f>"9781601294296"</f>
        <v>9781601294296</v>
      </c>
      <c r="G232" t="str">
        <f>"9781586030919"</f>
        <v>9781586030919</v>
      </c>
      <c r="H232" t="s">
        <v>77</v>
      </c>
      <c r="I232" t="s">
        <v>634</v>
      </c>
      <c r="J232" t="s">
        <v>635</v>
      </c>
      <c r="K232" t="s">
        <v>44</v>
      </c>
      <c r="N232" t="s">
        <v>45</v>
      </c>
      <c r="O232" t="s">
        <v>46</v>
      </c>
      <c r="P232" t="s">
        <v>177</v>
      </c>
      <c r="Q232" t="s">
        <v>47</v>
      </c>
      <c r="R232" t="s">
        <v>55</v>
      </c>
      <c r="S232">
        <v>0</v>
      </c>
      <c r="W232" s="3">
        <v>1.0185185185185186E-3</v>
      </c>
      <c r="X232" t="s">
        <v>709</v>
      </c>
      <c r="Y232">
        <v>11</v>
      </c>
      <c r="Z232">
        <v>0</v>
      </c>
      <c r="AA232" t="s">
        <v>49</v>
      </c>
      <c r="AB232">
        <v>0</v>
      </c>
      <c r="AC232" t="s">
        <v>49</v>
      </c>
      <c r="AD232">
        <v>0</v>
      </c>
      <c r="AE232">
        <v>10116482</v>
      </c>
      <c r="AF232" t="s">
        <v>50</v>
      </c>
      <c r="AG232" t="s">
        <v>637</v>
      </c>
    </row>
    <row r="233" spans="1:33" x14ac:dyDescent="0.35">
      <c r="A233" s="1">
        <v>44903.809027777781</v>
      </c>
      <c r="B233">
        <v>1426888</v>
      </c>
      <c r="C233" t="s">
        <v>710</v>
      </c>
      <c r="D233" t="s">
        <v>711</v>
      </c>
      <c r="E233" s="2">
        <v>37257</v>
      </c>
      <c r="F233" t="str">
        <f>"9780821356951"</f>
        <v>9780821356951</v>
      </c>
      <c r="G233" t="str">
        <f>"9780821351918"</f>
        <v>9780821351918</v>
      </c>
      <c r="H233" t="s">
        <v>712</v>
      </c>
      <c r="I233" t="s">
        <v>713</v>
      </c>
      <c r="J233" t="s">
        <v>714</v>
      </c>
      <c r="K233" t="s">
        <v>44</v>
      </c>
      <c r="N233" t="s">
        <v>45</v>
      </c>
      <c r="O233" t="s">
        <v>46</v>
      </c>
      <c r="P233" t="s">
        <v>177</v>
      </c>
      <c r="Q233" t="s">
        <v>47</v>
      </c>
      <c r="R233" t="s">
        <v>55</v>
      </c>
      <c r="S233">
        <v>0</v>
      </c>
      <c r="W233" s="3">
        <v>1.5046296296296294E-3</v>
      </c>
      <c r="X233" t="s">
        <v>715</v>
      </c>
      <c r="Y233">
        <v>7</v>
      </c>
      <c r="Z233">
        <v>0</v>
      </c>
      <c r="AA233" t="s">
        <v>49</v>
      </c>
      <c r="AB233">
        <v>0</v>
      </c>
      <c r="AC233" t="s">
        <v>49</v>
      </c>
      <c r="AD233">
        <v>0</v>
      </c>
      <c r="AE233">
        <v>10070361</v>
      </c>
      <c r="AF233" t="s">
        <v>50</v>
      </c>
      <c r="AG233" t="s">
        <v>411</v>
      </c>
    </row>
    <row r="234" spans="1:33" x14ac:dyDescent="0.35">
      <c r="A234" s="1">
        <v>44903.807638888888</v>
      </c>
      <c r="B234">
        <v>1604463</v>
      </c>
      <c r="C234" t="s">
        <v>687</v>
      </c>
      <c r="D234" t="s">
        <v>132</v>
      </c>
      <c r="E234" s="2">
        <v>41696</v>
      </c>
      <c r="F234" t="str">
        <f>"9780804789592"</f>
        <v>9780804789592</v>
      </c>
      <c r="G234" t="str">
        <f>"9780804768573"</f>
        <v>9780804768573</v>
      </c>
      <c r="H234" t="s">
        <v>133</v>
      </c>
      <c r="I234">
        <v>332.76509171700002</v>
      </c>
      <c r="J234" t="s">
        <v>688</v>
      </c>
      <c r="K234" t="s">
        <v>44</v>
      </c>
      <c r="N234" t="s">
        <v>45</v>
      </c>
      <c r="O234" t="s">
        <v>46</v>
      </c>
      <c r="P234" t="s">
        <v>45</v>
      </c>
      <c r="Q234" t="s">
        <v>47</v>
      </c>
      <c r="R234" t="s">
        <v>44</v>
      </c>
      <c r="S234">
        <v>0</v>
      </c>
      <c r="W234" s="3">
        <v>2.6620370370370372E-4</v>
      </c>
      <c r="X234" t="s">
        <v>716</v>
      </c>
      <c r="Y234">
        <v>3</v>
      </c>
      <c r="Z234">
        <v>0</v>
      </c>
      <c r="AA234" t="s">
        <v>49</v>
      </c>
      <c r="AB234">
        <v>0</v>
      </c>
      <c r="AC234" t="s">
        <v>49</v>
      </c>
      <c r="AD234">
        <v>0</v>
      </c>
      <c r="AE234">
        <v>10834378</v>
      </c>
      <c r="AF234" t="s">
        <v>50</v>
      </c>
      <c r="AG234" t="s">
        <v>57</v>
      </c>
    </row>
    <row r="235" spans="1:33" x14ac:dyDescent="0.35">
      <c r="A235" s="1">
        <v>44903.806944444441</v>
      </c>
      <c r="B235">
        <v>254783</v>
      </c>
      <c r="C235" t="s">
        <v>690</v>
      </c>
      <c r="D235" t="s">
        <v>150</v>
      </c>
      <c r="E235" s="2">
        <v>37046</v>
      </c>
      <c r="F235" t="str">
        <f>"9781412933292"</f>
        <v>9781412933292</v>
      </c>
      <c r="G235" t="str">
        <f>"9780761971191"</f>
        <v>9780761971191</v>
      </c>
      <c r="H235" t="s">
        <v>691</v>
      </c>
      <c r="I235">
        <v>306.3</v>
      </c>
      <c r="J235" t="s">
        <v>692</v>
      </c>
      <c r="K235" t="s">
        <v>44</v>
      </c>
      <c r="N235" t="s">
        <v>45</v>
      </c>
      <c r="O235" t="s">
        <v>46</v>
      </c>
      <c r="P235" t="s">
        <v>45</v>
      </c>
      <c r="Q235" t="s">
        <v>47</v>
      </c>
      <c r="R235" t="s">
        <v>44</v>
      </c>
      <c r="S235">
        <v>0</v>
      </c>
      <c r="W235" s="3">
        <v>4.6296296296296294E-5</v>
      </c>
      <c r="X235" t="s">
        <v>717</v>
      </c>
      <c r="Y235">
        <v>2</v>
      </c>
      <c r="Z235">
        <v>0</v>
      </c>
      <c r="AA235" t="s">
        <v>49</v>
      </c>
      <c r="AB235">
        <v>0</v>
      </c>
      <c r="AC235" t="s">
        <v>49</v>
      </c>
      <c r="AD235">
        <v>0</v>
      </c>
      <c r="AE235">
        <v>10080849</v>
      </c>
      <c r="AF235" t="s">
        <v>50</v>
      </c>
      <c r="AG235" t="s">
        <v>57</v>
      </c>
    </row>
    <row r="236" spans="1:33" x14ac:dyDescent="0.35">
      <c r="A236" s="1">
        <v>44903.784722222219</v>
      </c>
      <c r="B236">
        <v>5851253</v>
      </c>
      <c r="C236" t="s">
        <v>718</v>
      </c>
      <c r="D236" t="s">
        <v>105</v>
      </c>
      <c r="E236" s="2">
        <v>43705</v>
      </c>
      <c r="F236" t="str">
        <f>"9783030160616"</f>
        <v>9783030160616</v>
      </c>
      <c r="G236" t="str">
        <f>"9783030160609"</f>
        <v>9783030160609</v>
      </c>
      <c r="H236" t="s">
        <v>719</v>
      </c>
      <c r="I236">
        <v>615.19000000000005</v>
      </c>
      <c r="J236" t="s">
        <v>720</v>
      </c>
      <c r="K236" t="s">
        <v>55</v>
      </c>
      <c r="Q236" t="s">
        <v>47</v>
      </c>
      <c r="R236" t="s">
        <v>44</v>
      </c>
      <c r="S236">
        <v>0</v>
      </c>
      <c r="W236" s="3">
        <v>1.0138888888888888E-2</v>
      </c>
      <c r="X236" t="s">
        <v>721</v>
      </c>
      <c r="Y236">
        <v>14</v>
      </c>
      <c r="Z236">
        <v>0</v>
      </c>
      <c r="AA236" t="s">
        <v>49</v>
      </c>
      <c r="AB236">
        <v>0</v>
      </c>
      <c r="AC236" t="s">
        <v>49</v>
      </c>
      <c r="AD236">
        <v>0</v>
      </c>
      <c r="AE236">
        <v>-1</v>
      </c>
      <c r="AF236" t="s">
        <v>50</v>
      </c>
      <c r="AG236" t="s">
        <v>637</v>
      </c>
    </row>
    <row r="237" spans="1:33" x14ac:dyDescent="0.35">
      <c r="A237" s="1">
        <v>44903.781944444447</v>
      </c>
      <c r="B237">
        <v>4545415</v>
      </c>
      <c r="C237" t="s">
        <v>722</v>
      </c>
      <c r="D237" t="s">
        <v>125</v>
      </c>
      <c r="E237" s="2">
        <v>42552</v>
      </c>
      <c r="F237" t="str">
        <f>"9780191083488"</f>
        <v>9780191083488</v>
      </c>
      <c r="G237" t="str">
        <f>"9780198777984"</f>
        <v>9780198777984</v>
      </c>
      <c r="H237" t="s">
        <v>454</v>
      </c>
      <c r="I237">
        <v>6.3</v>
      </c>
      <c r="J237" t="s">
        <v>723</v>
      </c>
      <c r="K237" t="s">
        <v>44</v>
      </c>
      <c r="N237" t="s">
        <v>45</v>
      </c>
      <c r="O237" t="s">
        <v>46</v>
      </c>
      <c r="P237" t="s">
        <v>45</v>
      </c>
      <c r="Q237" t="s">
        <v>47</v>
      </c>
      <c r="R237" t="s">
        <v>44</v>
      </c>
      <c r="S237">
        <v>0</v>
      </c>
      <c r="W237" s="3">
        <v>2.5810185185185185E-3</v>
      </c>
      <c r="X237" t="s">
        <v>724</v>
      </c>
      <c r="Y237">
        <v>16</v>
      </c>
      <c r="Z237">
        <v>0</v>
      </c>
      <c r="AA237" t="s">
        <v>49</v>
      </c>
      <c r="AB237">
        <v>0</v>
      </c>
      <c r="AC237" t="s">
        <v>49</v>
      </c>
      <c r="AD237">
        <v>0</v>
      </c>
      <c r="AE237">
        <v>11237352</v>
      </c>
      <c r="AF237" t="s">
        <v>50</v>
      </c>
      <c r="AG237" t="s">
        <v>637</v>
      </c>
    </row>
    <row r="238" spans="1:33" x14ac:dyDescent="0.35">
      <c r="A238" s="1">
        <v>44903.77847222222</v>
      </c>
      <c r="B238">
        <v>413853</v>
      </c>
      <c r="C238" t="s">
        <v>725</v>
      </c>
      <c r="D238" t="s">
        <v>65</v>
      </c>
      <c r="E238" s="2">
        <v>38169</v>
      </c>
      <c r="F238" t="str">
        <f>"9780080536613"</f>
        <v>9780080536613</v>
      </c>
      <c r="G238" t="str">
        <f>"9781903996669"</f>
        <v>9781903996669</v>
      </c>
      <c r="H238" t="s">
        <v>126</v>
      </c>
      <c r="I238">
        <v>629.89200000000005</v>
      </c>
      <c r="J238" t="s">
        <v>726</v>
      </c>
      <c r="K238" t="s">
        <v>44</v>
      </c>
      <c r="N238" t="s">
        <v>45</v>
      </c>
      <c r="O238" t="s">
        <v>46</v>
      </c>
      <c r="P238" t="s">
        <v>45</v>
      </c>
      <c r="Q238" t="s">
        <v>47</v>
      </c>
      <c r="R238" t="s">
        <v>44</v>
      </c>
      <c r="S238">
        <v>0</v>
      </c>
      <c r="W238" s="3">
        <v>3.4722222222222222E-5</v>
      </c>
      <c r="X238" t="s">
        <v>121</v>
      </c>
      <c r="Y238">
        <v>1</v>
      </c>
      <c r="Z238">
        <v>0</v>
      </c>
      <c r="AA238" t="s">
        <v>49</v>
      </c>
      <c r="AB238">
        <v>0</v>
      </c>
      <c r="AC238" t="s">
        <v>49</v>
      </c>
      <c r="AD238">
        <v>0</v>
      </c>
      <c r="AE238">
        <v>10276492</v>
      </c>
      <c r="AF238" t="s">
        <v>50</v>
      </c>
      <c r="AG238" t="s">
        <v>637</v>
      </c>
    </row>
    <row r="239" spans="1:33" x14ac:dyDescent="0.35">
      <c r="A239" s="1">
        <v>44903.775694444441</v>
      </c>
      <c r="B239">
        <v>5900251</v>
      </c>
      <c r="C239" t="s">
        <v>661</v>
      </c>
      <c r="D239" t="s">
        <v>105</v>
      </c>
      <c r="E239" s="2">
        <v>43745</v>
      </c>
      <c r="F239" t="str">
        <f>"9783030206802"</f>
        <v>9783030206802</v>
      </c>
      <c r="G239" t="str">
        <f>"9783030206796"</f>
        <v>9783030206796</v>
      </c>
      <c r="H239" t="s">
        <v>60</v>
      </c>
      <c r="I239">
        <v>658</v>
      </c>
      <c r="J239" t="s">
        <v>662</v>
      </c>
      <c r="K239" t="s">
        <v>55</v>
      </c>
      <c r="Q239" t="s">
        <v>47</v>
      </c>
      <c r="R239" t="s">
        <v>44</v>
      </c>
      <c r="S239">
        <v>0</v>
      </c>
      <c r="W239" s="3">
        <v>4.6296296296296294E-5</v>
      </c>
      <c r="X239" t="s">
        <v>121</v>
      </c>
      <c r="Y239">
        <v>1</v>
      </c>
      <c r="Z239">
        <v>0</v>
      </c>
      <c r="AA239" t="s">
        <v>49</v>
      </c>
      <c r="AB239">
        <v>0</v>
      </c>
      <c r="AC239" t="s">
        <v>49</v>
      </c>
      <c r="AD239">
        <v>0</v>
      </c>
      <c r="AE239">
        <v>-1</v>
      </c>
      <c r="AF239" t="s">
        <v>50</v>
      </c>
      <c r="AG239" t="s">
        <v>637</v>
      </c>
    </row>
    <row r="240" spans="1:33" x14ac:dyDescent="0.35">
      <c r="A240" s="1">
        <v>44903.763888888891</v>
      </c>
      <c r="B240">
        <v>254783</v>
      </c>
      <c r="C240" t="s">
        <v>690</v>
      </c>
      <c r="D240" t="s">
        <v>150</v>
      </c>
      <c r="E240" s="2">
        <v>37046</v>
      </c>
      <c r="F240" t="str">
        <f>"9781412933292"</f>
        <v>9781412933292</v>
      </c>
      <c r="G240" t="str">
        <f>"9780761971191"</f>
        <v>9780761971191</v>
      </c>
      <c r="H240" t="s">
        <v>691</v>
      </c>
      <c r="I240">
        <v>306.3</v>
      </c>
      <c r="J240" t="s">
        <v>692</v>
      </c>
      <c r="K240" t="s">
        <v>44</v>
      </c>
      <c r="N240" t="s">
        <v>45</v>
      </c>
      <c r="O240" t="s">
        <v>46</v>
      </c>
      <c r="P240" t="s">
        <v>45</v>
      </c>
      <c r="Q240" t="s">
        <v>47</v>
      </c>
      <c r="R240" t="s">
        <v>44</v>
      </c>
      <c r="S240">
        <v>0</v>
      </c>
      <c r="W240" s="3">
        <v>4.6296296296296294E-5</v>
      </c>
      <c r="X240" t="s">
        <v>717</v>
      </c>
      <c r="Y240">
        <v>2</v>
      </c>
      <c r="Z240">
        <v>0</v>
      </c>
      <c r="AA240" t="s">
        <v>49</v>
      </c>
      <c r="AB240">
        <v>0</v>
      </c>
      <c r="AC240" t="s">
        <v>49</v>
      </c>
      <c r="AD240">
        <v>0</v>
      </c>
      <c r="AE240">
        <v>10080849</v>
      </c>
      <c r="AF240" t="s">
        <v>50</v>
      </c>
      <c r="AG240" t="s">
        <v>57</v>
      </c>
    </row>
    <row r="241" spans="1:33" x14ac:dyDescent="0.35">
      <c r="A241" s="1">
        <v>44903.763888888891</v>
      </c>
      <c r="B241">
        <v>533998</v>
      </c>
      <c r="C241" t="s">
        <v>727</v>
      </c>
      <c r="D241" t="s">
        <v>59</v>
      </c>
      <c r="E241" s="2">
        <v>40378</v>
      </c>
      <c r="F241" t="str">
        <f>"9780470660898"</f>
        <v>9780470660898</v>
      </c>
      <c r="G241" t="str">
        <f>"9780470743676"</f>
        <v>9780470743676</v>
      </c>
      <c r="H241" t="s">
        <v>365</v>
      </c>
      <c r="I241" t="s">
        <v>728</v>
      </c>
      <c r="J241" t="s">
        <v>729</v>
      </c>
      <c r="K241" t="s">
        <v>44</v>
      </c>
      <c r="N241" t="s">
        <v>45</v>
      </c>
      <c r="O241" t="s">
        <v>46</v>
      </c>
      <c r="P241" t="s">
        <v>45</v>
      </c>
      <c r="Q241" t="s">
        <v>47</v>
      </c>
      <c r="R241" t="s">
        <v>44</v>
      </c>
      <c r="S241">
        <v>0</v>
      </c>
      <c r="W241" s="3">
        <v>7.9861111111111105E-4</v>
      </c>
      <c r="X241" t="s">
        <v>730</v>
      </c>
      <c r="Y241">
        <v>10</v>
      </c>
      <c r="Z241">
        <v>0</v>
      </c>
      <c r="AA241" t="s">
        <v>49</v>
      </c>
      <c r="AB241">
        <v>0</v>
      </c>
      <c r="AC241" t="s">
        <v>49</v>
      </c>
      <c r="AD241">
        <v>0</v>
      </c>
      <c r="AE241">
        <v>10388313</v>
      </c>
      <c r="AF241" t="s">
        <v>50</v>
      </c>
      <c r="AG241" t="s">
        <v>57</v>
      </c>
    </row>
    <row r="242" spans="1:33" x14ac:dyDescent="0.35">
      <c r="A242" s="1">
        <v>44903.724305555559</v>
      </c>
      <c r="B242">
        <v>415724</v>
      </c>
      <c r="C242" t="s">
        <v>731</v>
      </c>
      <c r="D242" t="s">
        <v>125</v>
      </c>
      <c r="E242" s="2">
        <v>39218</v>
      </c>
      <c r="F242" t="str">
        <f>"9780195345988"</f>
        <v>9780195345988</v>
      </c>
      <c r="G242" t="str">
        <f>"9780195187823"</f>
        <v>9780195187823</v>
      </c>
      <c r="H242" t="s">
        <v>732</v>
      </c>
      <c r="I242">
        <v>620.19204230000003</v>
      </c>
      <c r="J242" t="s">
        <v>733</v>
      </c>
      <c r="K242" t="s">
        <v>55</v>
      </c>
      <c r="N242" t="s">
        <v>45</v>
      </c>
      <c r="O242" t="s">
        <v>46</v>
      </c>
      <c r="P242" t="s">
        <v>45</v>
      </c>
      <c r="Q242" t="s">
        <v>47</v>
      </c>
      <c r="R242" t="s">
        <v>44</v>
      </c>
      <c r="S242">
        <v>0</v>
      </c>
      <c r="W242" s="3">
        <v>1.8518518518518518E-4</v>
      </c>
      <c r="X242" t="s">
        <v>734</v>
      </c>
      <c r="Y242">
        <v>4</v>
      </c>
      <c r="Z242">
        <v>2</v>
      </c>
      <c r="AA242" t="s">
        <v>735</v>
      </c>
      <c r="AB242">
        <v>198</v>
      </c>
      <c r="AC242" t="s">
        <v>49</v>
      </c>
      <c r="AD242">
        <v>0</v>
      </c>
      <c r="AE242">
        <v>10170127</v>
      </c>
      <c r="AF242" t="s">
        <v>50</v>
      </c>
      <c r="AG242" t="s">
        <v>736</v>
      </c>
    </row>
    <row r="243" spans="1:33" x14ac:dyDescent="0.35">
      <c r="A243" s="1">
        <v>44903.692361111112</v>
      </c>
      <c r="B243">
        <v>1209902</v>
      </c>
      <c r="C243" t="s">
        <v>700</v>
      </c>
      <c r="D243" t="s">
        <v>71</v>
      </c>
      <c r="E243" s="2">
        <v>36312</v>
      </c>
      <c r="F243" t="str">
        <f>"9789812774903"</f>
        <v>9789812774903</v>
      </c>
      <c r="G243" t="str">
        <f>"9789810237813"</f>
        <v>9789810237813</v>
      </c>
      <c r="H243" t="s">
        <v>701</v>
      </c>
      <c r="I243">
        <v>502</v>
      </c>
      <c r="J243" t="s">
        <v>702</v>
      </c>
      <c r="K243" t="s">
        <v>44</v>
      </c>
      <c r="N243" t="s">
        <v>45</v>
      </c>
      <c r="O243" t="s">
        <v>46</v>
      </c>
      <c r="P243" t="s">
        <v>45</v>
      </c>
      <c r="Q243" t="s">
        <v>47</v>
      </c>
      <c r="R243" t="s">
        <v>44</v>
      </c>
      <c r="S243">
        <v>0</v>
      </c>
      <c r="W243" s="3">
        <v>3.4722222222222222E-5</v>
      </c>
      <c r="X243" t="s">
        <v>121</v>
      </c>
      <c r="Y243">
        <v>1</v>
      </c>
      <c r="Z243">
        <v>0</v>
      </c>
      <c r="AA243" t="s">
        <v>49</v>
      </c>
      <c r="AB243">
        <v>0</v>
      </c>
      <c r="AC243" t="s">
        <v>49</v>
      </c>
      <c r="AD243">
        <v>0</v>
      </c>
      <c r="AE243">
        <v>10201183</v>
      </c>
      <c r="AF243" t="s">
        <v>50</v>
      </c>
      <c r="AG243" t="s">
        <v>57</v>
      </c>
    </row>
    <row r="244" spans="1:33" x14ac:dyDescent="0.35">
      <c r="A244" s="1">
        <v>44903.648611111108</v>
      </c>
      <c r="B244">
        <v>3111473</v>
      </c>
      <c r="C244" t="s">
        <v>737</v>
      </c>
      <c r="D244" t="s">
        <v>738</v>
      </c>
      <c r="E244" s="2">
        <v>34243</v>
      </c>
      <c r="F244" t="str">
        <f>"9781600860799"</f>
        <v>9781600860799</v>
      </c>
      <c r="G244" t="str">
        <f>"9781563470547"</f>
        <v>9781563470547</v>
      </c>
      <c r="H244" t="s">
        <v>579</v>
      </c>
      <c r="I244">
        <v>629.47</v>
      </c>
      <c r="J244" t="s">
        <v>739</v>
      </c>
      <c r="K244" t="s">
        <v>44</v>
      </c>
      <c r="N244" t="s">
        <v>45</v>
      </c>
      <c r="O244" t="s">
        <v>46</v>
      </c>
      <c r="P244" t="s">
        <v>45</v>
      </c>
      <c r="Q244" t="s">
        <v>47</v>
      </c>
      <c r="R244" t="s">
        <v>44</v>
      </c>
      <c r="S244">
        <v>0</v>
      </c>
      <c r="W244" s="3">
        <v>5.5324074074074069E-3</v>
      </c>
      <c r="X244" t="s">
        <v>740</v>
      </c>
      <c r="Y244">
        <v>51</v>
      </c>
      <c r="Z244">
        <v>0</v>
      </c>
      <c r="AA244" t="s">
        <v>49</v>
      </c>
      <c r="AB244">
        <v>0</v>
      </c>
      <c r="AC244" t="s">
        <v>49</v>
      </c>
      <c r="AD244">
        <v>0</v>
      </c>
      <c r="AE244">
        <v>10516499</v>
      </c>
      <c r="AF244" t="s">
        <v>50</v>
      </c>
      <c r="AG244" t="s">
        <v>741</v>
      </c>
    </row>
    <row r="245" spans="1:33" x14ac:dyDescent="0.35">
      <c r="A245" s="1">
        <v>44903.630555555559</v>
      </c>
      <c r="B245">
        <v>5891903</v>
      </c>
      <c r="C245" t="s">
        <v>742</v>
      </c>
      <c r="D245" t="s">
        <v>125</v>
      </c>
      <c r="E245" s="2">
        <v>37188</v>
      </c>
      <c r="F245" t="str">
        <f>"9780191057465"</f>
        <v>9780191057465</v>
      </c>
      <c r="G245" t="str">
        <f>"9780198506447"</f>
        <v>9780198506447</v>
      </c>
      <c r="H245" t="s">
        <v>72</v>
      </c>
      <c r="I245" t="s">
        <v>743</v>
      </c>
      <c r="J245" t="s">
        <v>744</v>
      </c>
      <c r="K245" t="s">
        <v>44</v>
      </c>
      <c r="N245" t="s">
        <v>45</v>
      </c>
      <c r="O245" t="s">
        <v>46</v>
      </c>
      <c r="P245" t="s">
        <v>45</v>
      </c>
      <c r="Q245" t="s">
        <v>47</v>
      </c>
      <c r="R245" t="s">
        <v>44</v>
      </c>
      <c r="S245">
        <v>0</v>
      </c>
      <c r="W245" s="3">
        <v>1.1018518518518518E-2</v>
      </c>
      <c r="X245" t="s">
        <v>745</v>
      </c>
      <c r="Y245">
        <v>15</v>
      </c>
      <c r="Z245">
        <v>0</v>
      </c>
      <c r="AA245" t="s">
        <v>49</v>
      </c>
      <c r="AB245">
        <v>0</v>
      </c>
      <c r="AC245" t="s">
        <v>746</v>
      </c>
      <c r="AD245">
        <v>2</v>
      </c>
      <c r="AE245">
        <v>-1</v>
      </c>
      <c r="AF245" t="s">
        <v>50</v>
      </c>
      <c r="AG245" t="s">
        <v>637</v>
      </c>
    </row>
    <row r="246" spans="1:33" x14ac:dyDescent="0.35">
      <c r="A246" s="1">
        <v>44903.620138888888</v>
      </c>
      <c r="B246">
        <v>6221291</v>
      </c>
      <c r="C246" t="s">
        <v>394</v>
      </c>
      <c r="D246" t="s">
        <v>65</v>
      </c>
      <c r="E246" s="2">
        <v>43985</v>
      </c>
      <c r="F246" t="str">
        <f>"9780128194980"</f>
        <v>9780128194980</v>
      </c>
      <c r="G246" t="str">
        <f>"9780128194973"</f>
        <v>9780128194973</v>
      </c>
      <c r="H246" t="s">
        <v>66</v>
      </c>
      <c r="I246">
        <v>579.16999999999996</v>
      </c>
      <c r="J246" t="s">
        <v>395</v>
      </c>
      <c r="K246" t="s">
        <v>55</v>
      </c>
      <c r="N246" t="s">
        <v>293</v>
      </c>
      <c r="P246" t="s">
        <v>80</v>
      </c>
      <c r="Q246" t="s">
        <v>47</v>
      </c>
      <c r="R246" t="s">
        <v>44</v>
      </c>
      <c r="S246">
        <v>2</v>
      </c>
      <c r="T246">
        <v>4</v>
      </c>
      <c r="U246" s="1">
        <v>44903.597916666666</v>
      </c>
      <c r="V246" s="1">
        <v>44907.597916666666</v>
      </c>
      <c r="W246" s="3">
        <v>6.3657407407407402E-4</v>
      </c>
      <c r="X246" t="s">
        <v>747</v>
      </c>
      <c r="Y246">
        <v>10</v>
      </c>
      <c r="Z246">
        <v>0</v>
      </c>
      <c r="AA246" t="s">
        <v>49</v>
      </c>
      <c r="AB246">
        <v>0</v>
      </c>
      <c r="AC246" t="s">
        <v>49</v>
      </c>
      <c r="AD246">
        <v>0</v>
      </c>
      <c r="AE246">
        <v>-1</v>
      </c>
      <c r="AF246" t="s">
        <v>63</v>
      </c>
      <c r="AG246" t="s">
        <v>411</v>
      </c>
    </row>
    <row r="247" spans="1:33" x14ac:dyDescent="0.35">
      <c r="A247" s="1">
        <v>44903.597916666666</v>
      </c>
      <c r="B247">
        <v>6221291</v>
      </c>
      <c r="C247" t="s">
        <v>394</v>
      </c>
      <c r="D247" t="s">
        <v>65</v>
      </c>
      <c r="E247" s="2">
        <v>43985</v>
      </c>
      <c r="F247" t="str">
        <f>"9780128194980"</f>
        <v>9780128194980</v>
      </c>
      <c r="G247" t="str">
        <f>"9780128194973"</f>
        <v>9780128194973</v>
      </c>
      <c r="H247" t="s">
        <v>66</v>
      </c>
      <c r="I247">
        <v>579.16999999999996</v>
      </c>
      <c r="J247" t="s">
        <v>395</v>
      </c>
      <c r="K247" t="s">
        <v>55</v>
      </c>
      <c r="N247" t="s">
        <v>293</v>
      </c>
      <c r="P247" t="s">
        <v>80</v>
      </c>
      <c r="Q247" t="s">
        <v>47</v>
      </c>
      <c r="R247" t="s">
        <v>44</v>
      </c>
      <c r="S247">
        <v>1</v>
      </c>
      <c r="T247">
        <v>4</v>
      </c>
      <c r="U247" s="1">
        <v>44903.597916666666</v>
      </c>
      <c r="V247" s="1">
        <v>44907.597916666666</v>
      </c>
      <c r="W247" s="3">
        <v>0</v>
      </c>
      <c r="X247" t="s">
        <v>49</v>
      </c>
      <c r="Y247">
        <v>0</v>
      </c>
      <c r="Z247">
        <v>0</v>
      </c>
      <c r="AA247" t="s">
        <v>49</v>
      </c>
      <c r="AB247">
        <v>0</v>
      </c>
      <c r="AC247" t="s">
        <v>49</v>
      </c>
      <c r="AD247">
        <v>0</v>
      </c>
      <c r="AE247">
        <v>-1</v>
      </c>
      <c r="AF247" t="s">
        <v>63</v>
      </c>
      <c r="AG247" t="s">
        <v>411</v>
      </c>
    </row>
    <row r="248" spans="1:33" x14ac:dyDescent="0.35">
      <c r="A248" s="1">
        <v>44903.594444444447</v>
      </c>
      <c r="B248">
        <v>5891903</v>
      </c>
      <c r="C248" t="s">
        <v>742</v>
      </c>
      <c r="D248" t="s">
        <v>125</v>
      </c>
      <c r="E248" s="2">
        <v>37188</v>
      </c>
      <c r="F248" t="str">
        <f>"9780191057465"</f>
        <v>9780191057465</v>
      </c>
      <c r="G248" t="str">
        <f>"9780198506447"</f>
        <v>9780198506447</v>
      </c>
      <c r="H248" t="s">
        <v>72</v>
      </c>
      <c r="I248" t="s">
        <v>743</v>
      </c>
      <c r="J248" t="s">
        <v>744</v>
      </c>
      <c r="K248" t="s">
        <v>44</v>
      </c>
      <c r="N248" t="s">
        <v>45</v>
      </c>
      <c r="O248" t="s">
        <v>46</v>
      </c>
      <c r="P248" t="s">
        <v>45</v>
      </c>
      <c r="Q248" t="s">
        <v>47</v>
      </c>
      <c r="R248" t="s">
        <v>44</v>
      </c>
      <c r="S248">
        <v>0</v>
      </c>
      <c r="W248" s="3">
        <v>2.7777777777777778E-4</v>
      </c>
      <c r="X248" t="s">
        <v>748</v>
      </c>
      <c r="Y248">
        <v>4</v>
      </c>
      <c r="Z248">
        <v>0</v>
      </c>
      <c r="AA248" t="s">
        <v>49</v>
      </c>
      <c r="AB248">
        <v>0</v>
      </c>
      <c r="AC248" t="s">
        <v>49</v>
      </c>
      <c r="AD248">
        <v>0</v>
      </c>
      <c r="AE248">
        <v>-1</v>
      </c>
      <c r="AF248" t="s">
        <v>50</v>
      </c>
      <c r="AG248" t="s">
        <v>637</v>
      </c>
    </row>
    <row r="249" spans="1:33" x14ac:dyDescent="0.35">
      <c r="A249" s="1">
        <v>44903.590277777781</v>
      </c>
      <c r="B249">
        <v>1507491</v>
      </c>
      <c r="C249" t="s">
        <v>749</v>
      </c>
      <c r="D249" t="s">
        <v>125</v>
      </c>
      <c r="E249" s="2">
        <v>40992</v>
      </c>
      <c r="F249" t="str">
        <f>"9780191023286"</f>
        <v>9780191023286</v>
      </c>
      <c r="G249" t="str">
        <f>"9780199645336"</f>
        <v>9780199645336</v>
      </c>
      <c r="H249" t="s">
        <v>72</v>
      </c>
      <c r="I249" t="s">
        <v>750</v>
      </c>
      <c r="J249" t="s">
        <v>751</v>
      </c>
      <c r="K249" t="s">
        <v>44</v>
      </c>
      <c r="N249" t="s">
        <v>45</v>
      </c>
      <c r="O249" t="s">
        <v>46</v>
      </c>
      <c r="P249" t="s">
        <v>45</v>
      </c>
      <c r="Q249" t="s">
        <v>47</v>
      </c>
      <c r="R249" t="s">
        <v>44</v>
      </c>
      <c r="S249">
        <v>0</v>
      </c>
      <c r="W249" s="3">
        <v>1.273148148148148E-4</v>
      </c>
      <c r="X249" t="s">
        <v>752</v>
      </c>
      <c r="Y249">
        <v>1</v>
      </c>
      <c r="Z249">
        <v>0</v>
      </c>
      <c r="AA249" t="s">
        <v>49</v>
      </c>
      <c r="AB249">
        <v>0</v>
      </c>
      <c r="AC249" t="s">
        <v>49</v>
      </c>
      <c r="AD249">
        <v>0</v>
      </c>
      <c r="AE249">
        <v>10793525</v>
      </c>
      <c r="AF249" t="s">
        <v>50</v>
      </c>
      <c r="AG249" t="s">
        <v>637</v>
      </c>
    </row>
    <row r="250" spans="1:33" x14ac:dyDescent="0.35">
      <c r="A250" s="1">
        <v>44903.569444444445</v>
      </c>
      <c r="B250">
        <v>777149</v>
      </c>
      <c r="C250" t="s">
        <v>753</v>
      </c>
      <c r="D250" t="s">
        <v>76</v>
      </c>
      <c r="E250" s="2">
        <v>40827</v>
      </c>
      <c r="F250" t="str">
        <f>"9781439861882"</f>
        <v>9781439861882</v>
      </c>
      <c r="G250" t="str">
        <f>"9781439861875"</f>
        <v>9781439861875</v>
      </c>
      <c r="H250" t="s">
        <v>120</v>
      </c>
      <c r="I250" t="s">
        <v>754</v>
      </c>
      <c r="J250" t="s">
        <v>755</v>
      </c>
      <c r="K250" t="s">
        <v>44</v>
      </c>
      <c r="N250" t="s">
        <v>45</v>
      </c>
      <c r="O250" t="s">
        <v>46</v>
      </c>
      <c r="P250" t="s">
        <v>45</v>
      </c>
      <c r="Q250" t="s">
        <v>47</v>
      </c>
      <c r="R250" t="s">
        <v>44</v>
      </c>
      <c r="S250">
        <v>0</v>
      </c>
      <c r="W250" s="3">
        <v>2.0833333333333335E-4</v>
      </c>
      <c r="X250" t="s">
        <v>756</v>
      </c>
      <c r="Y250">
        <v>4</v>
      </c>
      <c r="Z250">
        <v>0</v>
      </c>
      <c r="AA250" t="s">
        <v>49</v>
      </c>
      <c r="AB250">
        <v>0</v>
      </c>
      <c r="AC250" t="s">
        <v>49</v>
      </c>
      <c r="AD250">
        <v>0</v>
      </c>
      <c r="AE250">
        <v>10500005</v>
      </c>
      <c r="AF250" t="s">
        <v>50</v>
      </c>
      <c r="AG250" t="s">
        <v>388</v>
      </c>
    </row>
    <row r="251" spans="1:33" x14ac:dyDescent="0.35">
      <c r="A251" s="1">
        <v>44903.511805555558</v>
      </c>
      <c r="B251">
        <v>6221291</v>
      </c>
      <c r="C251" t="s">
        <v>394</v>
      </c>
      <c r="D251" t="s">
        <v>65</v>
      </c>
      <c r="E251" s="2">
        <v>43985</v>
      </c>
      <c r="F251" t="str">
        <f>"9780128194980"</f>
        <v>9780128194980</v>
      </c>
      <c r="G251" t="str">
        <f>"9780128194973"</f>
        <v>9780128194973</v>
      </c>
      <c r="H251" t="s">
        <v>66</v>
      </c>
      <c r="I251">
        <v>579.16999999999996</v>
      </c>
      <c r="J251" t="s">
        <v>395</v>
      </c>
      <c r="K251" t="s">
        <v>55</v>
      </c>
      <c r="Q251" t="s">
        <v>47</v>
      </c>
      <c r="R251" t="s">
        <v>44</v>
      </c>
      <c r="S251">
        <v>0</v>
      </c>
      <c r="W251" s="3">
        <v>0</v>
      </c>
      <c r="X251" t="s">
        <v>49</v>
      </c>
      <c r="Y251">
        <v>0</v>
      </c>
      <c r="Z251">
        <v>0</v>
      </c>
      <c r="AA251" t="s">
        <v>49</v>
      </c>
      <c r="AB251">
        <v>0</v>
      </c>
      <c r="AC251" t="s">
        <v>49</v>
      </c>
      <c r="AD251">
        <v>0</v>
      </c>
      <c r="AE251">
        <v>-1</v>
      </c>
      <c r="AF251" t="s">
        <v>63</v>
      </c>
      <c r="AG251" t="s">
        <v>411</v>
      </c>
    </row>
    <row r="252" spans="1:33" x14ac:dyDescent="0.35">
      <c r="A252" s="1">
        <v>44903.506944444445</v>
      </c>
      <c r="B252">
        <v>182496</v>
      </c>
      <c r="C252" t="s">
        <v>757</v>
      </c>
      <c r="D252" t="s">
        <v>76</v>
      </c>
      <c r="E252" s="2">
        <v>38294</v>
      </c>
      <c r="F252" t="str">
        <f>"9780203494875"</f>
        <v>9780203494875</v>
      </c>
      <c r="G252" t="str">
        <f>"9780415302081"</f>
        <v>9780415302081</v>
      </c>
      <c r="H252" t="s">
        <v>162</v>
      </c>
      <c r="I252">
        <v>204</v>
      </c>
      <c r="J252">
        <v>2004005324</v>
      </c>
      <c r="K252" t="s">
        <v>44</v>
      </c>
      <c r="N252" t="s">
        <v>45</v>
      </c>
      <c r="O252" t="s">
        <v>46</v>
      </c>
      <c r="P252" t="s">
        <v>45</v>
      </c>
      <c r="Q252" t="s">
        <v>47</v>
      </c>
      <c r="R252" t="s">
        <v>44</v>
      </c>
      <c r="S252">
        <v>0</v>
      </c>
      <c r="W252" s="3">
        <v>1.1111111111111111E-3</v>
      </c>
      <c r="X252" t="s">
        <v>758</v>
      </c>
      <c r="Y252">
        <v>12</v>
      </c>
      <c r="Z252">
        <v>0</v>
      </c>
      <c r="AA252" t="s">
        <v>49</v>
      </c>
      <c r="AB252">
        <v>0</v>
      </c>
      <c r="AC252" t="s">
        <v>49</v>
      </c>
      <c r="AD252">
        <v>0</v>
      </c>
      <c r="AE252">
        <v>10094300</v>
      </c>
      <c r="AF252" t="s">
        <v>50</v>
      </c>
      <c r="AG252" t="s">
        <v>279</v>
      </c>
    </row>
    <row r="253" spans="1:33" x14ac:dyDescent="0.35">
      <c r="A253" s="1">
        <v>44903.492361111108</v>
      </c>
      <c r="B253">
        <v>3317444</v>
      </c>
      <c r="C253" t="s">
        <v>759</v>
      </c>
      <c r="D253" t="s">
        <v>760</v>
      </c>
      <c r="E253" s="2">
        <v>37799</v>
      </c>
      <c r="F253" t="str">
        <f>"9781610911092"</f>
        <v>9781610911092</v>
      </c>
      <c r="G253" t="str">
        <f>"9781559639163"</f>
        <v>9781559639163</v>
      </c>
      <c r="H253" t="s">
        <v>761</v>
      </c>
      <c r="I253" t="s">
        <v>762</v>
      </c>
      <c r="J253" t="s">
        <v>763</v>
      </c>
      <c r="K253" t="s">
        <v>44</v>
      </c>
      <c r="N253" t="s">
        <v>45</v>
      </c>
      <c r="O253" t="s">
        <v>46</v>
      </c>
      <c r="P253" t="s">
        <v>45</v>
      </c>
      <c r="Q253" t="s">
        <v>47</v>
      </c>
      <c r="R253" t="s">
        <v>44</v>
      </c>
      <c r="S253">
        <v>0</v>
      </c>
      <c r="W253" s="3">
        <v>3.2986111111111111E-3</v>
      </c>
      <c r="X253" t="s">
        <v>764</v>
      </c>
      <c r="Y253">
        <v>22</v>
      </c>
      <c r="Z253">
        <v>0</v>
      </c>
      <c r="AA253" t="s">
        <v>49</v>
      </c>
      <c r="AB253">
        <v>0</v>
      </c>
      <c r="AC253" t="s">
        <v>49</v>
      </c>
      <c r="AD253">
        <v>0</v>
      </c>
      <c r="AE253">
        <v>10196544</v>
      </c>
      <c r="AF253" t="s">
        <v>50</v>
      </c>
      <c r="AG253" t="s">
        <v>411</v>
      </c>
    </row>
    <row r="254" spans="1:33" x14ac:dyDescent="0.35">
      <c r="A254" s="1">
        <v>44903.470833333333</v>
      </c>
      <c r="B254">
        <v>1662668</v>
      </c>
      <c r="C254" t="s">
        <v>765</v>
      </c>
      <c r="D254" t="s">
        <v>59</v>
      </c>
      <c r="E254" s="2">
        <v>41736</v>
      </c>
      <c r="F254" t="str">
        <f>"9781118810095"</f>
        <v>9781118810095</v>
      </c>
      <c r="G254" t="str">
        <f>"9781118810088"</f>
        <v>9781118810088</v>
      </c>
      <c r="H254" t="s">
        <v>766</v>
      </c>
      <c r="I254">
        <v>20</v>
      </c>
      <c r="J254" t="s">
        <v>767</v>
      </c>
      <c r="K254" t="s">
        <v>44</v>
      </c>
      <c r="N254" t="s">
        <v>45</v>
      </c>
      <c r="O254" t="s">
        <v>46</v>
      </c>
      <c r="P254" t="s">
        <v>45</v>
      </c>
      <c r="Q254" t="s">
        <v>47</v>
      </c>
      <c r="R254" t="s">
        <v>44</v>
      </c>
      <c r="S254">
        <v>0</v>
      </c>
      <c r="W254" s="3">
        <v>3.3564814814814812E-4</v>
      </c>
      <c r="X254" t="s">
        <v>707</v>
      </c>
      <c r="Y254">
        <v>7</v>
      </c>
      <c r="Z254">
        <v>0</v>
      </c>
      <c r="AA254" t="s">
        <v>49</v>
      </c>
      <c r="AB254">
        <v>0</v>
      </c>
      <c r="AC254" t="s">
        <v>49</v>
      </c>
      <c r="AD254">
        <v>0</v>
      </c>
      <c r="AE254">
        <v>10856800</v>
      </c>
      <c r="AF254" t="s">
        <v>50</v>
      </c>
      <c r="AG254" t="s">
        <v>57</v>
      </c>
    </row>
    <row r="255" spans="1:33" x14ac:dyDescent="0.35">
      <c r="A255" s="1">
        <v>44903.46597222222</v>
      </c>
      <c r="B255">
        <v>1507491</v>
      </c>
      <c r="C255" t="s">
        <v>749</v>
      </c>
      <c r="D255" t="s">
        <v>125</v>
      </c>
      <c r="E255" s="2">
        <v>40992</v>
      </c>
      <c r="F255" t="str">
        <f>"9780191023286"</f>
        <v>9780191023286</v>
      </c>
      <c r="G255" t="str">
        <f>"9780199645336"</f>
        <v>9780199645336</v>
      </c>
      <c r="H255" t="s">
        <v>72</v>
      </c>
      <c r="I255" t="s">
        <v>750</v>
      </c>
      <c r="J255" t="s">
        <v>751</v>
      </c>
      <c r="K255" t="s">
        <v>44</v>
      </c>
      <c r="N255" t="s">
        <v>45</v>
      </c>
      <c r="O255" t="s">
        <v>46</v>
      </c>
      <c r="P255" t="s">
        <v>45</v>
      </c>
      <c r="Q255" t="s">
        <v>47</v>
      </c>
      <c r="R255" t="s">
        <v>44</v>
      </c>
      <c r="S255">
        <v>0</v>
      </c>
      <c r="W255" s="3">
        <v>2.3148148148148147E-5</v>
      </c>
      <c r="X255" t="s">
        <v>752</v>
      </c>
      <c r="Y255">
        <v>1</v>
      </c>
      <c r="Z255">
        <v>0</v>
      </c>
      <c r="AA255" t="s">
        <v>49</v>
      </c>
      <c r="AB255">
        <v>0</v>
      </c>
      <c r="AC255" t="s">
        <v>49</v>
      </c>
      <c r="AD255">
        <v>0</v>
      </c>
      <c r="AE255">
        <v>10793525</v>
      </c>
      <c r="AF255" t="s">
        <v>50</v>
      </c>
      <c r="AG255" t="s">
        <v>637</v>
      </c>
    </row>
    <row r="256" spans="1:33" x14ac:dyDescent="0.35">
      <c r="A256" s="1">
        <v>44903.460416666669</v>
      </c>
      <c r="B256">
        <v>6236265</v>
      </c>
      <c r="C256" t="s">
        <v>768</v>
      </c>
      <c r="D256" t="s">
        <v>769</v>
      </c>
      <c r="E256" s="2">
        <v>43994</v>
      </c>
      <c r="F256" t="str">
        <f>"9781000069631"</f>
        <v>9781000069631</v>
      </c>
      <c r="G256" t="str">
        <f>"9780367458522"</f>
        <v>9780367458522</v>
      </c>
      <c r="H256" t="s">
        <v>43</v>
      </c>
      <c r="I256">
        <v>519.53599999999994</v>
      </c>
      <c r="J256" t="s">
        <v>770</v>
      </c>
      <c r="K256" t="s">
        <v>55</v>
      </c>
      <c r="Q256" t="s">
        <v>47</v>
      </c>
      <c r="R256" t="s">
        <v>44</v>
      </c>
      <c r="S256">
        <v>0</v>
      </c>
      <c r="W256" s="3">
        <v>2.8240740740740739E-3</v>
      </c>
      <c r="X256" t="s">
        <v>771</v>
      </c>
      <c r="Y256">
        <v>23</v>
      </c>
      <c r="Z256">
        <v>0</v>
      </c>
      <c r="AA256" t="s">
        <v>49</v>
      </c>
      <c r="AB256">
        <v>0</v>
      </c>
      <c r="AC256" t="s">
        <v>49</v>
      </c>
      <c r="AD256">
        <v>0</v>
      </c>
      <c r="AE256">
        <v>-1</v>
      </c>
      <c r="AF256" t="s">
        <v>50</v>
      </c>
      <c r="AG256" t="s">
        <v>57</v>
      </c>
    </row>
    <row r="257" spans="1:33" x14ac:dyDescent="0.35">
      <c r="A257" s="1">
        <v>44903.448611111111</v>
      </c>
      <c r="B257">
        <v>4747090</v>
      </c>
      <c r="C257" t="s">
        <v>772</v>
      </c>
      <c r="D257" t="s">
        <v>773</v>
      </c>
      <c r="E257" s="2">
        <v>41495</v>
      </c>
      <c r="F257" t="str">
        <f>"9781504042390"</f>
        <v>9781504042390</v>
      </c>
      <c r="G257" t="str">
        <f>""</f>
        <v/>
      </c>
      <c r="H257" t="s">
        <v>667</v>
      </c>
      <c r="I257">
        <v>973.91109200000005</v>
      </c>
      <c r="J257" t="s">
        <v>774</v>
      </c>
      <c r="K257" t="s">
        <v>44</v>
      </c>
      <c r="N257" t="s">
        <v>45</v>
      </c>
      <c r="O257" t="s">
        <v>46</v>
      </c>
      <c r="P257" t="s">
        <v>45</v>
      </c>
      <c r="Q257" t="s">
        <v>47</v>
      </c>
      <c r="R257" t="s">
        <v>44</v>
      </c>
      <c r="S257">
        <v>0</v>
      </c>
      <c r="W257" s="3">
        <v>4.5138888888888892E-4</v>
      </c>
      <c r="X257" t="s">
        <v>775</v>
      </c>
      <c r="Y257">
        <v>10</v>
      </c>
      <c r="Z257">
        <v>0</v>
      </c>
      <c r="AA257" t="s">
        <v>49</v>
      </c>
      <c r="AB257">
        <v>0</v>
      </c>
      <c r="AC257" t="s">
        <v>49</v>
      </c>
      <c r="AD257">
        <v>0</v>
      </c>
      <c r="AE257">
        <v>11301057</v>
      </c>
      <c r="AF257" t="s">
        <v>50</v>
      </c>
      <c r="AG257" t="s">
        <v>57</v>
      </c>
    </row>
    <row r="258" spans="1:33" x14ac:dyDescent="0.35">
      <c r="A258" s="1">
        <v>44903.436805555553</v>
      </c>
      <c r="B258">
        <v>254580</v>
      </c>
      <c r="C258" t="s">
        <v>776</v>
      </c>
      <c r="D258" t="s">
        <v>150</v>
      </c>
      <c r="E258" s="2">
        <v>37714</v>
      </c>
      <c r="F258" t="str">
        <f>"9781412932516"</f>
        <v>9781412932516</v>
      </c>
      <c r="G258" t="str">
        <f>"9780761941101"</f>
        <v>9780761941101</v>
      </c>
      <c r="H258" t="s">
        <v>244</v>
      </c>
      <c r="I258" t="s">
        <v>777</v>
      </c>
      <c r="J258" t="s">
        <v>778</v>
      </c>
      <c r="K258" t="s">
        <v>44</v>
      </c>
      <c r="N258" t="s">
        <v>45</v>
      </c>
      <c r="O258" t="s">
        <v>46</v>
      </c>
      <c r="P258" t="s">
        <v>45</v>
      </c>
      <c r="Q258" t="s">
        <v>47</v>
      </c>
      <c r="R258" t="s">
        <v>44</v>
      </c>
      <c r="S258">
        <v>0</v>
      </c>
      <c r="W258" s="3">
        <v>3.4722222222222222E-5</v>
      </c>
      <c r="X258" t="s">
        <v>121</v>
      </c>
      <c r="Y258">
        <v>1</v>
      </c>
      <c r="Z258">
        <v>0</v>
      </c>
      <c r="AA258" t="s">
        <v>49</v>
      </c>
      <c r="AB258">
        <v>0</v>
      </c>
      <c r="AC258" t="s">
        <v>49</v>
      </c>
      <c r="AD258">
        <v>0</v>
      </c>
      <c r="AE258">
        <v>10080858</v>
      </c>
      <c r="AF258" t="s">
        <v>50</v>
      </c>
      <c r="AG258" t="s">
        <v>779</v>
      </c>
    </row>
    <row r="259" spans="1:33" x14ac:dyDescent="0.35">
      <c r="A259" s="1">
        <v>44903.42083333333</v>
      </c>
      <c r="B259">
        <v>1782473</v>
      </c>
      <c r="C259" t="s">
        <v>469</v>
      </c>
      <c r="D259" t="s">
        <v>76</v>
      </c>
      <c r="E259" s="2">
        <v>41486</v>
      </c>
      <c r="F259" t="str">
        <f>"9781317546399"</f>
        <v>9781317546399</v>
      </c>
      <c r="G259" t="str">
        <f>"9781844652242"</f>
        <v>9781844652242</v>
      </c>
      <c r="H259" t="s">
        <v>162</v>
      </c>
      <c r="I259">
        <v>210.904</v>
      </c>
      <c r="J259" t="s">
        <v>470</v>
      </c>
      <c r="K259" t="s">
        <v>44</v>
      </c>
      <c r="N259" t="s">
        <v>45</v>
      </c>
      <c r="O259" t="s">
        <v>46</v>
      </c>
      <c r="P259" t="s">
        <v>45</v>
      </c>
      <c r="Q259" t="s">
        <v>47</v>
      </c>
      <c r="R259" t="s">
        <v>44</v>
      </c>
      <c r="S259">
        <v>0</v>
      </c>
      <c r="W259" s="3">
        <v>0</v>
      </c>
      <c r="X259" t="s">
        <v>49</v>
      </c>
      <c r="Y259">
        <v>0</v>
      </c>
      <c r="Z259">
        <v>8</v>
      </c>
      <c r="AA259" t="s">
        <v>780</v>
      </c>
      <c r="AB259">
        <v>92</v>
      </c>
      <c r="AC259" t="s">
        <v>49</v>
      </c>
      <c r="AD259">
        <v>0</v>
      </c>
      <c r="AE259">
        <v>10553878</v>
      </c>
      <c r="AF259" t="s">
        <v>50</v>
      </c>
      <c r="AG259" t="s">
        <v>57</v>
      </c>
    </row>
    <row r="260" spans="1:33" x14ac:dyDescent="0.35">
      <c r="A260" s="1">
        <v>44903.415972222225</v>
      </c>
      <c r="B260">
        <v>1783339</v>
      </c>
      <c r="C260" t="s">
        <v>477</v>
      </c>
      <c r="D260" t="s">
        <v>76</v>
      </c>
      <c r="E260" s="2">
        <v>41486</v>
      </c>
      <c r="F260" t="str">
        <f>"9781317546511"</f>
        <v>9781317546511</v>
      </c>
      <c r="G260" t="str">
        <f>"9781844652204"</f>
        <v>9781844652204</v>
      </c>
      <c r="H260" t="s">
        <v>162</v>
      </c>
      <c r="I260">
        <v>210</v>
      </c>
      <c r="J260" t="s">
        <v>163</v>
      </c>
      <c r="K260" t="s">
        <v>44</v>
      </c>
      <c r="N260" t="s">
        <v>45</v>
      </c>
      <c r="O260" t="s">
        <v>46</v>
      </c>
      <c r="P260" t="s">
        <v>45</v>
      </c>
      <c r="Q260" t="s">
        <v>47</v>
      </c>
      <c r="R260" t="s">
        <v>44</v>
      </c>
      <c r="S260">
        <v>0</v>
      </c>
      <c r="W260" s="3">
        <v>0</v>
      </c>
      <c r="X260" t="s">
        <v>49</v>
      </c>
      <c r="Y260">
        <v>0</v>
      </c>
      <c r="Z260">
        <v>6</v>
      </c>
      <c r="AA260" t="s">
        <v>781</v>
      </c>
      <c r="AB260">
        <v>78</v>
      </c>
      <c r="AC260" t="s">
        <v>49</v>
      </c>
      <c r="AD260">
        <v>0</v>
      </c>
      <c r="AE260">
        <v>10553877</v>
      </c>
      <c r="AF260" t="s">
        <v>50</v>
      </c>
      <c r="AG260" t="s">
        <v>57</v>
      </c>
    </row>
    <row r="261" spans="1:33" x14ac:dyDescent="0.35">
      <c r="A261" s="1">
        <v>44903.413888888892</v>
      </c>
      <c r="B261">
        <v>3407597</v>
      </c>
      <c r="C261" t="s">
        <v>782</v>
      </c>
      <c r="D261" t="s">
        <v>645</v>
      </c>
      <c r="E261" s="2">
        <v>39156</v>
      </c>
      <c r="F261" t="str">
        <f>"9780791480311"</f>
        <v>9780791480311</v>
      </c>
      <c r="G261" t="str">
        <f>"9780791470619"</f>
        <v>9780791470619</v>
      </c>
      <c r="H261" t="s">
        <v>498</v>
      </c>
      <c r="I261" t="s">
        <v>783</v>
      </c>
      <c r="J261" t="s">
        <v>784</v>
      </c>
      <c r="K261" t="s">
        <v>44</v>
      </c>
      <c r="N261" t="s">
        <v>45</v>
      </c>
      <c r="O261" t="s">
        <v>46</v>
      </c>
      <c r="P261" t="s">
        <v>45</v>
      </c>
      <c r="Q261" t="s">
        <v>47</v>
      </c>
      <c r="R261" t="s">
        <v>44</v>
      </c>
      <c r="S261">
        <v>0</v>
      </c>
      <c r="W261" s="3">
        <v>0</v>
      </c>
      <c r="X261" t="s">
        <v>49</v>
      </c>
      <c r="Y261">
        <v>0</v>
      </c>
      <c r="Z261">
        <v>1</v>
      </c>
      <c r="AA261" t="s">
        <v>785</v>
      </c>
      <c r="AB261">
        <v>30</v>
      </c>
      <c r="AC261" t="s">
        <v>49</v>
      </c>
      <c r="AD261">
        <v>0</v>
      </c>
      <c r="AE261">
        <v>10576024</v>
      </c>
      <c r="AF261" t="s">
        <v>50</v>
      </c>
      <c r="AG261" t="s">
        <v>57</v>
      </c>
    </row>
    <row r="262" spans="1:33" x14ac:dyDescent="0.35">
      <c r="A262" s="1">
        <v>44903.410416666666</v>
      </c>
      <c r="B262">
        <v>1507491</v>
      </c>
      <c r="C262" t="s">
        <v>749</v>
      </c>
      <c r="D262" t="s">
        <v>125</v>
      </c>
      <c r="E262" s="2">
        <v>40992</v>
      </c>
      <c r="F262" t="str">
        <f>"9780191023286"</f>
        <v>9780191023286</v>
      </c>
      <c r="G262" t="str">
        <f>"9780199645336"</f>
        <v>9780199645336</v>
      </c>
      <c r="H262" t="s">
        <v>72</v>
      </c>
      <c r="I262" t="s">
        <v>750</v>
      </c>
      <c r="J262" t="s">
        <v>751</v>
      </c>
      <c r="K262" t="s">
        <v>44</v>
      </c>
      <c r="N262" t="s">
        <v>45</v>
      </c>
      <c r="O262" t="s">
        <v>46</v>
      </c>
      <c r="P262" t="s">
        <v>45</v>
      </c>
      <c r="Q262" t="s">
        <v>47</v>
      </c>
      <c r="R262" t="s">
        <v>44</v>
      </c>
      <c r="S262">
        <v>0</v>
      </c>
      <c r="W262" s="3">
        <v>1.2719907407407407E-2</v>
      </c>
      <c r="X262" t="s">
        <v>786</v>
      </c>
      <c r="Y262">
        <v>12</v>
      </c>
      <c r="Z262">
        <v>1</v>
      </c>
      <c r="AA262" t="s">
        <v>787</v>
      </c>
      <c r="AB262">
        <v>6</v>
      </c>
      <c r="AC262" t="s">
        <v>49</v>
      </c>
      <c r="AD262">
        <v>0</v>
      </c>
      <c r="AE262">
        <v>10793525</v>
      </c>
      <c r="AF262" t="s">
        <v>50</v>
      </c>
      <c r="AG262" t="s">
        <v>637</v>
      </c>
    </row>
    <row r="263" spans="1:33" x14ac:dyDescent="0.35">
      <c r="A263" s="1">
        <v>44903.219444444447</v>
      </c>
      <c r="B263">
        <v>2198493</v>
      </c>
      <c r="C263" t="s">
        <v>788</v>
      </c>
      <c r="D263" t="s">
        <v>125</v>
      </c>
      <c r="E263" s="2">
        <v>42310</v>
      </c>
      <c r="F263" t="str">
        <f>"9780199361397"</f>
        <v>9780199361397</v>
      </c>
      <c r="G263" t="str">
        <f>"9780199361380"</f>
        <v>9780199361380</v>
      </c>
      <c r="H263" t="s">
        <v>789</v>
      </c>
      <c r="I263" t="s">
        <v>790</v>
      </c>
      <c r="J263" t="s">
        <v>791</v>
      </c>
      <c r="K263" t="s">
        <v>44</v>
      </c>
      <c r="N263" t="s">
        <v>45</v>
      </c>
      <c r="O263" t="s">
        <v>46</v>
      </c>
      <c r="P263" t="s">
        <v>45</v>
      </c>
      <c r="Q263" t="s">
        <v>47</v>
      </c>
      <c r="R263" t="s">
        <v>44</v>
      </c>
      <c r="S263">
        <v>0</v>
      </c>
      <c r="W263" s="3">
        <v>4.6296296296296294E-5</v>
      </c>
      <c r="X263" t="s">
        <v>121</v>
      </c>
      <c r="Y263">
        <v>1</v>
      </c>
      <c r="Z263">
        <v>0</v>
      </c>
      <c r="AA263" t="s">
        <v>49</v>
      </c>
      <c r="AB263">
        <v>0</v>
      </c>
      <c r="AC263" t="s">
        <v>49</v>
      </c>
      <c r="AD263">
        <v>0</v>
      </c>
      <c r="AE263">
        <v>11095021</v>
      </c>
      <c r="AF263" t="s">
        <v>50</v>
      </c>
      <c r="AG263" t="s">
        <v>57</v>
      </c>
    </row>
    <row r="264" spans="1:33" x14ac:dyDescent="0.35">
      <c r="A264" s="1">
        <v>44903.129861111112</v>
      </c>
      <c r="B264">
        <v>6792356</v>
      </c>
      <c r="C264" t="s">
        <v>512</v>
      </c>
      <c r="D264" t="s">
        <v>213</v>
      </c>
      <c r="E264" s="2">
        <v>44496</v>
      </c>
      <c r="F264" t="str">
        <f>"9780128209073"</f>
        <v>9780128209073</v>
      </c>
      <c r="G264" t="str">
        <f>"9780128206294"</f>
        <v>9780128206294</v>
      </c>
      <c r="H264" t="s">
        <v>513</v>
      </c>
      <c r="I264">
        <v>620.5</v>
      </c>
      <c r="J264" t="s">
        <v>514</v>
      </c>
      <c r="K264" t="s">
        <v>55</v>
      </c>
      <c r="Q264" t="s">
        <v>47</v>
      </c>
      <c r="R264" t="s">
        <v>44</v>
      </c>
      <c r="S264">
        <v>0</v>
      </c>
      <c r="W264" s="3">
        <v>1.9907407407407408E-3</v>
      </c>
      <c r="X264" t="s">
        <v>792</v>
      </c>
      <c r="Y264">
        <v>8</v>
      </c>
      <c r="Z264">
        <v>0</v>
      </c>
      <c r="AA264" t="s">
        <v>49</v>
      </c>
      <c r="AB264">
        <v>0</v>
      </c>
      <c r="AC264" t="s">
        <v>49</v>
      </c>
      <c r="AD264">
        <v>0</v>
      </c>
      <c r="AE264">
        <v>-1</v>
      </c>
      <c r="AF264" t="s">
        <v>50</v>
      </c>
      <c r="AG264" t="s">
        <v>57</v>
      </c>
    </row>
    <row r="265" spans="1:33" x14ac:dyDescent="0.35">
      <c r="A265" s="1">
        <v>44903.1</v>
      </c>
      <c r="B265">
        <v>3317444</v>
      </c>
      <c r="C265" t="s">
        <v>759</v>
      </c>
      <c r="D265" t="s">
        <v>760</v>
      </c>
      <c r="E265" s="2">
        <v>37799</v>
      </c>
      <c r="F265" t="str">
        <f>"9781610911092"</f>
        <v>9781610911092</v>
      </c>
      <c r="G265" t="str">
        <f>"9781559639163"</f>
        <v>9781559639163</v>
      </c>
      <c r="H265" t="s">
        <v>761</v>
      </c>
      <c r="I265" t="s">
        <v>762</v>
      </c>
      <c r="J265" t="s">
        <v>763</v>
      </c>
      <c r="K265" t="s">
        <v>44</v>
      </c>
      <c r="N265" t="s">
        <v>45</v>
      </c>
      <c r="O265" t="s">
        <v>46</v>
      </c>
      <c r="P265" t="s">
        <v>45</v>
      </c>
      <c r="Q265" t="s">
        <v>47</v>
      </c>
      <c r="R265" t="s">
        <v>44</v>
      </c>
      <c r="S265">
        <v>0</v>
      </c>
      <c r="W265" s="3">
        <v>6.5277777777777782E-3</v>
      </c>
      <c r="X265" t="s">
        <v>793</v>
      </c>
      <c r="Y265">
        <v>16</v>
      </c>
      <c r="Z265">
        <v>0</v>
      </c>
      <c r="AA265" t="s">
        <v>49</v>
      </c>
      <c r="AB265">
        <v>0</v>
      </c>
      <c r="AC265" t="s">
        <v>49</v>
      </c>
      <c r="AD265">
        <v>0</v>
      </c>
      <c r="AE265">
        <v>10196544</v>
      </c>
      <c r="AF265" t="s">
        <v>50</v>
      </c>
      <c r="AG265" t="s">
        <v>411</v>
      </c>
    </row>
    <row r="266" spans="1:33" x14ac:dyDescent="0.35">
      <c r="A266" s="1">
        <v>44903.004861111112</v>
      </c>
      <c r="B266">
        <v>3317444</v>
      </c>
      <c r="C266" t="s">
        <v>759</v>
      </c>
      <c r="D266" t="s">
        <v>760</v>
      </c>
      <c r="E266" s="2">
        <v>37799</v>
      </c>
      <c r="F266" t="str">
        <f>"9781610911092"</f>
        <v>9781610911092</v>
      </c>
      <c r="G266" t="str">
        <f>"9781559639163"</f>
        <v>9781559639163</v>
      </c>
      <c r="H266" t="s">
        <v>761</v>
      </c>
      <c r="I266" t="s">
        <v>762</v>
      </c>
      <c r="J266" t="s">
        <v>763</v>
      </c>
      <c r="K266" t="s">
        <v>44</v>
      </c>
      <c r="N266" t="s">
        <v>45</v>
      </c>
      <c r="O266" t="s">
        <v>46</v>
      </c>
      <c r="P266" t="s">
        <v>45</v>
      </c>
      <c r="Q266" t="s">
        <v>47</v>
      </c>
      <c r="R266" t="s">
        <v>44</v>
      </c>
      <c r="S266">
        <v>0</v>
      </c>
      <c r="W266" s="3">
        <v>2.0486111111111113E-3</v>
      </c>
      <c r="X266" t="s">
        <v>794</v>
      </c>
      <c r="Y266">
        <v>39</v>
      </c>
      <c r="Z266">
        <v>0</v>
      </c>
      <c r="AA266" t="s">
        <v>49</v>
      </c>
      <c r="AB266">
        <v>0</v>
      </c>
      <c r="AC266" t="s">
        <v>49</v>
      </c>
      <c r="AD266">
        <v>0</v>
      </c>
      <c r="AE266">
        <v>10196544</v>
      </c>
      <c r="AF266" t="s">
        <v>50</v>
      </c>
      <c r="AG266" t="s">
        <v>411</v>
      </c>
    </row>
    <row r="267" spans="1:33" x14ac:dyDescent="0.35">
      <c r="A267" s="1">
        <v>44902.986111111109</v>
      </c>
      <c r="B267">
        <v>865481</v>
      </c>
      <c r="C267" t="s">
        <v>671</v>
      </c>
      <c r="D267" t="s">
        <v>672</v>
      </c>
      <c r="E267" s="2">
        <v>40566</v>
      </c>
      <c r="F267" t="str">
        <f>"9780814733035"</f>
        <v>9780814733035</v>
      </c>
      <c r="G267" t="str">
        <f>"9780814732090"</f>
        <v>9780814732090</v>
      </c>
      <c r="H267" t="s">
        <v>673</v>
      </c>
      <c r="I267" t="s">
        <v>674</v>
      </c>
      <c r="J267" t="s">
        <v>675</v>
      </c>
      <c r="K267" t="s">
        <v>44</v>
      </c>
      <c r="N267" t="s">
        <v>45</v>
      </c>
      <c r="O267" t="s">
        <v>46</v>
      </c>
      <c r="P267" t="s">
        <v>177</v>
      </c>
      <c r="Q267" t="s">
        <v>47</v>
      </c>
      <c r="R267" t="s">
        <v>55</v>
      </c>
      <c r="S267">
        <v>0</v>
      </c>
      <c r="W267" s="3">
        <v>2.5300925925925925E-2</v>
      </c>
      <c r="X267" t="s">
        <v>795</v>
      </c>
      <c r="Y267">
        <v>40</v>
      </c>
      <c r="Z267">
        <v>0</v>
      </c>
      <c r="AA267" t="s">
        <v>49</v>
      </c>
      <c r="AB267">
        <v>0</v>
      </c>
      <c r="AC267" t="s">
        <v>49</v>
      </c>
      <c r="AD267">
        <v>0</v>
      </c>
      <c r="AE267">
        <v>11076248</v>
      </c>
      <c r="AF267" t="s">
        <v>50</v>
      </c>
      <c r="AG267" t="s">
        <v>676</v>
      </c>
    </row>
    <row r="268" spans="1:33" x14ac:dyDescent="0.35">
      <c r="A268" s="1">
        <v>44902.982638888891</v>
      </c>
      <c r="B268">
        <v>675046</v>
      </c>
      <c r="C268" t="s">
        <v>796</v>
      </c>
      <c r="D268" t="s">
        <v>59</v>
      </c>
      <c r="E268" s="2">
        <v>40603</v>
      </c>
      <c r="F268" t="str">
        <f>"9780470905081"</f>
        <v>9780470905081</v>
      </c>
      <c r="G268" t="str">
        <f>"9780470494172"</f>
        <v>9780470494172</v>
      </c>
      <c r="H268" t="s">
        <v>95</v>
      </c>
      <c r="I268">
        <v>620.1</v>
      </c>
      <c r="J268" t="s">
        <v>797</v>
      </c>
      <c r="K268" t="s">
        <v>44</v>
      </c>
      <c r="N268" t="s">
        <v>45</v>
      </c>
      <c r="O268" t="s">
        <v>46</v>
      </c>
      <c r="P268" t="s">
        <v>45</v>
      </c>
      <c r="Q268" t="s">
        <v>47</v>
      </c>
      <c r="R268" t="s">
        <v>44</v>
      </c>
      <c r="S268">
        <v>0</v>
      </c>
      <c r="W268" s="3">
        <v>3.3680555555555551E-3</v>
      </c>
      <c r="X268" t="s">
        <v>798</v>
      </c>
      <c r="Y268">
        <v>8</v>
      </c>
      <c r="Z268">
        <v>0</v>
      </c>
      <c r="AA268" t="s">
        <v>49</v>
      </c>
      <c r="AB268">
        <v>0</v>
      </c>
      <c r="AC268" t="s">
        <v>799</v>
      </c>
      <c r="AD268">
        <v>5</v>
      </c>
      <c r="AE268">
        <v>10454742</v>
      </c>
      <c r="AF268" t="s">
        <v>50</v>
      </c>
      <c r="AG268" t="s">
        <v>57</v>
      </c>
    </row>
    <row r="269" spans="1:33" x14ac:dyDescent="0.35">
      <c r="A269" s="1">
        <v>44902.950694444444</v>
      </c>
      <c r="B269">
        <v>822033</v>
      </c>
      <c r="C269" t="s">
        <v>800</v>
      </c>
      <c r="D269" t="s">
        <v>59</v>
      </c>
      <c r="E269" s="2">
        <v>40987</v>
      </c>
      <c r="F269" t="str">
        <f>"9781118287392"</f>
        <v>9781118287392</v>
      </c>
      <c r="G269" t="str">
        <f>"9780470640371"</f>
        <v>9780470640371</v>
      </c>
      <c r="H269" t="s">
        <v>801</v>
      </c>
      <c r="I269" t="s">
        <v>802</v>
      </c>
      <c r="J269" t="s">
        <v>803</v>
      </c>
      <c r="K269" t="s">
        <v>55</v>
      </c>
      <c r="P269" t="s">
        <v>97</v>
      </c>
      <c r="Q269" t="s">
        <v>47</v>
      </c>
      <c r="R269" t="s">
        <v>44</v>
      </c>
      <c r="S269">
        <v>0</v>
      </c>
      <c r="W269" s="3">
        <v>4.8611111111111104E-4</v>
      </c>
      <c r="X269" t="s">
        <v>804</v>
      </c>
      <c r="Y269">
        <v>4</v>
      </c>
      <c r="Z269">
        <v>0</v>
      </c>
      <c r="AA269" t="s">
        <v>49</v>
      </c>
      <c r="AB269">
        <v>0</v>
      </c>
      <c r="AC269" t="s">
        <v>49</v>
      </c>
      <c r="AD269">
        <v>0</v>
      </c>
      <c r="AE269">
        <v>10558139</v>
      </c>
      <c r="AF269" t="s">
        <v>50</v>
      </c>
      <c r="AG269" t="s">
        <v>670</v>
      </c>
    </row>
    <row r="270" spans="1:33" x14ac:dyDescent="0.35">
      <c r="A270" s="1">
        <v>44902.931250000001</v>
      </c>
      <c r="B270">
        <v>5824824</v>
      </c>
      <c r="C270" t="s">
        <v>805</v>
      </c>
      <c r="D270" t="s">
        <v>125</v>
      </c>
      <c r="E270" s="2">
        <v>43617</v>
      </c>
      <c r="F270" t="str">
        <f>"9780192554611"</f>
        <v>9780192554611</v>
      </c>
      <c r="G270" t="str">
        <f>"9780198821472"</f>
        <v>9780198821472</v>
      </c>
      <c r="H270" t="s">
        <v>585</v>
      </c>
      <c r="I270">
        <v>530.03</v>
      </c>
      <c r="J270" t="s">
        <v>806</v>
      </c>
      <c r="K270" t="s">
        <v>55</v>
      </c>
      <c r="Q270" t="s">
        <v>47</v>
      </c>
      <c r="R270" t="s">
        <v>44</v>
      </c>
      <c r="S270">
        <v>0</v>
      </c>
      <c r="W270" s="3">
        <v>1.5046296296296297E-4</v>
      </c>
      <c r="X270" t="s">
        <v>807</v>
      </c>
      <c r="Y270">
        <v>3</v>
      </c>
      <c r="Z270">
        <v>0</v>
      </c>
      <c r="AA270" t="s">
        <v>49</v>
      </c>
      <c r="AB270">
        <v>0</v>
      </c>
      <c r="AC270" t="s">
        <v>49</v>
      </c>
      <c r="AD270">
        <v>0</v>
      </c>
      <c r="AE270">
        <v>-1</v>
      </c>
      <c r="AF270" t="s">
        <v>50</v>
      </c>
      <c r="AG270" t="s">
        <v>388</v>
      </c>
    </row>
    <row r="271" spans="1:33" x14ac:dyDescent="0.35">
      <c r="A271" s="1">
        <v>44902.884027777778</v>
      </c>
      <c r="B271">
        <v>675046</v>
      </c>
      <c r="C271" t="s">
        <v>796</v>
      </c>
      <c r="D271" t="s">
        <v>59</v>
      </c>
      <c r="E271" s="2">
        <v>40603</v>
      </c>
      <c r="F271" t="str">
        <f>"9780470905081"</f>
        <v>9780470905081</v>
      </c>
      <c r="G271" t="str">
        <f>"9780470494172"</f>
        <v>9780470494172</v>
      </c>
      <c r="H271" t="s">
        <v>95</v>
      </c>
      <c r="I271">
        <v>620.1</v>
      </c>
      <c r="J271" t="s">
        <v>797</v>
      </c>
      <c r="K271" t="s">
        <v>44</v>
      </c>
      <c r="N271" t="s">
        <v>45</v>
      </c>
      <c r="O271" t="s">
        <v>46</v>
      </c>
      <c r="P271" t="s">
        <v>45</v>
      </c>
      <c r="Q271" t="s">
        <v>47</v>
      </c>
      <c r="R271" t="s">
        <v>44</v>
      </c>
      <c r="S271">
        <v>0</v>
      </c>
      <c r="W271" s="3">
        <v>7.0601851851851847E-4</v>
      </c>
      <c r="X271" t="s">
        <v>808</v>
      </c>
      <c r="Y271">
        <v>10</v>
      </c>
      <c r="Z271">
        <v>0</v>
      </c>
      <c r="AA271" t="s">
        <v>49</v>
      </c>
      <c r="AB271">
        <v>0</v>
      </c>
      <c r="AC271" t="s">
        <v>49</v>
      </c>
      <c r="AD271">
        <v>0</v>
      </c>
      <c r="AE271">
        <v>10454742</v>
      </c>
      <c r="AF271" t="s">
        <v>50</v>
      </c>
      <c r="AG271" t="s">
        <v>57</v>
      </c>
    </row>
    <row r="272" spans="1:33" x14ac:dyDescent="0.35">
      <c r="A272" s="1">
        <v>44902.831250000003</v>
      </c>
      <c r="B272">
        <v>1969978</v>
      </c>
      <c r="C272" t="s">
        <v>809</v>
      </c>
      <c r="D272" t="s">
        <v>810</v>
      </c>
      <c r="E272" s="2">
        <v>42154</v>
      </c>
      <c r="F272" t="str">
        <f>"9781627080804"</f>
        <v>9781627080804</v>
      </c>
      <c r="G272" t="str">
        <f>"9781627080798"</f>
        <v>9781627080798</v>
      </c>
      <c r="H272" t="s">
        <v>811</v>
      </c>
      <c r="K272" t="s">
        <v>44</v>
      </c>
      <c r="N272" t="s">
        <v>45</v>
      </c>
      <c r="O272" t="s">
        <v>46</v>
      </c>
      <c r="P272" t="s">
        <v>45</v>
      </c>
      <c r="Q272" t="s">
        <v>47</v>
      </c>
      <c r="R272" t="s">
        <v>44</v>
      </c>
      <c r="S272">
        <v>0</v>
      </c>
      <c r="W272" s="3">
        <v>8.7962962962962962E-4</v>
      </c>
      <c r="X272" t="s">
        <v>812</v>
      </c>
      <c r="Y272">
        <v>12</v>
      </c>
      <c r="Z272">
        <v>0</v>
      </c>
      <c r="AA272" t="s">
        <v>49</v>
      </c>
      <c r="AB272">
        <v>0</v>
      </c>
      <c r="AC272" t="s">
        <v>49</v>
      </c>
      <c r="AD272">
        <v>0</v>
      </c>
      <c r="AE272">
        <v>11023556</v>
      </c>
      <c r="AF272" t="s">
        <v>50</v>
      </c>
      <c r="AG272" t="s">
        <v>122</v>
      </c>
    </row>
    <row r="273" spans="1:33" x14ac:dyDescent="0.35">
      <c r="A273" s="1">
        <v>44902.818749999999</v>
      </c>
      <c r="B273">
        <v>5770090</v>
      </c>
      <c r="C273" t="s">
        <v>813</v>
      </c>
      <c r="D273" t="s">
        <v>814</v>
      </c>
      <c r="E273" s="2">
        <v>42303</v>
      </c>
      <c r="F273" t="str">
        <f>"9789351503866"</f>
        <v>9789351503866</v>
      </c>
      <c r="G273" t="str">
        <f>"9789351503873"</f>
        <v>9789351503873</v>
      </c>
      <c r="H273" t="s">
        <v>60</v>
      </c>
      <c r="I273" t="s">
        <v>815</v>
      </c>
      <c r="J273" t="s">
        <v>816</v>
      </c>
      <c r="K273" t="s">
        <v>44</v>
      </c>
      <c r="N273" t="s">
        <v>45</v>
      </c>
      <c r="O273" t="s">
        <v>46</v>
      </c>
      <c r="P273" t="s">
        <v>45</v>
      </c>
      <c r="Q273" t="s">
        <v>47</v>
      </c>
      <c r="R273" t="s">
        <v>44</v>
      </c>
      <c r="S273">
        <v>0</v>
      </c>
      <c r="W273" s="3">
        <v>1.6550925925925926E-3</v>
      </c>
      <c r="X273" t="s">
        <v>817</v>
      </c>
      <c r="Y273">
        <v>5</v>
      </c>
      <c r="Z273">
        <v>0</v>
      </c>
      <c r="AA273" t="s">
        <v>49</v>
      </c>
      <c r="AB273">
        <v>0</v>
      </c>
      <c r="AC273" t="s">
        <v>49</v>
      </c>
      <c r="AD273">
        <v>0</v>
      </c>
      <c r="AE273">
        <v>-1</v>
      </c>
      <c r="AF273" t="s">
        <v>50</v>
      </c>
      <c r="AG273" t="s">
        <v>57</v>
      </c>
    </row>
    <row r="274" spans="1:33" x14ac:dyDescent="0.35">
      <c r="A274" s="1">
        <v>44902.818749999999</v>
      </c>
      <c r="B274">
        <v>408797</v>
      </c>
      <c r="C274" t="s">
        <v>818</v>
      </c>
      <c r="D274" t="s">
        <v>819</v>
      </c>
      <c r="E274" s="2">
        <v>39827</v>
      </c>
      <c r="F274" t="str">
        <f>"9780814412718"</f>
        <v>9780814412718</v>
      </c>
      <c r="G274" t="str">
        <f>"9780814410769"</f>
        <v>9780814410769</v>
      </c>
      <c r="H274" t="s">
        <v>60</v>
      </c>
      <c r="I274">
        <v>658.3</v>
      </c>
      <c r="J274" t="s">
        <v>820</v>
      </c>
      <c r="K274" t="s">
        <v>44</v>
      </c>
      <c r="N274" t="s">
        <v>45</v>
      </c>
      <c r="O274" t="s">
        <v>46</v>
      </c>
      <c r="P274" t="s">
        <v>45</v>
      </c>
      <c r="Q274" t="s">
        <v>47</v>
      </c>
      <c r="R274" t="s">
        <v>44</v>
      </c>
      <c r="S274">
        <v>0</v>
      </c>
      <c r="W274" s="3">
        <v>1.9444444444444442E-3</v>
      </c>
      <c r="X274" t="s">
        <v>821</v>
      </c>
      <c r="Y274">
        <v>5</v>
      </c>
      <c r="Z274">
        <v>0</v>
      </c>
      <c r="AA274" t="s">
        <v>49</v>
      </c>
      <c r="AB274">
        <v>0</v>
      </c>
      <c r="AC274" t="s">
        <v>49</v>
      </c>
      <c r="AD274">
        <v>0</v>
      </c>
      <c r="AE274">
        <v>10271828</v>
      </c>
      <c r="AF274" t="s">
        <v>50</v>
      </c>
      <c r="AG274" t="s">
        <v>57</v>
      </c>
    </row>
    <row r="275" spans="1:33" x14ac:dyDescent="0.35">
      <c r="A275" s="1">
        <v>44902.804166666669</v>
      </c>
      <c r="B275">
        <v>1969978</v>
      </c>
      <c r="C275" t="s">
        <v>809</v>
      </c>
      <c r="D275" t="s">
        <v>810</v>
      </c>
      <c r="E275" s="2">
        <v>42154</v>
      </c>
      <c r="F275" t="str">
        <f>"9781627080804"</f>
        <v>9781627080804</v>
      </c>
      <c r="G275" t="str">
        <f>"9781627080798"</f>
        <v>9781627080798</v>
      </c>
      <c r="H275" t="s">
        <v>811</v>
      </c>
      <c r="K275" t="s">
        <v>44</v>
      </c>
      <c r="N275" t="s">
        <v>45</v>
      </c>
      <c r="O275" t="s">
        <v>46</v>
      </c>
      <c r="P275" t="s">
        <v>45</v>
      </c>
      <c r="Q275" t="s">
        <v>47</v>
      </c>
      <c r="R275" t="s">
        <v>44</v>
      </c>
      <c r="S275">
        <v>0</v>
      </c>
      <c r="W275" s="3">
        <v>1.2268518518518518E-3</v>
      </c>
      <c r="X275" t="s">
        <v>822</v>
      </c>
      <c r="Y275">
        <v>4</v>
      </c>
      <c r="Z275">
        <v>0</v>
      </c>
      <c r="AA275" t="s">
        <v>49</v>
      </c>
      <c r="AB275">
        <v>0</v>
      </c>
      <c r="AC275" t="s">
        <v>49</v>
      </c>
      <c r="AD275">
        <v>0</v>
      </c>
      <c r="AE275">
        <v>11023556</v>
      </c>
      <c r="AF275" t="s">
        <v>50</v>
      </c>
      <c r="AG275" t="s">
        <v>122</v>
      </c>
    </row>
    <row r="276" spans="1:33" x14ac:dyDescent="0.35">
      <c r="A276" s="1">
        <v>44902.786805555559</v>
      </c>
      <c r="B276">
        <v>5498088</v>
      </c>
      <c r="C276" t="s">
        <v>823</v>
      </c>
      <c r="D276" t="s">
        <v>105</v>
      </c>
      <c r="E276" s="2">
        <v>43349</v>
      </c>
      <c r="F276" t="str">
        <f>"9783319934617"</f>
        <v>9783319934617</v>
      </c>
      <c r="G276" t="str">
        <f>"9783319934600"</f>
        <v>9783319934600</v>
      </c>
      <c r="H276" t="s">
        <v>824</v>
      </c>
      <c r="J276" t="s">
        <v>825</v>
      </c>
      <c r="K276" t="s">
        <v>55</v>
      </c>
      <c r="Q276" t="s">
        <v>47</v>
      </c>
      <c r="R276" t="s">
        <v>44</v>
      </c>
      <c r="S276">
        <v>0</v>
      </c>
      <c r="W276" s="3">
        <v>4.4907407407407405E-3</v>
      </c>
      <c r="X276" t="s">
        <v>826</v>
      </c>
      <c r="Y276">
        <v>16</v>
      </c>
      <c r="Z276">
        <v>0</v>
      </c>
      <c r="AA276" t="s">
        <v>49</v>
      </c>
      <c r="AB276">
        <v>0</v>
      </c>
      <c r="AC276" t="s">
        <v>49</v>
      </c>
      <c r="AD276">
        <v>0</v>
      </c>
      <c r="AE276">
        <v>11602351</v>
      </c>
      <c r="AF276" t="s">
        <v>50</v>
      </c>
      <c r="AG276" t="s">
        <v>741</v>
      </c>
    </row>
    <row r="277" spans="1:33" x14ac:dyDescent="0.35">
      <c r="A277" s="1">
        <v>44902.785416666666</v>
      </c>
      <c r="B277">
        <v>6607136</v>
      </c>
      <c r="C277" t="s">
        <v>827</v>
      </c>
      <c r="D277" t="s">
        <v>65</v>
      </c>
      <c r="E277" s="2">
        <v>44327</v>
      </c>
      <c r="F277" t="str">
        <f>"9780128222768"</f>
        <v>9780128222768</v>
      </c>
      <c r="G277" t="str">
        <f>"9780128222751"</f>
        <v>9780128222751</v>
      </c>
      <c r="H277" t="s">
        <v>483</v>
      </c>
      <c r="I277">
        <v>720.47199999999998</v>
      </c>
      <c r="J277" t="s">
        <v>828</v>
      </c>
      <c r="K277" t="s">
        <v>55</v>
      </c>
      <c r="Q277" t="s">
        <v>47</v>
      </c>
      <c r="R277" t="s">
        <v>44</v>
      </c>
      <c r="S277">
        <v>0</v>
      </c>
      <c r="W277" s="3">
        <v>2.9282407407407412E-3</v>
      </c>
      <c r="X277" t="s">
        <v>829</v>
      </c>
      <c r="Y277">
        <v>11</v>
      </c>
      <c r="Z277">
        <v>0</v>
      </c>
      <c r="AA277" t="s">
        <v>49</v>
      </c>
      <c r="AB277">
        <v>0</v>
      </c>
      <c r="AC277" t="s">
        <v>49</v>
      </c>
      <c r="AD277">
        <v>0</v>
      </c>
      <c r="AE277">
        <v>-1</v>
      </c>
      <c r="AF277" t="s">
        <v>50</v>
      </c>
      <c r="AG277" t="s">
        <v>388</v>
      </c>
    </row>
    <row r="278" spans="1:33" x14ac:dyDescent="0.35">
      <c r="A278" s="1">
        <v>44902.782638888886</v>
      </c>
      <c r="B278">
        <v>1640151</v>
      </c>
      <c r="C278" t="s">
        <v>608</v>
      </c>
      <c r="D278" t="s">
        <v>65</v>
      </c>
      <c r="E278" s="2">
        <v>37008</v>
      </c>
      <c r="F278" t="str">
        <f>"9781855737556"</f>
        <v>9781855737556</v>
      </c>
      <c r="G278" t="str">
        <f>"9781855733336"</f>
        <v>9781855733336</v>
      </c>
      <c r="H278" t="s">
        <v>609</v>
      </c>
      <c r="I278">
        <v>677.02824499999997</v>
      </c>
      <c r="J278" t="s">
        <v>610</v>
      </c>
      <c r="K278" t="s">
        <v>44</v>
      </c>
      <c r="N278" t="s">
        <v>45</v>
      </c>
      <c r="O278" t="s">
        <v>46</v>
      </c>
      <c r="P278" t="s">
        <v>45</v>
      </c>
      <c r="Q278" t="s">
        <v>47</v>
      </c>
      <c r="R278" t="s">
        <v>44</v>
      </c>
      <c r="S278">
        <v>0</v>
      </c>
      <c r="W278" s="3">
        <v>0</v>
      </c>
      <c r="X278" t="s">
        <v>121</v>
      </c>
      <c r="Y278">
        <v>1</v>
      </c>
      <c r="Z278">
        <v>0</v>
      </c>
      <c r="AA278" t="s">
        <v>49</v>
      </c>
      <c r="AB278">
        <v>0</v>
      </c>
      <c r="AC278" t="s">
        <v>49</v>
      </c>
      <c r="AD278">
        <v>0</v>
      </c>
      <c r="AE278">
        <v>10833127</v>
      </c>
      <c r="AF278" t="s">
        <v>50</v>
      </c>
      <c r="AG278" t="s">
        <v>57</v>
      </c>
    </row>
    <row r="279" spans="1:33" x14ac:dyDescent="0.35">
      <c r="A279" s="1">
        <v>44902.761111111111</v>
      </c>
      <c r="B279">
        <v>4206305</v>
      </c>
      <c r="C279" t="s">
        <v>830</v>
      </c>
      <c r="D279" t="s">
        <v>666</v>
      </c>
      <c r="E279" s="2">
        <v>42388</v>
      </c>
      <c r="F279" t="str">
        <f>"9780231540612"</f>
        <v>9780231540612</v>
      </c>
      <c r="G279" t="str">
        <f>"9780231173384"</f>
        <v>9780231173384</v>
      </c>
      <c r="H279" t="s">
        <v>831</v>
      </c>
      <c r="I279">
        <v>621.79999999999995</v>
      </c>
      <c r="J279" t="s">
        <v>832</v>
      </c>
      <c r="K279" t="s">
        <v>44</v>
      </c>
      <c r="N279" t="s">
        <v>45</v>
      </c>
      <c r="O279" t="s">
        <v>46</v>
      </c>
      <c r="P279" t="s">
        <v>45</v>
      </c>
      <c r="Q279" t="s">
        <v>47</v>
      </c>
      <c r="R279" t="s">
        <v>44</v>
      </c>
      <c r="S279">
        <v>0</v>
      </c>
      <c r="W279" s="3">
        <v>1.5682870370370371E-2</v>
      </c>
      <c r="X279" t="s">
        <v>833</v>
      </c>
      <c r="Y279">
        <v>35</v>
      </c>
      <c r="Z279">
        <v>0</v>
      </c>
      <c r="AA279" t="s">
        <v>49</v>
      </c>
      <c r="AB279">
        <v>0</v>
      </c>
      <c r="AC279" t="s">
        <v>834</v>
      </c>
      <c r="AD279">
        <v>5</v>
      </c>
      <c r="AE279">
        <v>11210928</v>
      </c>
      <c r="AF279" t="s">
        <v>50</v>
      </c>
      <c r="AG279" t="s">
        <v>835</v>
      </c>
    </row>
    <row r="280" spans="1:33" x14ac:dyDescent="0.35">
      <c r="A280" s="1">
        <v>44902.761111111111</v>
      </c>
      <c r="B280">
        <v>675046</v>
      </c>
      <c r="C280" t="s">
        <v>796</v>
      </c>
      <c r="D280" t="s">
        <v>59</v>
      </c>
      <c r="E280" s="2">
        <v>40603</v>
      </c>
      <c r="F280" t="str">
        <f>"9780470905081"</f>
        <v>9780470905081</v>
      </c>
      <c r="G280" t="str">
        <f>"9780470494172"</f>
        <v>9780470494172</v>
      </c>
      <c r="H280" t="s">
        <v>95</v>
      </c>
      <c r="I280">
        <v>620.1</v>
      </c>
      <c r="J280" t="s">
        <v>797</v>
      </c>
      <c r="K280" t="s">
        <v>44</v>
      </c>
      <c r="N280" t="s">
        <v>45</v>
      </c>
      <c r="O280" t="s">
        <v>46</v>
      </c>
      <c r="P280" t="s">
        <v>45</v>
      </c>
      <c r="Q280" t="s">
        <v>47</v>
      </c>
      <c r="R280" t="s">
        <v>44</v>
      </c>
      <c r="S280">
        <v>0</v>
      </c>
      <c r="W280" s="3">
        <v>2.3067129629629632E-2</v>
      </c>
      <c r="X280" t="s">
        <v>836</v>
      </c>
      <c r="Y280">
        <v>54</v>
      </c>
      <c r="Z280">
        <v>0</v>
      </c>
      <c r="AA280" t="s">
        <v>49</v>
      </c>
      <c r="AB280">
        <v>0</v>
      </c>
      <c r="AC280" t="s">
        <v>49</v>
      </c>
      <c r="AD280">
        <v>0</v>
      </c>
      <c r="AE280">
        <v>10454742</v>
      </c>
      <c r="AF280" t="s">
        <v>50</v>
      </c>
      <c r="AG280" t="s">
        <v>57</v>
      </c>
    </row>
    <row r="281" spans="1:33" x14ac:dyDescent="0.35">
      <c r="A281" s="1">
        <v>44902.757638888892</v>
      </c>
      <c r="B281">
        <v>6229478</v>
      </c>
      <c r="C281" t="s">
        <v>837</v>
      </c>
      <c r="D281" t="s">
        <v>213</v>
      </c>
      <c r="E281" s="2">
        <v>43998</v>
      </c>
      <c r="F281" t="str">
        <f>"9780128168073"</f>
        <v>9780128168073</v>
      </c>
      <c r="G281" t="str">
        <f>"9780128168066"</f>
        <v>9780128168066</v>
      </c>
      <c r="H281" t="s">
        <v>214</v>
      </c>
      <c r="I281">
        <v>547.70000000000005</v>
      </c>
      <c r="J281" t="s">
        <v>838</v>
      </c>
      <c r="K281" t="s">
        <v>55</v>
      </c>
      <c r="Q281" t="s">
        <v>47</v>
      </c>
      <c r="R281" t="s">
        <v>44</v>
      </c>
      <c r="S281">
        <v>0</v>
      </c>
      <c r="W281" s="3">
        <v>8.449074074074075E-4</v>
      </c>
      <c r="X281" t="s">
        <v>839</v>
      </c>
      <c r="Y281">
        <v>7</v>
      </c>
      <c r="Z281">
        <v>0</v>
      </c>
      <c r="AA281" t="s">
        <v>49</v>
      </c>
      <c r="AB281">
        <v>0</v>
      </c>
      <c r="AC281" t="s">
        <v>49</v>
      </c>
      <c r="AD281">
        <v>0</v>
      </c>
      <c r="AE281">
        <v>-1</v>
      </c>
      <c r="AF281" t="s">
        <v>50</v>
      </c>
      <c r="AG281" t="s">
        <v>840</v>
      </c>
    </row>
    <row r="282" spans="1:33" x14ac:dyDescent="0.35">
      <c r="A282" s="1">
        <v>44902.756944444445</v>
      </c>
      <c r="B282">
        <v>6607136</v>
      </c>
      <c r="C282" t="s">
        <v>827</v>
      </c>
      <c r="D282" t="s">
        <v>65</v>
      </c>
      <c r="E282" s="2">
        <v>44327</v>
      </c>
      <c r="F282" t="str">
        <f>"9780128222768"</f>
        <v>9780128222768</v>
      </c>
      <c r="G282" t="str">
        <f>"9780128222751"</f>
        <v>9780128222751</v>
      </c>
      <c r="H282" t="s">
        <v>483</v>
      </c>
      <c r="I282">
        <v>720.47199999999998</v>
      </c>
      <c r="J282" t="s">
        <v>828</v>
      </c>
      <c r="K282" t="s">
        <v>55</v>
      </c>
      <c r="Q282" t="s">
        <v>47</v>
      </c>
      <c r="R282" t="s">
        <v>44</v>
      </c>
      <c r="S282">
        <v>0</v>
      </c>
      <c r="W282" s="3">
        <v>6.3657407407407402E-4</v>
      </c>
      <c r="X282" t="s">
        <v>841</v>
      </c>
      <c r="Y282">
        <v>4</v>
      </c>
      <c r="Z282">
        <v>0</v>
      </c>
      <c r="AA282" t="s">
        <v>49</v>
      </c>
      <c r="AB282">
        <v>0</v>
      </c>
      <c r="AC282" t="s">
        <v>49</v>
      </c>
      <c r="AD282">
        <v>0</v>
      </c>
      <c r="AE282">
        <v>-1</v>
      </c>
      <c r="AF282" t="s">
        <v>50</v>
      </c>
      <c r="AG282" t="s">
        <v>388</v>
      </c>
    </row>
    <row r="283" spans="1:33" x14ac:dyDescent="0.35">
      <c r="A283" s="1">
        <v>44902.744444444441</v>
      </c>
      <c r="B283">
        <v>1640151</v>
      </c>
      <c r="C283" t="s">
        <v>608</v>
      </c>
      <c r="D283" t="s">
        <v>65</v>
      </c>
      <c r="E283" s="2">
        <v>37008</v>
      </c>
      <c r="F283" t="str">
        <f>"9781855737556"</f>
        <v>9781855737556</v>
      </c>
      <c r="G283" t="str">
        <f>"9781855733336"</f>
        <v>9781855733336</v>
      </c>
      <c r="H283" t="s">
        <v>609</v>
      </c>
      <c r="I283">
        <v>677.02824499999997</v>
      </c>
      <c r="J283" t="s">
        <v>610</v>
      </c>
      <c r="K283" t="s">
        <v>44</v>
      </c>
      <c r="N283" t="s">
        <v>45</v>
      </c>
      <c r="O283" t="s">
        <v>46</v>
      </c>
      <c r="P283" t="s">
        <v>45</v>
      </c>
      <c r="Q283" t="s">
        <v>47</v>
      </c>
      <c r="R283" t="s">
        <v>44</v>
      </c>
      <c r="S283">
        <v>0</v>
      </c>
      <c r="W283" s="3">
        <v>4.6296296296296294E-5</v>
      </c>
      <c r="X283" t="s">
        <v>121</v>
      </c>
      <c r="Y283">
        <v>1</v>
      </c>
      <c r="Z283">
        <v>0</v>
      </c>
      <c r="AA283" t="s">
        <v>49</v>
      </c>
      <c r="AB283">
        <v>0</v>
      </c>
      <c r="AC283" t="s">
        <v>49</v>
      </c>
      <c r="AD283">
        <v>0</v>
      </c>
      <c r="AE283">
        <v>10833127</v>
      </c>
      <c r="AF283" t="s">
        <v>50</v>
      </c>
      <c r="AG283" t="s">
        <v>57</v>
      </c>
    </row>
    <row r="284" spans="1:33" x14ac:dyDescent="0.35">
      <c r="A284" s="1">
        <v>44902.731944444444</v>
      </c>
      <c r="B284">
        <v>6229478</v>
      </c>
      <c r="C284" t="s">
        <v>837</v>
      </c>
      <c r="D284" t="s">
        <v>213</v>
      </c>
      <c r="E284" s="2">
        <v>43998</v>
      </c>
      <c r="F284" t="str">
        <f>"9780128168073"</f>
        <v>9780128168073</v>
      </c>
      <c r="G284" t="str">
        <f>"9780128168066"</f>
        <v>9780128168066</v>
      </c>
      <c r="H284" t="s">
        <v>214</v>
      </c>
      <c r="I284">
        <v>547.70000000000005</v>
      </c>
      <c r="J284" t="s">
        <v>838</v>
      </c>
      <c r="K284" t="s">
        <v>55</v>
      </c>
      <c r="Q284" t="s">
        <v>47</v>
      </c>
      <c r="R284" t="s">
        <v>44</v>
      </c>
      <c r="S284">
        <v>0</v>
      </c>
      <c r="W284" s="3">
        <v>2.5578703703703705E-3</v>
      </c>
      <c r="X284" t="s">
        <v>842</v>
      </c>
      <c r="Y284">
        <v>13</v>
      </c>
      <c r="Z284">
        <v>0</v>
      </c>
      <c r="AA284" t="s">
        <v>49</v>
      </c>
      <c r="AB284">
        <v>0</v>
      </c>
      <c r="AC284" t="s">
        <v>49</v>
      </c>
      <c r="AD284">
        <v>0</v>
      </c>
      <c r="AE284">
        <v>-1</v>
      </c>
      <c r="AF284" t="s">
        <v>50</v>
      </c>
      <c r="AG284" t="s">
        <v>840</v>
      </c>
    </row>
    <row r="285" spans="1:33" x14ac:dyDescent="0.35">
      <c r="A285" s="1">
        <v>44902.715277777781</v>
      </c>
      <c r="B285">
        <v>5979624</v>
      </c>
      <c r="C285" t="s">
        <v>843</v>
      </c>
      <c r="D285" t="s">
        <v>844</v>
      </c>
      <c r="E285" s="2">
        <v>43798</v>
      </c>
      <c r="F285" t="str">
        <f>"9781789736878"</f>
        <v>9781789736878</v>
      </c>
      <c r="G285" t="str">
        <f>"9781789736908"</f>
        <v>9781789736908</v>
      </c>
      <c r="H285" t="s">
        <v>60</v>
      </c>
      <c r="I285">
        <v>658.40129999999999</v>
      </c>
      <c r="J285" t="s">
        <v>845</v>
      </c>
      <c r="K285" t="s">
        <v>44</v>
      </c>
      <c r="N285" t="s">
        <v>45</v>
      </c>
      <c r="O285" t="s">
        <v>46</v>
      </c>
      <c r="P285" t="s">
        <v>45</v>
      </c>
      <c r="Q285" t="s">
        <v>47</v>
      </c>
      <c r="R285" t="s">
        <v>44</v>
      </c>
      <c r="S285">
        <v>0</v>
      </c>
      <c r="W285" s="3">
        <v>2.1944444444444447E-2</v>
      </c>
      <c r="X285" t="s">
        <v>846</v>
      </c>
      <c r="Y285">
        <v>11</v>
      </c>
      <c r="Z285">
        <v>0</v>
      </c>
      <c r="AA285" t="s">
        <v>49</v>
      </c>
      <c r="AB285">
        <v>0</v>
      </c>
      <c r="AC285" t="s">
        <v>847</v>
      </c>
      <c r="AD285">
        <v>2</v>
      </c>
      <c r="AE285">
        <v>-1</v>
      </c>
      <c r="AF285" t="s">
        <v>50</v>
      </c>
      <c r="AG285" t="s">
        <v>411</v>
      </c>
    </row>
    <row r="286" spans="1:33" x14ac:dyDescent="0.35">
      <c r="A286" s="1">
        <v>44902.70208333333</v>
      </c>
      <c r="B286">
        <v>675046</v>
      </c>
      <c r="C286" t="s">
        <v>796</v>
      </c>
      <c r="D286" t="s">
        <v>59</v>
      </c>
      <c r="E286" s="2">
        <v>40603</v>
      </c>
      <c r="F286" t="str">
        <f>"9780470905081"</f>
        <v>9780470905081</v>
      </c>
      <c r="G286" t="str">
        <f>"9780470494172"</f>
        <v>9780470494172</v>
      </c>
      <c r="H286" t="s">
        <v>95</v>
      </c>
      <c r="I286">
        <v>620.1</v>
      </c>
      <c r="J286" t="s">
        <v>797</v>
      </c>
      <c r="K286" t="s">
        <v>44</v>
      </c>
      <c r="N286" t="s">
        <v>45</v>
      </c>
      <c r="O286" t="s">
        <v>46</v>
      </c>
      <c r="P286" t="s">
        <v>45</v>
      </c>
      <c r="Q286" t="s">
        <v>47</v>
      </c>
      <c r="R286" t="s">
        <v>44</v>
      </c>
      <c r="S286">
        <v>0</v>
      </c>
      <c r="W286" s="3">
        <v>7.4305555555555548E-3</v>
      </c>
      <c r="X286" t="s">
        <v>848</v>
      </c>
      <c r="Y286">
        <v>12</v>
      </c>
      <c r="Z286">
        <v>0</v>
      </c>
      <c r="AA286" t="s">
        <v>49</v>
      </c>
      <c r="AB286">
        <v>0</v>
      </c>
      <c r="AC286" t="s">
        <v>49</v>
      </c>
      <c r="AD286">
        <v>0</v>
      </c>
      <c r="AE286">
        <v>10454742</v>
      </c>
      <c r="AF286" t="s">
        <v>50</v>
      </c>
      <c r="AG286" t="s">
        <v>57</v>
      </c>
    </row>
    <row r="287" spans="1:33" x14ac:dyDescent="0.35">
      <c r="A287" s="1">
        <v>44902.695138888892</v>
      </c>
      <c r="B287">
        <v>4206305</v>
      </c>
      <c r="C287" t="s">
        <v>830</v>
      </c>
      <c r="D287" t="s">
        <v>666</v>
      </c>
      <c r="E287" s="2">
        <v>42388</v>
      </c>
      <c r="F287" t="str">
        <f>"9780231540612"</f>
        <v>9780231540612</v>
      </c>
      <c r="G287" t="str">
        <f>"9780231173384"</f>
        <v>9780231173384</v>
      </c>
      <c r="H287" t="s">
        <v>831</v>
      </c>
      <c r="I287">
        <v>621.79999999999995</v>
      </c>
      <c r="J287" t="s">
        <v>832</v>
      </c>
      <c r="K287" t="s">
        <v>44</v>
      </c>
      <c r="N287" t="s">
        <v>45</v>
      </c>
      <c r="O287" t="s">
        <v>46</v>
      </c>
      <c r="P287" t="s">
        <v>45</v>
      </c>
      <c r="Q287" t="s">
        <v>47</v>
      </c>
      <c r="R287" t="s">
        <v>44</v>
      </c>
      <c r="S287">
        <v>0</v>
      </c>
      <c r="W287" s="3">
        <v>3.3564814814814812E-4</v>
      </c>
      <c r="X287" t="s">
        <v>849</v>
      </c>
      <c r="Y287">
        <v>5</v>
      </c>
      <c r="Z287">
        <v>0</v>
      </c>
      <c r="AA287" t="s">
        <v>49</v>
      </c>
      <c r="AB287">
        <v>0</v>
      </c>
      <c r="AC287" t="s">
        <v>49</v>
      </c>
      <c r="AD287">
        <v>0</v>
      </c>
      <c r="AE287">
        <v>11210928</v>
      </c>
      <c r="AF287" t="s">
        <v>50</v>
      </c>
      <c r="AG287" t="s">
        <v>835</v>
      </c>
    </row>
    <row r="288" spans="1:33" x14ac:dyDescent="0.35">
      <c r="A288" s="1">
        <v>44902.659722222219</v>
      </c>
      <c r="B288">
        <v>818512</v>
      </c>
      <c r="C288" t="s">
        <v>850</v>
      </c>
      <c r="D288" t="s">
        <v>59</v>
      </c>
      <c r="E288" s="2">
        <v>40911</v>
      </c>
      <c r="F288" t="str">
        <f>"9781118170199"</f>
        <v>9781118170199</v>
      </c>
      <c r="G288" t="str">
        <f>"9781118170229"</f>
        <v>9781118170229</v>
      </c>
      <c r="H288" t="s">
        <v>851</v>
      </c>
      <c r="I288" t="s">
        <v>852</v>
      </c>
      <c r="J288" t="s">
        <v>853</v>
      </c>
      <c r="K288" t="s">
        <v>44</v>
      </c>
      <c r="N288" t="s">
        <v>45</v>
      </c>
      <c r="O288" t="s">
        <v>46</v>
      </c>
      <c r="P288" t="s">
        <v>45</v>
      </c>
      <c r="Q288" t="s">
        <v>47</v>
      </c>
      <c r="R288" t="s">
        <v>44</v>
      </c>
      <c r="S288">
        <v>0</v>
      </c>
      <c r="W288" s="3">
        <v>3.3333333333333335E-3</v>
      </c>
      <c r="X288" t="s">
        <v>854</v>
      </c>
      <c r="Y288">
        <v>7</v>
      </c>
      <c r="Z288">
        <v>2</v>
      </c>
      <c r="AA288" t="s">
        <v>855</v>
      </c>
      <c r="AB288">
        <v>16</v>
      </c>
      <c r="AC288" t="s">
        <v>49</v>
      </c>
      <c r="AD288">
        <v>0</v>
      </c>
      <c r="AE288">
        <v>10526540</v>
      </c>
      <c r="AF288" t="s">
        <v>50</v>
      </c>
      <c r="AG288" t="s">
        <v>736</v>
      </c>
    </row>
    <row r="289" spans="1:33" x14ac:dyDescent="0.35">
      <c r="A289" s="1">
        <v>44902.645138888889</v>
      </c>
      <c r="B289">
        <v>214288</v>
      </c>
      <c r="C289" t="s">
        <v>856</v>
      </c>
      <c r="D289" t="s">
        <v>59</v>
      </c>
      <c r="E289" s="2">
        <v>38223</v>
      </c>
      <c r="F289" t="str">
        <f>"9780471668817"</f>
        <v>9780471668817</v>
      </c>
      <c r="G289" t="str">
        <f>"9780471266372"</f>
        <v>9780471266372</v>
      </c>
      <c r="H289" t="s">
        <v>857</v>
      </c>
      <c r="I289">
        <v>629.83000000000004</v>
      </c>
      <c r="J289" t="s">
        <v>858</v>
      </c>
      <c r="K289" t="s">
        <v>44</v>
      </c>
      <c r="N289" t="s">
        <v>45</v>
      </c>
      <c r="O289" t="s">
        <v>46</v>
      </c>
      <c r="P289" t="s">
        <v>45</v>
      </c>
      <c r="Q289" t="s">
        <v>47</v>
      </c>
      <c r="R289" t="s">
        <v>44</v>
      </c>
      <c r="S289">
        <v>0</v>
      </c>
      <c r="W289" s="3">
        <v>3.2175925925925926E-3</v>
      </c>
      <c r="X289" t="s">
        <v>859</v>
      </c>
      <c r="Y289">
        <v>7</v>
      </c>
      <c r="Z289">
        <v>0</v>
      </c>
      <c r="AA289" t="s">
        <v>49</v>
      </c>
      <c r="AB289">
        <v>0</v>
      </c>
      <c r="AC289" t="s">
        <v>49</v>
      </c>
      <c r="AD289">
        <v>0</v>
      </c>
      <c r="AE289">
        <v>10114136</v>
      </c>
      <c r="AF289" t="s">
        <v>50</v>
      </c>
      <c r="AG289" t="s">
        <v>741</v>
      </c>
    </row>
    <row r="290" spans="1:33" x14ac:dyDescent="0.35">
      <c r="A290" s="1">
        <v>44902.640972222223</v>
      </c>
      <c r="B290">
        <v>676301</v>
      </c>
      <c r="C290" t="s">
        <v>860</v>
      </c>
      <c r="D290" t="s">
        <v>861</v>
      </c>
      <c r="E290" s="2">
        <v>40603</v>
      </c>
      <c r="F290" t="str">
        <f>"9781608071661"</f>
        <v>9781608071661</v>
      </c>
      <c r="G290" t="str">
        <f>"9781608071654"</f>
        <v>9781608071654</v>
      </c>
      <c r="H290" t="s">
        <v>542</v>
      </c>
      <c r="J290" t="s">
        <v>862</v>
      </c>
      <c r="K290" t="s">
        <v>44</v>
      </c>
      <c r="N290" t="s">
        <v>45</v>
      </c>
      <c r="O290" t="s">
        <v>46</v>
      </c>
      <c r="P290" t="s">
        <v>45</v>
      </c>
      <c r="Q290" t="s">
        <v>47</v>
      </c>
      <c r="R290" t="s">
        <v>44</v>
      </c>
      <c r="S290">
        <v>1</v>
      </c>
      <c r="W290" s="3">
        <v>7.407407407407407E-4</v>
      </c>
      <c r="X290" t="s">
        <v>863</v>
      </c>
      <c r="Y290">
        <v>5</v>
      </c>
      <c r="Z290">
        <v>0</v>
      </c>
      <c r="AA290" t="s">
        <v>49</v>
      </c>
      <c r="AB290">
        <v>0</v>
      </c>
      <c r="AC290" t="s">
        <v>49</v>
      </c>
      <c r="AD290">
        <v>0</v>
      </c>
      <c r="AE290">
        <v>10460264</v>
      </c>
      <c r="AF290" t="s">
        <v>63</v>
      </c>
      <c r="AG290" t="s">
        <v>57</v>
      </c>
    </row>
    <row r="291" spans="1:33" x14ac:dyDescent="0.35">
      <c r="A291" s="1">
        <v>44902.616666666669</v>
      </c>
      <c r="B291">
        <v>6353385</v>
      </c>
      <c r="C291" t="s">
        <v>864</v>
      </c>
      <c r="D291" t="s">
        <v>497</v>
      </c>
      <c r="E291" s="2">
        <v>44175</v>
      </c>
      <c r="F291" t="str">
        <f>"9781472843340"</f>
        <v>9781472843340</v>
      </c>
      <c r="G291" t="str">
        <f>"9781472843333"</f>
        <v>9781472843333</v>
      </c>
      <c r="H291" t="s">
        <v>857</v>
      </c>
      <c r="I291">
        <v>629.13334899999995</v>
      </c>
      <c r="J291" t="s">
        <v>865</v>
      </c>
      <c r="K291" t="s">
        <v>55</v>
      </c>
      <c r="Q291" t="s">
        <v>47</v>
      </c>
      <c r="R291" t="s">
        <v>44</v>
      </c>
      <c r="S291">
        <v>0</v>
      </c>
      <c r="W291" s="3">
        <v>1.1574074074074073E-5</v>
      </c>
      <c r="X291" t="s">
        <v>121</v>
      </c>
      <c r="Y291">
        <v>1</v>
      </c>
      <c r="Z291">
        <v>0</v>
      </c>
      <c r="AA291" t="s">
        <v>49</v>
      </c>
      <c r="AB291">
        <v>0</v>
      </c>
      <c r="AC291" t="s">
        <v>49</v>
      </c>
      <c r="AD291">
        <v>0</v>
      </c>
      <c r="AE291">
        <v>-1</v>
      </c>
      <c r="AF291" t="s">
        <v>50</v>
      </c>
      <c r="AG291" t="s">
        <v>866</v>
      </c>
    </row>
    <row r="292" spans="1:33" x14ac:dyDescent="0.35">
      <c r="A292" s="1">
        <v>44902.605555555558</v>
      </c>
      <c r="B292">
        <v>789304</v>
      </c>
      <c r="C292" t="s">
        <v>867</v>
      </c>
      <c r="D292" t="s">
        <v>59</v>
      </c>
      <c r="E292" s="2">
        <v>40645</v>
      </c>
      <c r="F292" t="str">
        <f>"9780470915158"</f>
        <v>9780470915158</v>
      </c>
      <c r="G292" t="str">
        <f>"9780470102268"</f>
        <v>9780470102268</v>
      </c>
      <c r="H292" t="s">
        <v>868</v>
      </c>
      <c r="I292">
        <v>532</v>
      </c>
      <c r="J292" t="s">
        <v>869</v>
      </c>
      <c r="K292" t="s">
        <v>44</v>
      </c>
      <c r="N292" t="s">
        <v>45</v>
      </c>
      <c r="O292" t="s">
        <v>46</v>
      </c>
      <c r="P292" t="s">
        <v>45</v>
      </c>
      <c r="Q292" t="s">
        <v>47</v>
      </c>
      <c r="R292" t="s">
        <v>44</v>
      </c>
      <c r="S292">
        <v>0</v>
      </c>
      <c r="W292" s="3">
        <v>2.6388888888888885E-3</v>
      </c>
      <c r="X292" t="s">
        <v>870</v>
      </c>
      <c r="Y292">
        <v>20</v>
      </c>
      <c r="Z292">
        <v>0</v>
      </c>
      <c r="AA292" t="s">
        <v>49</v>
      </c>
      <c r="AB292">
        <v>0</v>
      </c>
      <c r="AC292" t="s">
        <v>49</v>
      </c>
      <c r="AD292">
        <v>0</v>
      </c>
      <c r="AE292">
        <v>10460858</v>
      </c>
      <c r="AF292" t="s">
        <v>50</v>
      </c>
      <c r="AG292" t="s">
        <v>871</v>
      </c>
    </row>
    <row r="293" spans="1:33" x14ac:dyDescent="0.35">
      <c r="A293" s="1">
        <v>44902.597222222219</v>
      </c>
      <c r="B293">
        <v>6799113</v>
      </c>
      <c r="C293" t="s">
        <v>872</v>
      </c>
      <c r="D293" t="s">
        <v>59</v>
      </c>
      <c r="E293" s="2">
        <v>44524</v>
      </c>
      <c r="F293" t="str">
        <f>"9781119850618"</f>
        <v>9781119850618</v>
      </c>
      <c r="G293" t="str">
        <f>"9781119850601"</f>
        <v>9781119850601</v>
      </c>
      <c r="H293" t="s">
        <v>133</v>
      </c>
      <c r="I293">
        <v>332.6</v>
      </c>
      <c r="J293" t="s">
        <v>873</v>
      </c>
      <c r="K293" t="s">
        <v>55</v>
      </c>
      <c r="Q293" t="s">
        <v>47</v>
      </c>
      <c r="R293" t="s">
        <v>44</v>
      </c>
      <c r="S293">
        <v>0</v>
      </c>
      <c r="W293" s="3">
        <v>1.6319444444444445E-3</v>
      </c>
      <c r="X293" t="s">
        <v>874</v>
      </c>
      <c r="Y293">
        <v>6</v>
      </c>
      <c r="Z293">
        <v>0</v>
      </c>
      <c r="AA293" t="s">
        <v>49</v>
      </c>
      <c r="AB293">
        <v>0</v>
      </c>
      <c r="AC293" t="s">
        <v>49</v>
      </c>
      <c r="AD293">
        <v>0</v>
      </c>
      <c r="AE293">
        <v>-1</v>
      </c>
      <c r="AF293" t="s">
        <v>50</v>
      </c>
      <c r="AG293" t="s">
        <v>871</v>
      </c>
    </row>
    <row r="294" spans="1:33" x14ac:dyDescent="0.35">
      <c r="A294" s="1">
        <v>44902.582638888889</v>
      </c>
      <c r="B294">
        <v>6118594</v>
      </c>
      <c r="C294" t="s">
        <v>875</v>
      </c>
      <c r="D294" t="s">
        <v>213</v>
      </c>
      <c r="E294" s="2">
        <v>43885</v>
      </c>
      <c r="F294" t="str">
        <f>"9780128182826"</f>
        <v>9780128182826</v>
      </c>
      <c r="G294" t="str">
        <f>"9780128182819"</f>
        <v>9780128182819</v>
      </c>
      <c r="H294" t="s">
        <v>876</v>
      </c>
      <c r="I294">
        <v>388.31200000000001</v>
      </c>
      <c r="J294" t="s">
        <v>877</v>
      </c>
      <c r="K294" t="s">
        <v>55</v>
      </c>
      <c r="Q294" t="s">
        <v>47</v>
      </c>
      <c r="R294" t="s">
        <v>44</v>
      </c>
      <c r="S294">
        <v>0</v>
      </c>
      <c r="W294" s="3">
        <v>3.9120370370370368E-3</v>
      </c>
      <c r="X294" t="s">
        <v>878</v>
      </c>
      <c r="Y294">
        <v>16</v>
      </c>
      <c r="Z294">
        <v>0</v>
      </c>
      <c r="AA294" t="s">
        <v>49</v>
      </c>
      <c r="AB294">
        <v>0</v>
      </c>
      <c r="AC294" t="s">
        <v>49</v>
      </c>
      <c r="AD294">
        <v>0</v>
      </c>
      <c r="AE294">
        <v>-1</v>
      </c>
      <c r="AF294" t="s">
        <v>63</v>
      </c>
      <c r="AG294" t="s">
        <v>637</v>
      </c>
    </row>
    <row r="295" spans="1:33" x14ac:dyDescent="0.35">
      <c r="A295" s="1">
        <v>44902.579861111109</v>
      </c>
      <c r="B295">
        <v>5769836</v>
      </c>
      <c r="C295" t="s">
        <v>879</v>
      </c>
      <c r="D295" t="s">
        <v>137</v>
      </c>
      <c r="E295" s="2">
        <v>43550</v>
      </c>
      <c r="F295" t="str">
        <f>"9781536151008"</f>
        <v>9781536151008</v>
      </c>
      <c r="G295" t="str">
        <f>""</f>
        <v/>
      </c>
      <c r="H295" t="s">
        <v>880</v>
      </c>
      <c r="K295" t="s">
        <v>55</v>
      </c>
      <c r="Q295" t="s">
        <v>47</v>
      </c>
      <c r="R295" t="s">
        <v>44</v>
      </c>
      <c r="S295">
        <v>0</v>
      </c>
      <c r="W295" s="3">
        <v>2.3726851851851851E-3</v>
      </c>
      <c r="X295" t="s">
        <v>881</v>
      </c>
      <c r="Y295">
        <v>47</v>
      </c>
      <c r="Z295">
        <v>0</v>
      </c>
      <c r="AA295" t="s">
        <v>49</v>
      </c>
      <c r="AB295">
        <v>0</v>
      </c>
      <c r="AC295" t="s">
        <v>49</v>
      </c>
      <c r="AD295">
        <v>0</v>
      </c>
      <c r="AE295">
        <v>-1</v>
      </c>
      <c r="AF295" t="s">
        <v>63</v>
      </c>
      <c r="AG295" t="s">
        <v>637</v>
      </c>
    </row>
    <row r="296" spans="1:33" x14ac:dyDescent="0.35">
      <c r="A296" s="1">
        <v>44902.578472222223</v>
      </c>
      <c r="B296">
        <v>1584625</v>
      </c>
      <c r="C296" t="s">
        <v>882</v>
      </c>
      <c r="D296" t="s">
        <v>65</v>
      </c>
      <c r="E296" s="2">
        <v>41052</v>
      </c>
      <c r="F296" t="str">
        <f>"9780857095152"</f>
        <v>9780857095152</v>
      </c>
      <c r="G296" t="str">
        <f>"9781855739468"</f>
        <v>9781855739468</v>
      </c>
      <c r="H296" t="s">
        <v>126</v>
      </c>
      <c r="I296">
        <v>629.1</v>
      </c>
      <c r="J296" t="s">
        <v>883</v>
      </c>
      <c r="K296" t="s">
        <v>44</v>
      </c>
      <c r="N296" t="s">
        <v>45</v>
      </c>
      <c r="O296" t="s">
        <v>46</v>
      </c>
      <c r="P296" t="s">
        <v>45</v>
      </c>
      <c r="Q296" t="s">
        <v>47</v>
      </c>
      <c r="R296" t="s">
        <v>44</v>
      </c>
      <c r="S296">
        <v>0</v>
      </c>
      <c r="W296" s="3">
        <v>1.6377314814814813E-2</v>
      </c>
      <c r="X296" t="s">
        <v>884</v>
      </c>
      <c r="Y296">
        <v>43</v>
      </c>
      <c r="Z296">
        <v>1</v>
      </c>
      <c r="AA296" t="s">
        <v>885</v>
      </c>
      <c r="AB296">
        <v>17</v>
      </c>
      <c r="AC296" t="s">
        <v>886</v>
      </c>
      <c r="AD296">
        <v>1</v>
      </c>
      <c r="AE296">
        <v>10817787</v>
      </c>
      <c r="AF296" t="s">
        <v>50</v>
      </c>
      <c r="AG296" t="s">
        <v>388</v>
      </c>
    </row>
    <row r="297" spans="1:33" x14ac:dyDescent="0.35">
      <c r="A297" s="1">
        <v>44902.556250000001</v>
      </c>
      <c r="B297">
        <v>5838357</v>
      </c>
      <c r="C297" t="s">
        <v>887</v>
      </c>
      <c r="D297" t="s">
        <v>53</v>
      </c>
      <c r="E297" s="2">
        <v>43739</v>
      </c>
      <c r="F297" t="str">
        <f>"9780691197777"</f>
        <v>9780691197777</v>
      </c>
      <c r="G297" t="str">
        <f>"9780691180144"</f>
        <v>9780691180144</v>
      </c>
      <c r="H297" t="s">
        <v>454</v>
      </c>
      <c r="I297">
        <v>6.3010000000000002</v>
      </c>
      <c r="J297" t="s">
        <v>888</v>
      </c>
      <c r="K297" t="s">
        <v>55</v>
      </c>
      <c r="Q297" t="s">
        <v>47</v>
      </c>
      <c r="R297" t="s">
        <v>44</v>
      </c>
      <c r="S297">
        <v>0</v>
      </c>
      <c r="W297" s="3">
        <v>2.0347222222222221E-2</v>
      </c>
      <c r="X297" t="s">
        <v>889</v>
      </c>
      <c r="Y297">
        <v>19</v>
      </c>
      <c r="Z297">
        <v>0</v>
      </c>
      <c r="AA297" t="s">
        <v>49</v>
      </c>
      <c r="AB297">
        <v>0</v>
      </c>
      <c r="AC297" t="s">
        <v>49</v>
      </c>
      <c r="AD297">
        <v>0</v>
      </c>
      <c r="AE297">
        <v>-1</v>
      </c>
      <c r="AF297" t="s">
        <v>63</v>
      </c>
      <c r="AG297" t="s">
        <v>637</v>
      </c>
    </row>
    <row r="298" spans="1:33" x14ac:dyDescent="0.35">
      <c r="A298" s="1">
        <v>44902.552083333336</v>
      </c>
      <c r="B298">
        <v>5180008</v>
      </c>
      <c r="C298" t="s">
        <v>890</v>
      </c>
      <c r="D298" t="s">
        <v>891</v>
      </c>
      <c r="E298" s="2">
        <v>43235</v>
      </c>
      <c r="F298" t="str">
        <f>"9780815732945"</f>
        <v>9780815732945</v>
      </c>
      <c r="G298" t="str">
        <f>"9780815732938"</f>
        <v>9780815732938</v>
      </c>
      <c r="H298" t="s">
        <v>691</v>
      </c>
      <c r="I298" t="s">
        <v>892</v>
      </c>
      <c r="J298" t="s">
        <v>893</v>
      </c>
      <c r="K298" t="s">
        <v>44</v>
      </c>
      <c r="N298" t="s">
        <v>45</v>
      </c>
      <c r="O298" t="s">
        <v>46</v>
      </c>
      <c r="P298" t="s">
        <v>45</v>
      </c>
      <c r="Q298" t="s">
        <v>47</v>
      </c>
      <c r="R298" t="s">
        <v>44</v>
      </c>
      <c r="S298">
        <v>0</v>
      </c>
      <c r="W298" s="3">
        <v>1.1574074074074073E-4</v>
      </c>
      <c r="X298" t="s">
        <v>593</v>
      </c>
      <c r="Y298">
        <v>2</v>
      </c>
      <c r="Z298">
        <v>0</v>
      </c>
      <c r="AA298" t="s">
        <v>49</v>
      </c>
      <c r="AB298">
        <v>0</v>
      </c>
      <c r="AC298" t="s">
        <v>49</v>
      </c>
      <c r="AD298">
        <v>0</v>
      </c>
      <c r="AE298">
        <v>11528294</v>
      </c>
      <c r="AF298" t="s">
        <v>63</v>
      </c>
      <c r="AG298" t="s">
        <v>637</v>
      </c>
    </row>
    <row r="299" spans="1:33" x14ac:dyDescent="0.35">
      <c r="A299" s="1">
        <v>44902.552083333336</v>
      </c>
      <c r="B299">
        <v>5824983</v>
      </c>
      <c r="C299" t="s">
        <v>894</v>
      </c>
      <c r="D299" t="s">
        <v>895</v>
      </c>
      <c r="E299" s="2">
        <v>43697</v>
      </c>
      <c r="F299" t="str">
        <f>"9780429672682"</f>
        <v>9780429672682</v>
      </c>
      <c r="G299" t="str">
        <f>"9780367029296"</f>
        <v>9780367029296</v>
      </c>
      <c r="H299" t="s">
        <v>896</v>
      </c>
      <c r="I299">
        <v>153.42028563</v>
      </c>
      <c r="J299" t="s">
        <v>897</v>
      </c>
      <c r="K299" t="s">
        <v>55</v>
      </c>
      <c r="Q299" t="s">
        <v>47</v>
      </c>
      <c r="R299" t="s">
        <v>44</v>
      </c>
      <c r="S299">
        <v>0</v>
      </c>
      <c r="W299" s="3">
        <v>3.7384259259259263E-3</v>
      </c>
      <c r="X299" t="s">
        <v>898</v>
      </c>
      <c r="Y299">
        <v>35</v>
      </c>
      <c r="Z299">
        <v>0</v>
      </c>
      <c r="AA299" t="s">
        <v>49</v>
      </c>
      <c r="AB299">
        <v>0</v>
      </c>
      <c r="AC299" t="s">
        <v>49</v>
      </c>
      <c r="AD299">
        <v>0</v>
      </c>
      <c r="AE299">
        <v>-1</v>
      </c>
      <c r="AF299" t="s">
        <v>63</v>
      </c>
      <c r="AG299" t="s">
        <v>637</v>
      </c>
    </row>
    <row r="300" spans="1:33" x14ac:dyDescent="0.35">
      <c r="A300" s="1">
        <v>44902.54791666667</v>
      </c>
      <c r="B300">
        <v>6571564</v>
      </c>
      <c r="C300" t="s">
        <v>899</v>
      </c>
      <c r="D300" t="s">
        <v>614</v>
      </c>
      <c r="E300" s="2">
        <v>44313</v>
      </c>
      <c r="F300" t="str">
        <f>"9789813368118"</f>
        <v>9789813368118</v>
      </c>
      <c r="G300" t="str">
        <f>"9789813368101"</f>
        <v>9789813368101</v>
      </c>
      <c r="H300" t="s">
        <v>900</v>
      </c>
      <c r="I300">
        <v>332.02856300000002</v>
      </c>
      <c r="J300" t="s">
        <v>901</v>
      </c>
      <c r="K300" t="s">
        <v>55</v>
      </c>
      <c r="Q300" t="s">
        <v>47</v>
      </c>
      <c r="R300" t="s">
        <v>44</v>
      </c>
      <c r="S300">
        <v>0</v>
      </c>
      <c r="W300" s="3">
        <v>2.8703703703703708E-3</v>
      </c>
      <c r="X300" t="s">
        <v>902</v>
      </c>
      <c r="Y300">
        <v>12</v>
      </c>
      <c r="Z300">
        <v>0</v>
      </c>
      <c r="AA300" t="s">
        <v>49</v>
      </c>
      <c r="AB300">
        <v>0</v>
      </c>
      <c r="AC300" t="s">
        <v>49</v>
      </c>
      <c r="AD300">
        <v>0</v>
      </c>
      <c r="AE300">
        <v>-1</v>
      </c>
      <c r="AF300" t="s">
        <v>50</v>
      </c>
      <c r="AG300" t="s">
        <v>637</v>
      </c>
    </row>
    <row r="301" spans="1:33" x14ac:dyDescent="0.35">
      <c r="A301" s="1">
        <v>44902.530555555553</v>
      </c>
      <c r="B301">
        <v>2083001</v>
      </c>
      <c r="C301" t="s">
        <v>575</v>
      </c>
      <c r="D301" t="s">
        <v>424</v>
      </c>
      <c r="E301" s="2">
        <v>42217</v>
      </c>
      <c r="F301" t="str">
        <f>"9781442252929"</f>
        <v>9781442252929</v>
      </c>
      <c r="G301" t="str">
        <f>"9781442252905"</f>
        <v>9781442252905</v>
      </c>
      <c r="H301" t="s">
        <v>385</v>
      </c>
      <c r="I301">
        <v>25.502849999999999</v>
      </c>
      <c r="J301" t="s">
        <v>576</v>
      </c>
      <c r="K301" t="s">
        <v>44</v>
      </c>
      <c r="N301" t="s">
        <v>45</v>
      </c>
      <c r="O301" t="s">
        <v>46</v>
      </c>
      <c r="P301" t="s">
        <v>45</v>
      </c>
      <c r="Q301" t="s">
        <v>47</v>
      </c>
      <c r="R301" t="s">
        <v>44</v>
      </c>
      <c r="S301">
        <v>0</v>
      </c>
      <c r="W301" s="3">
        <v>3.8194444444444446E-4</v>
      </c>
      <c r="X301" t="s">
        <v>903</v>
      </c>
      <c r="Y301">
        <v>7</v>
      </c>
      <c r="Z301">
        <v>0</v>
      </c>
      <c r="AA301" t="s">
        <v>49</v>
      </c>
      <c r="AB301">
        <v>0</v>
      </c>
      <c r="AC301" t="s">
        <v>49</v>
      </c>
      <c r="AD301">
        <v>0</v>
      </c>
      <c r="AE301">
        <v>11073594</v>
      </c>
      <c r="AF301" t="s">
        <v>50</v>
      </c>
      <c r="AG301" t="s">
        <v>279</v>
      </c>
    </row>
    <row r="302" spans="1:33" x14ac:dyDescent="0.35">
      <c r="A302" s="1">
        <v>44902.522222222222</v>
      </c>
      <c r="B302">
        <v>6305888</v>
      </c>
      <c r="C302" t="s">
        <v>904</v>
      </c>
      <c r="D302" t="s">
        <v>905</v>
      </c>
      <c r="E302" s="2">
        <v>37622</v>
      </c>
      <c r="F302" t="str">
        <f>"9786144252284"</f>
        <v>9786144252284</v>
      </c>
      <c r="G302" t="str">
        <f>"9781855165199"</f>
        <v>9781855165199</v>
      </c>
      <c r="H302" t="s">
        <v>906</v>
      </c>
      <c r="K302" t="s">
        <v>44</v>
      </c>
      <c r="N302" t="s">
        <v>45</v>
      </c>
      <c r="O302" t="s">
        <v>46</v>
      </c>
      <c r="P302" t="s">
        <v>45</v>
      </c>
      <c r="Q302" t="s">
        <v>47</v>
      </c>
      <c r="R302" t="s">
        <v>44</v>
      </c>
      <c r="S302">
        <v>0</v>
      </c>
      <c r="W302" s="3">
        <v>3.3564814814814812E-4</v>
      </c>
      <c r="X302" t="s">
        <v>907</v>
      </c>
      <c r="Y302">
        <v>7</v>
      </c>
      <c r="Z302">
        <v>0</v>
      </c>
      <c r="AA302" t="s">
        <v>49</v>
      </c>
      <c r="AB302">
        <v>0</v>
      </c>
      <c r="AC302" t="s">
        <v>49</v>
      </c>
      <c r="AD302">
        <v>0</v>
      </c>
      <c r="AE302">
        <v>-1</v>
      </c>
      <c r="AF302" t="s">
        <v>50</v>
      </c>
      <c r="AG302" t="s">
        <v>57</v>
      </c>
    </row>
    <row r="303" spans="1:33" x14ac:dyDescent="0.35">
      <c r="A303" s="1">
        <v>44902.520833333336</v>
      </c>
      <c r="B303">
        <v>6644860</v>
      </c>
      <c r="C303" t="s">
        <v>908</v>
      </c>
      <c r="D303" t="s">
        <v>76</v>
      </c>
      <c r="E303" s="2">
        <v>44406</v>
      </c>
      <c r="F303" t="str">
        <f>"9781000406481"</f>
        <v>9781000406481</v>
      </c>
      <c r="G303" t="str">
        <f>"9780367559700"</f>
        <v>9780367559700</v>
      </c>
      <c r="H303" t="s">
        <v>454</v>
      </c>
      <c r="I303">
        <v>6.3</v>
      </c>
      <c r="J303" t="s">
        <v>909</v>
      </c>
      <c r="K303" t="s">
        <v>55</v>
      </c>
      <c r="Q303" t="s">
        <v>47</v>
      </c>
      <c r="R303" t="s">
        <v>44</v>
      </c>
      <c r="S303">
        <v>0</v>
      </c>
      <c r="W303" s="3">
        <v>2.9976851851851848E-3</v>
      </c>
      <c r="X303" t="s">
        <v>910</v>
      </c>
      <c r="Y303">
        <v>19</v>
      </c>
      <c r="Z303">
        <v>0</v>
      </c>
      <c r="AA303" t="s">
        <v>49</v>
      </c>
      <c r="AB303">
        <v>0</v>
      </c>
      <c r="AC303" t="s">
        <v>49</v>
      </c>
      <c r="AD303">
        <v>0</v>
      </c>
      <c r="AE303">
        <v>-1</v>
      </c>
      <c r="AF303" t="s">
        <v>50</v>
      </c>
      <c r="AG303" t="s">
        <v>637</v>
      </c>
    </row>
    <row r="304" spans="1:33" x14ac:dyDescent="0.35">
      <c r="A304" s="1">
        <v>44902.518750000003</v>
      </c>
      <c r="B304">
        <v>676301</v>
      </c>
      <c r="C304" t="s">
        <v>860</v>
      </c>
      <c r="D304" t="s">
        <v>861</v>
      </c>
      <c r="E304" s="2">
        <v>40603</v>
      </c>
      <c r="F304" t="str">
        <f>"9781608071661"</f>
        <v>9781608071661</v>
      </c>
      <c r="G304" t="str">
        <f>"9781608071654"</f>
        <v>9781608071654</v>
      </c>
      <c r="H304" t="s">
        <v>542</v>
      </c>
      <c r="J304" t="s">
        <v>862</v>
      </c>
      <c r="K304" t="s">
        <v>44</v>
      </c>
      <c r="N304" t="s">
        <v>45</v>
      </c>
      <c r="O304" t="s">
        <v>46</v>
      </c>
      <c r="P304" t="s">
        <v>45</v>
      </c>
      <c r="Q304" t="s">
        <v>47</v>
      </c>
      <c r="R304" t="s">
        <v>44</v>
      </c>
      <c r="S304">
        <v>0</v>
      </c>
      <c r="W304" s="3">
        <v>1.2847222222222223E-2</v>
      </c>
      <c r="X304" t="s">
        <v>911</v>
      </c>
      <c r="Y304">
        <v>72</v>
      </c>
      <c r="Z304">
        <v>1</v>
      </c>
      <c r="AA304" t="s">
        <v>912</v>
      </c>
      <c r="AB304">
        <v>66</v>
      </c>
      <c r="AC304" t="s">
        <v>49</v>
      </c>
      <c r="AD304">
        <v>0</v>
      </c>
      <c r="AE304">
        <v>10460264</v>
      </c>
      <c r="AF304" t="s">
        <v>63</v>
      </c>
      <c r="AG304" t="s">
        <v>57</v>
      </c>
    </row>
    <row r="305" spans="1:33" x14ac:dyDescent="0.35">
      <c r="A305" s="1">
        <v>44902.515972222223</v>
      </c>
      <c r="B305">
        <v>5599540</v>
      </c>
      <c r="C305" t="s">
        <v>289</v>
      </c>
      <c r="D305" t="s">
        <v>213</v>
      </c>
      <c r="E305" s="2">
        <v>43423</v>
      </c>
      <c r="F305" t="str">
        <f>"9780128139271"</f>
        <v>9780128139271</v>
      </c>
      <c r="G305" t="str">
        <f>"9780128139264"</f>
        <v>9780128139264</v>
      </c>
      <c r="H305" t="s">
        <v>290</v>
      </c>
      <c r="I305" t="s">
        <v>291</v>
      </c>
      <c r="J305" t="s">
        <v>292</v>
      </c>
      <c r="K305" t="s">
        <v>55</v>
      </c>
      <c r="Q305" t="s">
        <v>47</v>
      </c>
      <c r="R305" t="s">
        <v>44</v>
      </c>
      <c r="S305">
        <v>0</v>
      </c>
      <c r="W305" s="3">
        <v>1.7881944444444443E-2</v>
      </c>
      <c r="X305" t="s">
        <v>913</v>
      </c>
      <c r="Y305">
        <v>4</v>
      </c>
      <c r="Z305">
        <v>0</v>
      </c>
      <c r="AA305" t="s">
        <v>49</v>
      </c>
      <c r="AB305">
        <v>0</v>
      </c>
      <c r="AC305" t="s">
        <v>49</v>
      </c>
      <c r="AD305">
        <v>0</v>
      </c>
      <c r="AE305">
        <v>-1</v>
      </c>
      <c r="AF305" t="s">
        <v>50</v>
      </c>
      <c r="AG305" t="s">
        <v>57</v>
      </c>
    </row>
    <row r="306" spans="1:33" x14ac:dyDescent="0.35">
      <c r="A306" s="1">
        <v>44902.505555555559</v>
      </c>
      <c r="B306">
        <v>1640151</v>
      </c>
      <c r="C306" t="s">
        <v>608</v>
      </c>
      <c r="D306" t="s">
        <v>65</v>
      </c>
      <c r="E306" s="2">
        <v>37008</v>
      </c>
      <c r="F306" t="str">
        <f>"9781855737556"</f>
        <v>9781855737556</v>
      </c>
      <c r="G306" t="str">
        <f>"9781855733336"</f>
        <v>9781855733336</v>
      </c>
      <c r="H306" t="s">
        <v>609</v>
      </c>
      <c r="I306">
        <v>677.02824499999997</v>
      </c>
      <c r="J306" t="s">
        <v>610</v>
      </c>
      <c r="K306" t="s">
        <v>44</v>
      </c>
      <c r="N306" t="s">
        <v>45</v>
      </c>
      <c r="O306" t="s">
        <v>46</v>
      </c>
      <c r="P306" t="s">
        <v>45</v>
      </c>
      <c r="Q306" t="s">
        <v>47</v>
      </c>
      <c r="R306" t="s">
        <v>44</v>
      </c>
      <c r="S306">
        <v>0</v>
      </c>
      <c r="W306" s="3">
        <v>1.2384259259259258E-3</v>
      </c>
      <c r="X306" t="s">
        <v>205</v>
      </c>
      <c r="Y306">
        <v>2</v>
      </c>
      <c r="Z306">
        <v>0</v>
      </c>
      <c r="AA306" t="s">
        <v>49</v>
      </c>
      <c r="AB306">
        <v>0</v>
      </c>
      <c r="AC306" t="s">
        <v>49</v>
      </c>
      <c r="AD306">
        <v>0</v>
      </c>
      <c r="AE306">
        <v>10833127</v>
      </c>
      <c r="AF306" t="s">
        <v>50</v>
      </c>
      <c r="AG306" t="s">
        <v>57</v>
      </c>
    </row>
    <row r="307" spans="1:33" x14ac:dyDescent="0.35">
      <c r="A307" s="1">
        <v>44902.500694444447</v>
      </c>
      <c r="B307">
        <v>1681686</v>
      </c>
      <c r="C307" t="s">
        <v>914</v>
      </c>
      <c r="D307" t="s">
        <v>71</v>
      </c>
      <c r="E307" s="2">
        <v>37120</v>
      </c>
      <c r="F307" t="str">
        <f>"9789812811646"</f>
        <v>9789812811646</v>
      </c>
      <c r="G307" t="str">
        <f>"9789810245283"</f>
        <v>9789810245283</v>
      </c>
      <c r="H307" t="s">
        <v>72</v>
      </c>
      <c r="I307">
        <v>539.73</v>
      </c>
      <c r="J307" t="s">
        <v>915</v>
      </c>
      <c r="K307" t="s">
        <v>44</v>
      </c>
      <c r="N307" t="s">
        <v>45</v>
      </c>
      <c r="O307" t="s">
        <v>46</v>
      </c>
      <c r="P307" t="s">
        <v>45</v>
      </c>
      <c r="Q307" t="s">
        <v>47</v>
      </c>
      <c r="R307" t="s">
        <v>44</v>
      </c>
      <c r="S307">
        <v>0</v>
      </c>
      <c r="W307" s="3">
        <v>6.2500000000000001E-4</v>
      </c>
      <c r="X307" t="s">
        <v>916</v>
      </c>
      <c r="Y307">
        <v>11</v>
      </c>
      <c r="Z307">
        <v>0</v>
      </c>
      <c r="AA307" t="s">
        <v>49</v>
      </c>
      <c r="AB307">
        <v>0</v>
      </c>
      <c r="AC307" t="s">
        <v>49</v>
      </c>
      <c r="AD307">
        <v>0</v>
      </c>
      <c r="AE307">
        <v>10255870</v>
      </c>
      <c r="AF307" t="s">
        <v>50</v>
      </c>
      <c r="AG307" t="s">
        <v>637</v>
      </c>
    </row>
    <row r="308" spans="1:33" x14ac:dyDescent="0.35">
      <c r="A308" s="1">
        <v>44902.5</v>
      </c>
      <c r="B308">
        <v>5969438</v>
      </c>
      <c r="C308" t="s">
        <v>917</v>
      </c>
      <c r="D308" t="s">
        <v>105</v>
      </c>
      <c r="E308" s="2">
        <v>43780</v>
      </c>
      <c r="F308" t="str">
        <f>"9783030244408"</f>
        <v>9783030244408</v>
      </c>
      <c r="G308" t="str">
        <f>"9783030244392"</f>
        <v>9783030244392</v>
      </c>
      <c r="H308" t="s">
        <v>918</v>
      </c>
      <c r="I308">
        <v>669.94</v>
      </c>
      <c r="J308" t="s">
        <v>919</v>
      </c>
      <c r="K308" t="s">
        <v>55</v>
      </c>
      <c r="Q308" t="s">
        <v>47</v>
      </c>
      <c r="R308" t="s">
        <v>44</v>
      </c>
      <c r="S308">
        <v>0</v>
      </c>
      <c r="W308" s="3">
        <v>4.8495370370370368E-3</v>
      </c>
      <c r="X308" t="s">
        <v>920</v>
      </c>
      <c r="Y308">
        <v>15</v>
      </c>
      <c r="Z308">
        <v>0</v>
      </c>
      <c r="AA308" t="s">
        <v>49</v>
      </c>
      <c r="AB308">
        <v>0</v>
      </c>
      <c r="AC308" t="s">
        <v>49</v>
      </c>
      <c r="AD308">
        <v>0</v>
      </c>
      <c r="AE308">
        <v>-1</v>
      </c>
      <c r="AF308" t="s">
        <v>50</v>
      </c>
      <c r="AG308" t="s">
        <v>57</v>
      </c>
    </row>
    <row r="309" spans="1:33" x14ac:dyDescent="0.35">
      <c r="A309" s="1">
        <v>44902.479166666664</v>
      </c>
      <c r="B309">
        <v>675046</v>
      </c>
      <c r="C309" t="s">
        <v>796</v>
      </c>
      <c r="D309" t="s">
        <v>59</v>
      </c>
      <c r="E309" s="2">
        <v>40603</v>
      </c>
      <c r="F309" t="str">
        <f>"9780470905081"</f>
        <v>9780470905081</v>
      </c>
      <c r="G309" t="str">
        <f>"9780470494172"</f>
        <v>9780470494172</v>
      </c>
      <c r="H309" t="s">
        <v>95</v>
      </c>
      <c r="I309">
        <v>620.1</v>
      </c>
      <c r="J309" t="s">
        <v>797</v>
      </c>
      <c r="K309" t="s">
        <v>44</v>
      </c>
      <c r="N309" t="s">
        <v>45</v>
      </c>
      <c r="O309" t="s">
        <v>46</v>
      </c>
      <c r="P309" t="s">
        <v>45</v>
      </c>
      <c r="Q309" t="s">
        <v>47</v>
      </c>
      <c r="R309" t="s">
        <v>44</v>
      </c>
      <c r="S309">
        <v>0</v>
      </c>
      <c r="W309" s="3">
        <v>1.5821759259259261E-2</v>
      </c>
      <c r="X309" t="s">
        <v>921</v>
      </c>
      <c r="Y309">
        <v>20</v>
      </c>
      <c r="Z309">
        <v>0</v>
      </c>
      <c r="AA309" t="s">
        <v>49</v>
      </c>
      <c r="AB309">
        <v>0</v>
      </c>
      <c r="AC309" t="s">
        <v>922</v>
      </c>
      <c r="AD309">
        <v>2</v>
      </c>
      <c r="AE309">
        <v>10454742</v>
      </c>
      <c r="AF309" t="s">
        <v>50</v>
      </c>
      <c r="AG309" t="s">
        <v>57</v>
      </c>
    </row>
    <row r="310" spans="1:33" x14ac:dyDescent="0.35">
      <c r="A310" s="1">
        <v>44902.475694444445</v>
      </c>
      <c r="B310">
        <v>5180008</v>
      </c>
      <c r="C310" t="s">
        <v>890</v>
      </c>
      <c r="D310" t="s">
        <v>891</v>
      </c>
      <c r="E310" s="2">
        <v>43235</v>
      </c>
      <c r="F310" t="str">
        <f>"9780815732945"</f>
        <v>9780815732945</v>
      </c>
      <c r="G310" t="str">
        <f>"9780815732938"</f>
        <v>9780815732938</v>
      </c>
      <c r="H310" t="s">
        <v>691</v>
      </c>
      <c r="I310" t="s">
        <v>892</v>
      </c>
      <c r="J310" t="s">
        <v>893</v>
      </c>
      <c r="K310" t="s">
        <v>44</v>
      </c>
      <c r="N310" t="s">
        <v>45</v>
      </c>
      <c r="O310" t="s">
        <v>46</v>
      </c>
      <c r="P310" t="s">
        <v>45</v>
      </c>
      <c r="Q310" t="s">
        <v>47</v>
      </c>
      <c r="R310" t="s">
        <v>44</v>
      </c>
      <c r="S310">
        <v>0</v>
      </c>
      <c r="W310" s="3">
        <v>1.5000000000000001E-2</v>
      </c>
      <c r="X310" t="s">
        <v>923</v>
      </c>
      <c r="Y310">
        <v>34</v>
      </c>
      <c r="Z310">
        <v>0</v>
      </c>
      <c r="AA310" t="s">
        <v>49</v>
      </c>
      <c r="AB310">
        <v>0</v>
      </c>
      <c r="AC310" t="s">
        <v>49</v>
      </c>
      <c r="AD310">
        <v>0</v>
      </c>
      <c r="AE310">
        <v>11528294</v>
      </c>
      <c r="AF310" t="s">
        <v>63</v>
      </c>
      <c r="AG310" t="s">
        <v>637</v>
      </c>
    </row>
    <row r="311" spans="1:33" x14ac:dyDescent="0.35">
      <c r="A311" s="1">
        <v>44902.470138888886</v>
      </c>
      <c r="B311">
        <v>4756882</v>
      </c>
      <c r="C311" t="s">
        <v>924</v>
      </c>
      <c r="D311" t="s">
        <v>59</v>
      </c>
      <c r="E311" s="2">
        <v>42772</v>
      </c>
      <c r="F311" t="str">
        <f>"9781119265122"</f>
        <v>9781119265122</v>
      </c>
      <c r="G311" t="str">
        <f>"9781119265092"</f>
        <v>9781119265092</v>
      </c>
      <c r="H311" t="s">
        <v>925</v>
      </c>
      <c r="I311">
        <v>620.11</v>
      </c>
      <c r="J311" t="s">
        <v>926</v>
      </c>
      <c r="K311" t="s">
        <v>44</v>
      </c>
      <c r="N311" t="s">
        <v>45</v>
      </c>
      <c r="O311" t="s">
        <v>46</v>
      </c>
      <c r="P311" t="s">
        <v>45</v>
      </c>
      <c r="Q311" t="s">
        <v>47</v>
      </c>
      <c r="R311" t="s">
        <v>44</v>
      </c>
      <c r="S311">
        <v>0</v>
      </c>
      <c r="W311" s="3">
        <v>7.0601851851851847E-4</v>
      </c>
      <c r="X311" t="s">
        <v>927</v>
      </c>
      <c r="Y311">
        <v>4</v>
      </c>
      <c r="Z311">
        <v>0</v>
      </c>
      <c r="AA311" t="s">
        <v>49</v>
      </c>
      <c r="AB311">
        <v>0</v>
      </c>
      <c r="AC311" t="s">
        <v>49</v>
      </c>
      <c r="AD311">
        <v>0</v>
      </c>
      <c r="AE311">
        <v>11310196</v>
      </c>
      <c r="AF311" t="s">
        <v>50</v>
      </c>
      <c r="AG311" t="s">
        <v>388</v>
      </c>
    </row>
    <row r="312" spans="1:33" x14ac:dyDescent="0.35">
      <c r="A312" s="1">
        <v>44902.465277777781</v>
      </c>
      <c r="B312">
        <v>1443897</v>
      </c>
      <c r="C312" t="s">
        <v>928</v>
      </c>
      <c r="D312" t="s">
        <v>59</v>
      </c>
      <c r="E312" s="2">
        <v>41639</v>
      </c>
      <c r="F312" t="str">
        <f>"9781118536858"</f>
        <v>9781118536858</v>
      </c>
      <c r="G312" t="str">
        <f>"9780470740279"</f>
        <v>9780470740279</v>
      </c>
      <c r="H312" t="s">
        <v>929</v>
      </c>
      <c r="I312">
        <v>681.76099999999997</v>
      </c>
      <c r="J312" t="s">
        <v>930</v>
      </c>
      <c r="K312" t="s">
        <v>44</v>
      </c>
      <c r="N312" t="s">
        <v>45</v>
      </c>
      <c r="O312" t="s">
        <v>46</v>
      </c>
      <c r="P312" t="s">
        <v>45</v>
      </c>
      <c r="Q312" t="s">
        <v>47</v>
      </c>
      <c r="R312" t="s">
        <v>44</v>
      </c>
      <c r="S312">
        <v>0</v>
      </c>
      <c r="W312" s="3">
        <v>1.712962962962963E-3</v>
      </c>
      <c r="X312" t="s">
        <v>931</v>
      </c>
      <c r="Y312">
        <v>11</v>
      </c>
      <c r="Z312">
        <v>0</v>
      </c>
      <c r="AA312" t="s">
        <v>49</v>
      </c>
      <c r="AB312">
        <v>0</v>
      </c>
      <c r="AC312" t="s">
        <v>49</v>
      </c>
      <c r="AD312">
        <v>0</v>
      </c>
      <c r="AE312">
        <v>10780755</v>
      </c>
      <c r="AF312" t="s">
        <v>50</v>
      </c>
      <c r="AG312" t="s">
        <v>840</v>
      </c>
    </row>
    <row r="313" spans="1:33" x14ac:dyDescent="0.35">
      <c r="A313" s="1">
        <v>44902.459722222222</v>
      </c>
      <c r="B313">
        <v>6571564</v>
      </c>
      <c r="C313" t="s">
        <v>899</v>
      </c>
      <c r="D313" t="s">
        <v>614</v>
      </c>
      <c r="E313" s="2">
        <v>44313</v>
      </c>
      <c r="F313" t="str">
        <f>"9789813368118"</f>
        <v>9789813368118</v>
      </c>
      <c r="G313" t="str">
        <f>"9789813368101"</f>
        <v>9789813368101</v>
      </c>
      <c r="H313" t="s">
        <v>900</v>
      </c>
      <c r="I313">
        <v>332.02856300000002</v>
      </c>
      <c r="J313" t="s">
        <v>901</v>
      </c>
      <c r="K313" t="s">
        <v>55</v>
      </c>
      <c r="Q313" t="s">
        <v>47</v>
      </c>
      <c r="R313" t="s">
        <v>44</v>
      </c>
      <c r="S313">
        <v>0</v>
      </c>
      <c r="W313" s="3">
        <v>7.5000000000000006E-3</v>
      </c>
      <c r="X313" t="s">
        <v>932</v>
      </c>
      <c r="Y313">
        <v>22</v>
      </c>
      <c r="Z313">
        <v>0</v>
      </c>
      <c r="AA313" t="s">
        <v>49</v>
      </c>
      <c r="AB313">
        <v>0</v>
      </c>
      <c r="AC313" t="s">
        <v>49</v>
      </c>
      <c r="AD313">
        <v>0</v>
      </c>
      <c r="AE313">
        <v>-1</v>
      </c>
      <c r="AF313" t="s">
        <v>63</v>
      </c>
      <c r="AG313" t="s">
        <v>637</v>
      </c>
    </row>
    <row r="314" spans="1:33" x14ac:dyDescent="0.35">
      <c r="A314" s="1">
        <v>44902.448611111111</v>
      </c>
      <c r="B314">
        <v>1329785</v>
      </c>
      <c r="C314" t="s">
        <v>933</v>
      </c>
      <c r="D314" t="s">
        <v>53</v>
      </c>
      <c r="E314" s="2">
        <v>41574</v>
      </c>
      <c r="F314" t="str">
        <f>"9781400848461"</f>
        <v>9781400848461</v>
      </c>
      <c r="G314" t="str">
        <f>"9780691168470"</f>
        <v>9780691168470</v>
      </c>
      <c r="H314" t="s">
        <v>934</v>
      </c>
      <c r="I314">
        <v>362.19683099999997</v>
      </c>
      <c r="J314" t="s">
        <v>935</v>
      </c>
      <c r="K314" t="s">
        <v>44</v>
      </c>
      <c r="N314" t="s">
        <v>45</v>
      </c>
      <c r="O314" t="s">
        <v>46</v>
      </c>
      <c r="P314" t="s">
        <v>45</v>
      </c>
      <c r="Q314" t="s">
        <v>47</v>
      </c>
      <c r="R314" t="s">
        <v>44</v>
      </c>
      <c r="S314">
        <v>0</v>
      </c>
      <c r="W314" s="3">
        <v>1.9675925925925926E-4</v>
      </c>
      <c r="X314" t="s">
        <v>936</v>
      </c>
      <c r="Y314">
        <v>4</v>
      </c>
      <c r="Z314">
        <v>0</v>
      </c>
      <c r="AA314" t="s">
        <v>49</v>
      </c>
      <c r="AB314">
        <v>0</v>
      </c>
      <c r="AC314" t="s">
        <v>49</v>
      </c>
      <c r="AD314">
        <v>0</v>
      </c>
      <c r="AE314">
        <v>10773745</v>
      </c>
      <c r="AF314" t="s">
        <v>50</v>
      </c>
      <c r="AG314" t="s">
        <v>57</v>
      </c>
    </row>
    <row r="315" spans="1:33" x14ac:dyDescent="0.35">
      <c r="A315" s="1">
        <v>44902.448611111111</v>
      </c>
      <c r="B315">
        <v>3018174</v>
      </c>
      <c r="C315" t="s">
        <v>459</v>
      </c>
      <c r="D315" t="s">
        <v>137</v>
      </c>
      <c r="E315" s="2">
        <v>40360</v>
      </c>
      <c r="F315" t="str">
        <f>"9781611226324"</f>
        <v>9781611226324</v>
      </c>
      <c r="G315" t="str">
        <f>"9781608762729"</f>
        <v>9781608762729</v>
      </c>
      <c r="H315" t="s">
        <v>460</v>
      </c>
      <c r="I315" t="s">
        <v>461</v>
      </c>
      <c r="J315" t="s">
        <v>462</v>
      </c>
      <c r="K315" t="s">
        <v>44</v>
      </c>
      <c r="N315" t="s">
        <v>45</v>
      </c>
      <c r="O315" t="s">
        <v>46</v>
      </c>
      <c r="P315" t="s">
        <v>177</v>
      </c>
      <c r="Q315" t="s">
        <v>47</v>
      </c>
      <c r="R315" t="s">
        <v>55</v>
      </c>
      <c r="S315">
        <v>0</v>
      </c>
      <c r="W315" s="3">
        <v>2.8703703703703708E-3</v>
      </c>
      <c r="X315" t="s">
        <v>937</v>
      </c>
      <c r="Y315">
        <v>38</v>
      </c>
      <c r="Z315">
        <v>0</v>
      </c>
      <c r="AA315" t="s">
        <v>49</v>
      </c>
      <c r="AB315">
        <v>0</v>
      </c>
      <c r="AC315" t="s">
        <v>49</v>
      </c>
      <c r="AD315">
        <v>0</v>
      </c>
      <c r="AE315">
        <v>10659096</v>
      </c>
      <c r="AF315" t="s">
        <v>50</v>
      </c>
      <c r="AG315" t="s">
        <v>388</v>
      </c>
    </row>
    <row r="316" spans="1:33" x14ac:dyDescent="0.35">
      <c r="A316" s="1">
        <v>44902.441666666666</v>
      </c>
      <c r="B316">
        <v>4545415</v>
      </c>
      <c r="C316" t="s">
        <v>722</v>
      </c>
      <c r="D316" t="s">
        <v>125</v>
      </c>
      <c r="E316" s="2">
        <v>42552</v>
      </c>
      <c r="F316" t="str">
        <f>"9780191083488"</f>
        <v>9780191083488</v>
      </c>
      <c r="G316" t="str">
        <f>"9780198777984"</f>
        <v>9780198777984</v>
      </c>
      <c r="H316" t="s">
        <v>454</v>
      </c>
      <c r="I316">
        <v>6.3</v>
      </c>
      <c r="J316" t="s">
        <v>723</v>
      </c>
      <c r="K316" t="s">
        <v>44</v>
      </c>
      <c r="N316" t="s">
        <v>45</v>
      </c>
      <c r="O316" t="s">
        <v>46</v>
      </c>
      <c r="P316" t="s">
        <v>45</v>
      </c>
      <c r="Q316" t="s">
        <v>47</v>
      </c>
      <c r="R316" t="s">
        <v>44</v>
      </c>
      <c r="S316">
        <v>0</v>
      </c>
      <c r="W316" s="3">
        <v>7.2685185185185188E-3</v>
      </c>
      <c r="X316" t="s">
        <v>938</v>
      </c>
      <c r="Y316">
        <v>23</v>
      </c>
      <c r="Z316">
        <v>0</v>
      </c>
      <c r="AA316" t="s">
        <v>49</v>
      </c>
      <c r="AB316">
        <v>0</v>
      </c>
      <c r="AC316" t="s">
        <v>49</v>
      </c>
      <c r="AD316">
        <v>0</v>
      </c>
      <c r="AE316">
        <v>11237352</v>
      </c>
      <c r="AF316" t="s">
        <v>50</v>
      </c>
      <c r="AG316" t="s">
        <v>637</v>
      </c>
    </row>
    <row r="317" spans="1:33" x14ac:dyDescent="0.35">
      <c r="A317" s="1">
        <v>44902.44027777778</v>
      </c>
      <c r="B317">
        <v>1531932</v>
      </c>
      <c r="C317" t="s">
        <v>939</v>
      </c>
      <c r="D317" t="s">
        <v>940</v>
      </c>
      <c r="E317" s="2">
        <v>41542</v>
      </c>
      <c r="F317" t="str">
        <f>"9781608057313"</f>
        <v>9781608057313</v>
      </c>
      <c r="G317" t="str">
        <f>"9781608057320"</f>
        <v>9781608057320</v>
      </c>
      <c r="H317" t="s">
        <v>658</v>
      </c>
      <c r="I317">
        <v>701.05</v>
      </c>
      <c r="J317" t="s">
        <v>941</v>
      </c>
      <c r="K317" t="s">
        <v>44</v>
      </c>
      <c r="N317" t="s">
        <v>45</v>
      </c>
      <c r="O317" t="s">
        <v>46</v>
      </c>
      <c r="P317" t="s">
        <v>45</v>
      </c>
      <c r="Q317" t="s">
        <v>47</v>
      </c>
      <c r="R317" t="s">
        <v>44</v>
      </c>
      <c r="S317">
        <v>0</v>
      </c>
      <c r="W317" s="3">
        <v>3.9351851851851852E-4</v>
      </c>
      <c r="X317" t="s">
        <v>942</v>
      </c>
      <c r="Y317">
        <v>5</v>
      </c>
      <c r="Z317">
        <v>0</v>
      </c>
      <c r="AA317" t="s">
        <v>49</v>
      </c>
      <c r="AB317">
        <v>0</v>
      </c>
      <c r="AC317" t="s">
        <v>49</v>
      </c>
      <c r="AD317">
        <v>0</v>
      </c>
      <c r="AE317">
        <v>10795307</v>
      </c>
      <c r="AF317" t="s">
        <v>50</v>
      </c>
      <c r="AG317" t="s">
        <v>637</v>
      </c>
    </row>
    <row r="318" spans="1:33" x14ac:dyDescent="0.35">
      <c r="A318" s="1">
        <v>44902.4375</v>
      </c>
      <c r="B318">
        <v>6852854</v>
      </c>
      <c r="C318" t="s">
        <v>943</v>
      </c>
      <c r="D318" t="s">
        <v>944</v>
      </c>
      <c r="E318" s="2">
        <v>44595</v>
      </c>
      <c r="F318" t="str">
        <f>"9780861543212"</f>
        <v>9780861543212</v>
      </c>
      <c r="G318" t="str">
        <f>""</f>
        <v/>
      </c>
      <c r="H318" t="s">
        <v>945</v>
      </c>
      <c r="I318">
        <v>681.11309000000006</v>
      </c>
      <c r="J318" t="s">
        <v>946</v>
      </c>
      <c r="K318" t="s">
        <v>55</v>
      </c>
      <c r="Q318" t="s">
        <v>47</v>
      </c>
      <c r="R318" t="s">
        <v>44</v>
      </c>
      <c r="S318">
        <v>0</v>
      </c>
      <c r="W318" s="3">
        <v>4.3981481481481481E-4</v>
      </c>
      <c r="X318" t="s">
        <v>947</v>
      </c>
      <c r="Y318">
        <v>8</v>
      </c>
      <c r="Z318">
        <v>0</v>
      </c>
      <c r="AA318" t="s">
        <v>49</v>
      </c>
      <c r="AB318">
        <v>0</v>
      </c>
      <c r="AC318" t="s">
        <v>49</v>
      </c>
      <c r="AD318">
        <v>0</v>
      </c>
      <c r="AE318">
        <v>-1</v>
      </c>
      <c r="AF318" t="s">
        <v>50</v>
      </c>
      <c r="AG318" t="s">
        <v>57</v>
      </c>
    </row>
    <row r="319" spans="1:33" x14ac:dyDescent="0.35">
      <c r="A319" s="1">
        <v>44902.436111111114</v>
      </c>
      <c r="B319">
        <v>1969978</v>
      </c>
      <c r="C319" t="s">
        <v>809</v>
      </c>
      <c r="D319" t="s">
        <v>810</v>
      </c>
      <c r="E319" s="2">
        <v>42154</v>
      </c>
      <c r="F319" t="str">
        <f>"9781627080804"</f>
        <v>9781627080804</v>
      </c>
      <c r="G319" t="str">
        <f>"9781627080798"</f>
        <v>9781627080798</v>
      </c>
      <c r="H319" t="s">
        <v>811</v>
      </c>
      <c r="K319" t="s">
        <v>44</v>
      </c>
      <c r="N319" t="s">
        <v>45</v>
      </c>
      <c r="O319" t="s">
        <v>46</v>
      </c>
      <c r="P319" t="s">
        <v>45</v>
      </c>
      <c r="Q319" t="s">
        <v>47</v>
      </c>
      <c r="R319" t="s">
        <v>44</v>
      </c>
      <c r="S319">
        <v>0</v>
      </c>
      <c r="W319" s="3">
        <v>9.2592592592592585E-4</v>
      </c>
      <c r="X319" t="s">
        <v>948</v>
      </c>
      <c r="Y319">
        <v>9</v>
      </c>
      <c r="Z319">
        <v>0</v>
      </c>
      <c r="AA319" t="s">
        <v>49</v>
      </c>
      <c r="AB319">
        <v>0</v>
      </c>
      <c r="AC319" t="s">
        <v>49</v>
      </c>
      <c r="AD319">
        <v>0</v>
      </c>
      <c r="AE319">
        <v>11023556</v>
      </c>
      <c r="AF319" t="s">
        <v>50</v>
      </c>
      <c r="AG319" t="s">
        <v>122</v>
      </c>
    </row>
    <row r="320" spans="1:33" x14ac:dyDescent="0.35">
      <c r="A320" s="1">
        <v>44902.431250000001</v>
      </c>
      <c r="B320">
        <v>6254245</v>
      </c>
      <c r="C320" t="s">
        <v>949</v>
      </c>
      <c r="D320" t="s">
        <v>137</v>
      </c>
      <c r="E320" s="2">
        <v>44025</v>
      </c>
      <c r="F320" t="str">
        <f>"9781536180718"</f>
        <v>9781536180718</v>
      </c>
      <c r="G320" t="str">
        <f>"9781536180701"</f>
        <v>9781536180701</v>
      </c>
      <c r="H320" t="s">
        <v>261</v>
      </c>
      <c r="I320">
        <v>628.16200000000003</v>
      </c>
      <c r="K320" t="s">
        <v>55</v>
      </c>
      <c r="N320" t="s">
        <v>293</v>
      </c>
      <c r="P320" t="s">
        <v>950</v>
      </c>
      <c r="Q320" t="s">
        <v>47</v>
      </c>
      <c r="R320" t="s">
        <v>55</v>
      </c>
      <c r="S320">
        <v>1</v>
      </c>
      <c r="T320">
        <v>1</v>
      </c>
      <c r="U320" s="1">
        <v>44902.431250000001</v>
      </c>
      <c r="V320" s="1">
        <v>44903.431250000001</v>
      </c>
      <c r="W320" s="3">
        <v>0</v>
      </c>
      <c r="X320" t="s">
        <v>49</v>
      </c>
      <c r="Y320">
        <v>0</v>
      </c>
      <c r="Z320">
        <v>0</v>
      </c>
      <c r="AA320" t="s">
        <v>49</v>
      </c>
      <c r="AB320">
        <v>0</v>
      </c>
      <c r="AC320" t="s">
        <v>49</v>
      </c>
      <c r="AD320">
        <v>0</v>
      </c>
      <c r="AE320">
        <v>-1</v>
      </c>
      <c r="AF320" t="s">
        <v>63</v>
      </c>
      <c r="AG320" t="s">
        <v>637</v>
      </c>
    </row>
    <row r="321" spans="1:33" x14ac:dyDescent="0.35">
      <c r="A321" s="1">
        <v>44902.430555555555</v>
      </c>
      <c r="B321">
        <v>1584625</v>
      </c>
      <c r="C321" t="s">
        <v>882</v>
      </c>
      <c r="D321" t="s">
        <v>65</v>
      </c>
      <c r="E321" s="2">
        <v>41052</v>
      </c>
      <c r="F321" t="str">
        <f>"9780857095152"</f>
        <v>9780857095152</v>
      </c>
      <c r="G321" t="str">
        <f>"9781855739468"</f>
        <v>9781855739468</v>
      </c>
      <c r="H321" t="s">
        <v>126</v>
      </c>
      <c r="I321">
        <v>629.1</v>
      </c>
      <c r="J321" t="s">
        <v>883</v>
      </c>
      <c r="K321" t="s">
        <v>44</v>
      </c>
      <c r="N321" t="s">
        <v>45</v>
      </c>
      <c r="O321" t="s">
        <v>46</v>
      </c>
      <c r="P321" t="s">
        <v>45</v>
      </c>
      <c r="Q321" t="s">
        <v>47</v>
      </c>
      <c r="R321" t="s">
        <v>44</v>
      </c>
      <c r="S321">
        <v>1</v>
      </c>
      <c r="W321" s="3">
        <v>1.9675925925925926E-4</v>
      </c>
      <c r="X321" t="s">
        <v>951</v>
      </c>
      <c r="Y321">
        <v>3</v>
      </c>
      <c r="Z321">
        <v>0</v>
      </c>
      <c r="AA321" t="s">
        <v>49</v>
      </c>
      <c r="AB321">
        <v>0</v>
      </c>
      <c r="AC321" t="s">
        <v>49</v>
      </c>
      <c r="AD321">
        <v>0</v>
      </c>
      <c r="AE321">
        <v>10817787</v>
      </c>
      <c r="AF321" t="s">
        <v>63</v>
      </c>
      <c r="AG321" t="s">
        <v>388</v>
      </c>
    </row>
    <row r="322" spans="1:33" x14ac:dyDescent="0.35">
      <c r="A322" s="1">
        <v>44902.418055555558</v>
      </c>
      <c r="B322">
        <v>1329785</v>
      </c>
      <c r="C322" t="s">
        <v>933</v>
      </c>
      <c r="D322" t="s">
        <v>53</v>
      </c>
      <c r="E322" s="2">
        <v>41574</v>
      </c>
      <c r="F322" t="str">
        <f>"9781400848461"</f>
        <v>9781400848461</v>
      </c>
      <c r="G322" t="str">
        <f>"9780691168470"</f>
        <v>9780691168470</v>
      </c>
      <c r="H322" t="s">
        <v>934</v>
      </c>
      <c r="I322">
        <v>362.19683099999997</v>
      </c>
      <c r="J322" t="s">
        <v>935</v>
      </c>
      <c r="K322" t="s">
        <v>44</v>
      </c>
      <c r="N322" t="s">
        <v>45</v>
      </c>
      <c r="O322" t="s">
        <v>46</v>
      </c>
      <c r="P322" t="s">
        <v>45</v>
      </c>
      <c r="Q322" t="s">
        <v>47</v>
      </c>
      <c r="R322" t="s">
        <v>44</v>
      </c>
      <c r="S322">
        <v>0</v>
      </c>
      <c r="W322" s="3">
        <v>5.7870370370370366E-5</v>
      </c>
      <c r="X322" t="s">
        <v>952</v>
      </c>
      <c r="Y322">
        <v>1</v>
      </c>
      <c r="Z322">
        <v>0</v>
      </c>
      <c r="AA322" t="s">
        <v>49</v>
      </c>
      <c r="AB322">
        <v>0</v>
      </c>
      <c r="AC322" t="s">
        <v>49</v>
      </c>
      <c r="AD322">
        <v>0</v>
      </c>
      <c r="AE322">
        <v>10773745</v>
      </c>
      <c r="AF322" t="s">
        <v>50</v>
      </c>
      <c r="AG322" t="s">
        <v>57</v>
      </c>
    </row>
    <row r="323" spans="1:33" x14ac:dyDescent="0.35">
      <c r="A323" s="1">
        <v>44902.413888888892</v>
      </c>
      <c r="B323">
        <v>318318</v>
      </c>
      <c r="C323" t="s">
        <v>953</v>
      </c>
      <c r="D323" t="s">
        <v>65</v>
      </c>
      <c r="E323" s="2">
        <v>35716</v>
      </c>
      <c r="F323" t="str">
        <f>"9780080533759"</f>
        <v>9780080533759</v>
      </c>
      <c r="G323" t="str">
        <f>"9780123520654"</f>
        <v>9780123520654</v>
      </c>
      <c r="H323" t="s">
        <v>579</v>
      </c>
      <c r="I323" t="s">
        <v>954</v>
      </c>
      <c r="J323" t="s">
        <v>955</v>
      </c>
      <c r="K323" t="s">
        <v>44</v>
      </c>
      <c r="N323" t="s">
        <v>45</v>
      </c>
      <c r="O323" t="s">
        <v>46</v>
      </c>
      <c r="P323" t="s">
        <v>45</v>
      </c>
      <c r="Q323" t="s">
        <v>47</v>
      </c>
      <c r="R323" t="s">
        <v>44</v>
      </c>
      <c r="S323">
        <v>0</v>
      </c>
      <c r="W323" s="3">
        <v>6.9444444444444444E-5</v>
      </c>
      <c r="X323" t="s">
        <v>196</v>
      </c>
      <c r="Y323">
        <v>2</v>
      </c>
      <c r="Z323">
        <v>2</v>
      </c>
      <c r="AA323" t="s">
        <v>956</v>
      </c>
      <c r="AB323">
        <v>78</v>
      </c>
      <c r="AC323" t="s">
        <v>49</v>
      </c>
      <c r="AD323">
        <v>0</v>
      </c>
      <c r="AE323">
        <v>10201808</v>
      </c>
      <c r="AF323" t="s">
        <v>50</v>
      </c>
      <c r="AG323" t="s">
        <v>637</v>
      </c>
    </row>
    <row r="324" spans="1:33" x14ac:dyDescent="0.35">
      <c r="A324" s="1">
        <v>44902.405555555553</v>
      </c>
      <c r="B324">
        <v>5334165</v>
      </c>
      <c r="C324" t="s">
        <v>957</v>
      </c>
      <c r="D324" t="s">
        <v>59</v>
      </c>
      <c r="E324" s="2">
        <v>43269</v>
      </c>
      <c r="F324" t="str">
        <f>"9781119390923"</f>
        <v>9781119390923</v>
      </c>
      <c r="G324" t="str">
        <f>"9781119390305"</f>
        <v>9781119390305</v>
      </c>
      <c r="H324" t="s">
        <v>60</v>
      </c>
      <c r="I324" t="s">
        <v>958</v>
      </c>
      <c r="J324" t="s">
        <v>959</v>
      </c>
      <c r="K324" t="s">
        <v>44</v>
      </c>
      <c r="N324" t="s">
        <v>45</v>
      </c>
      <c r="O324" t="s">
        <v>46</v>
      </c>
      <c r="P324" t="s">
        <v>45</v>
      </c>
      <c r="Q324" t="s">
        <v>47</v>
      </c>
      <c r="R324" t="s">
        <v>44</v>
      </c>
      <c r="S324">
        <v>0</v>
      </c>
      <c r="W324" s="3">
        <v>1.8981481481481482E-3</v>
      </c>
      <c r="X324" t="s">
        <v>960</v>
      </c>
      <c r="Y324">
        <v>17</v>
      </c>
      <c r="Z324">
        <v>0</v>
      </c>
      <c r="AA324" t="s">
        <v>49</v>
      </c>
      <c r="AB324">
        <v>0</v>
      </c>
      <c r="AC324" t="s">
        <v>49</v>
      </c>
      <c r="AD324">
        <v>0</v>
      </c>
      <c r="AE324">
        <v>11536676</v>
      </c>
      <c r="AF324" t="s">
        <v>63</v>
      </c>
      <c r="AG324" t="s">
        <v>637</v>
      </c>
    </row>
    <row r="325" spans="1:33" x14ac:dyDescent="0.35">
      <c r="A325" s="1">
        <v>44902.395833333336</v>
      </c>
      <c r="B325">
        <v>413853</v>
      </c>
      <c r="C325" t="s">
        <v>725</v>
      </c>
      <c r="D325" t="s">
        <v>65</v>
      </c>
      <c r="E325" s="2">
        <v>38169</v>
      </c>
      <c r="F325" t="str">
        <f>"9780080536613"</f>
        <v>9780080536613</v>
      </c>
      <c r="G325" t="str">
        <f>"9781903996669"</f>
        <v>9781903996669</v>
      </c>
      <c r="H325" t="s">
        <v>126</v>
      </c>
      <c r="I325">
        <v>629.89200000000005</v>
      </c>
      <c r="J325" t="s">
        <v>726</v>
      </c>
      <c r="K325" t="s">
        <v>44</v>
      </c>
      <c r="N325" t="s">
        <v>45</v>
      </c>
      <c r="O325" t="s">
        <v>46</v>
      </c>
      <c r="P325" t="s">
        <v>45</v>
      </c>
      <c r="Q325" t="s">
        <v>47</v>
      </c>
      <c r="R325" t="s">
        <v>44</v>
      </c>
      <c r="S325">
        <v>0</v>
      </c>
      <c r="W325" s="3">
        <v>1.3888888888888889E-4</v>
      </c>
      <c r="X325" t="s">
        <v>577</v>
      </c>
      <c r="Y325">
        <v>2</v>
      </c>
      <c r="Z325">
        <v>0</v>
      </c>
      <c r="AA325" t="s">
        <v>49</v>
      </c>
      <c r="AB325">
        <v>0</v>
      </c>
      <c r="AC325" t="s">
        <v>49</v>
      </c>
      <c r="AD325">
        <v>0</v>
      </c>
      <c r="AE325">
        <v>10276492</v>
      </c>
      <c r="AF325" t="s">
        <v>50</v>
      </c>
      <c r="AG325" t="s">
        <v>637</v>
      </c>
    </row>
    <row r="326" spans="1:33" x14ac:dyDescent="0.35">
      <c r="A326" s="1">
        <v>44902.393055555556</v>
      </c>
      <c r="B326">
        <v>5900251</v>
      </c>
      <c r="C326" t="s">
        <v>661</v>
      </c>
      <c r="D326" t="s">
        <v>105</v>
      </c>
      <c r="E326" s="2">
        <v>43745</v>
      </c>
      <c r="F326" t="str">
        <f>"9783030206802"</f>
        <v>9783030206802</v>
      </c>
      <c r="G326" t="str">
        <f>"9783030206796"</f>
        <v>9783030206796</v>
      </c>
      <c r="H326" t="s">
        <v>60</v>
      </c>
      <c r="I326">
        <v>658</v>
      </c>
      <c r="J326" t="s">
        <v>662</v>
      </c>
      <c r="K326" t="s">
        <v>55</v>
      </c>
      <c r="Q326" t="s">
        <v>47</v>
      </c>
      <c r="R326" t="s">
        <v>44</v>
      </c>
      <c r="S326">
        <v>0</v>
      </c>
      <c r="W326" s="3">
        <v>9.6874999999999999E-3</v>
      </c>
      <c r="X326" t="s">
        <v>961</v>
      </c>
      <c r="Y326">
        <v>32</v>
      </c>
      <c r="Z326">
        <v>0</v>
      </c>
      <c r="AA326" t="s">
        <v>49</v>
      </c>
      <c r="AB326">
        <v>0</v>
      </c>
      <c r="AC326" t="s">
        <v>49</v>
      </c>
      <c r="AD326">
        <v>0</v>
      </c>
      <c r="AE326">
        <v>-1</v>
      </c>
      <c r="AF326" t="s">
        <v>63</v>
      </c>
      <c r="AG326" t="s">
        <v>637</v>
      </c>
    </row>
    <row r="327" spans="1:33" x14ac:dyDescent="0.35">
      <c r="A327" s="1">
        <v>44902.388888888891</v>
      </c>
      <c r="B327">
        <v>675046</v>
      </c>
      <c r="C327" t="s">
        <v>796</v>
      </c>
      <c r="D327" t="s">
        <v>59</v>
      </c>
      <c r="E327" s="2">
        <v>40603</v>
      </c>
      <c r="F327" t="str">
        <f>"9780470905081"</f>
        <v>9780470905081</v>
      </c>
      <c r="G327" t="str">
        <f>"9780470494172"</f>
        <v>9780470494172</v>
      </c>
      <c r="H327" t="s">
        <v>95</v>
      </c>
      <c r="I327">
        <v>620.1</v>
      </c>
      <c r="J327" t="s">
        <v>797</v>
      </c>
      <c r="K327" t="s">
        <v>44</v>
      </c>
      <c r="N327" t="s">
        <v>45</v>
      </c>
      <c r="O327" t="s">
        <v>46</v>
      </c>
      <c r="P327" t="s">
        <v>45</v>
      </c>
      <c r="Q327" t="s">
        <v>47</v>
      </c>
      <c r="R327" t="s">
        <v>44</v>
      </c>
      <c r="S327">
        <v>0</v>
      </c>
      <c r="W327" s="3">
        <v>4.3518518518518515E-3</v>
      </c>
      <c r="X327" t="s">
        <v>962</v>
      </c>
      <c r="Y327">
        <v>12</v>
      </c>
      <c r="Z327">
        <v>0</v>
      </c>
      <c r="AA327" t="s">
        <v>49</v>
      </c>
      <c r="AB327">
        <v>0</v>
      </c>
      <c r="AC327" t="s">
        <v>49</v>
      </c>
      <c r="AD327">
        <v>0</v>
      </c>
      <c r="AE327">
        <v>10454742</v>
      </c>
      <c r="AF327" t="s">
        <v>50</v>
      </c>
      <c r="AG327" t="s">
        <v>57</v>
      </c>
    </row>
    <row r="328" spans="1:33" x14ac:dyDescent="0.35">
      <c r="A328" s="1">
        <v>44902.084722222222</v>
      </c>
      <c r="B328">
        <v>1969978</v>
      </c>
      <c r="C328" t="s">
        <v>809</v>
      </c>
      <c r="D328" t="s">
        <v>810</v>
      </c>
      <c r="E328" s="2">
        <v>42154</v>
      </c>
      <c r="F328" t="str">
        <f>"9781627080804"</f>
        <v>9781627080804</v>
      </c>
      <c r="G328" t="str">
        <f>"9781627080798"</f>
        <v>9781627080798</v>
      </c>
      <c r="H328" t="s">
        <v>811</v>
      </c>
      <c r="K328" t="s">
        <v>44</v>
      </c>
      <c r="N328" t="s">
        <v>45</v>
      </c>
      <c r="O328" t="s">
        <v>46</v>
      </c>
      <c r="P328" t="s">
        <v>45</v>
      </c>
      <c r="Q328" t="s">
        <v>47</v>
      </c>
      <c r="R328" t="s">
        <v>44</v>
      </c>
      <c r="S328">
        <v>0</v>
      </c>
      <c r="W328" s="3">
        <v>1.0775462962962964E-2</v>
      </c>
      <c r="X328" t="s">
        <v>963</v>
      </c>
      <c r="Y328">
        <v>48</v>
      </c>
      <c r="Z328">
        <v>0</v>
      </c>
      <c r="AA328" t="s">
        <v>49</v>
      </c>
      <c r="AB328">
        <v>0</v>
      </c>
      <c r="AC328" t="s">
        <v>49</v>
      </c>
      <c r="AD328">
        <v>0</v>
      </c>
      <c r="AE328">
        <v>11023556</v>
      </c>
      <c r="AF328" t="s">
        <v>50</v>
      </c>
      <c r="AG328" t="s">
        <v>122</v>
      </c>
    </row>
    <row r="329" spans="1:33" x14ac:dyDescent="0.35">
      <c r="A329" s="1">
        <v>44902.013888888891</v>
      </c>
      <c r="B329">
        <v>330536</v>
      </c>
      <c r="C329" t="s">
        <v>964</v>
      </c>
      <c r="D329" t="s">
        <v>965</v>
      </c>
      <c r="E329" s="2">
        <v>38180</v>
      </c>
      <c r="F329" t="str">
        <f>"9781593858957"</f>
        <v>9781593858957</v>
      </c>
      <c r="G329" t="str">
        <f>"9781593850357"</f>
        <v>9781593850357</v>
      </c>
      <c r="H329" t="s">
        <v>151</v>
      </c>
      <c r="I329" t="s">
        <v>966</v>
      </c>
      <c r="J329" t="s">
        <v>967</v>
      </c>
      <c r="K329" t="s">
        <v>44</v>
      </c>
      <c r="N329" t="s">
        <v>45</v>
      </c>
      <c r="O329" t="s">
        <v>46</v>
      </c>
      <c r="P329" t="s">
        <v>45</v>
      </c>
      <c r="Q329" t="s">
        <v>47</v>
      </c>
      <c r="R329" t="s">
        <v>44</v>
      </c>
      <c r="S329">
        <v>0</v>
      </c>
      <c r="W329" s="3">
        <v>3.4722222222222222E-5</v>
      </c>
      <c r="X329" t="s">
        <v>121</v>
      </c>
      <c r="Y329">
        <v>1</v>
      </c>
      <c r="Z329">
        <v>0</v>
      </c>
      <c r="AA329" t="s">
        <v>49</v>
      </c>
      <c r="AB329">
        <v>0</v>
      </c>
      <c r="AC329" t="s">
        <v>49</v>
      </c>
      <c r="AD329">
        <v>0</v>
      </c>
      <c r="AE329">
        <v>10210578</v>
      </c>
      <c r="AF329" t="s">
        <v>50</v>
      </c>
      <c r="AG329" t="s">
        <v>388</v>
      </c>
    </row>
    <row r="330" spans="1:33" x14ac:dyDescent="0.35">
      <c r="A330" s="1">
        <v>44901.987500000003</v>
      </c>
      <c r="B330">
        <v>6741032</v>
      </c>
      <c r="C330" t="s">
        <v>968</v>
      </c>
      <c r="D330" t="s">
        <v>969</v>
      </c>
      <c r="E330" s="2">
        <v>44355</v>
      </c>
      <c r="F330" t="str">
        <f>"9781683733812"</f>
        <v>9781683733812</v>
      </c>
      <c r="G330" t="str">
        <f>"9781683733799"</f>
        <v>9781683733799</v>
      </c>
      <c r="H330" t="s">
        <v>147</v>
      </c>
      <c r="J330" t="s">
        <v>970</v>
      </c>
      <c r="K330" t="s">
        <v>44</v>
      </c>
      <c r="N330" t="s">
        <v>45</v>
      </c>
      <c r="O330" t="s">
        <v>46</v>
      </c>
      <c r="P330" t="s">
        <v>45</v>
      </c>
      <c r="Q330" t="s">
        <v>47</v>
      </c>
      <c r="R330" t="s">
        <v>44</v>
      </c>
      <c r="S330">
        <v>0</v>
      </c>
      <c r="W330" s="3">
        <v>1.0185185185185186E-3</v>
      </c>
      <c r="X330" t="s">
        <v>971</v>
      </c>
      <c r="Y330">
        <v>3</v>
      </c>
      <c r="Z330">
        <v>0</v>
      </c>
      <c r="AA330" t="s">
        <v>49</v>
      </c>
      <c r="AB330">
        <v>0</v>
      </c>
      <c r="AC330" t="s">
        <v>49</v>
      </c>
      <c r="AD330">
        <v>0</v>
      </c>
      <c r="AE330">
        <v>-1</v>
      </c>
      <c r="AF330" t="s">
        <v>50</v>
      </c>
      <c r="AG330" t="s">
        <v>388</v>
      </c>
    </row>
    <row r="331" spans="1:33" x14ac:dyDescent="0.35">
      <c r="A331" s="1">
        <v>44901.959027777775</v>
      </c>
      <c r="B331">
        <v>5555339</v>
      </c>
      <c r="C331" t="s">
        <v>972</v>
      </c>
      <c r="D331" t="s">
        <v>347</v>
      </c>
      <c r="E331" s="2">
        <v>43333</v>
      </c>
      <c r="F331" t="str">
        <f>"9780300240399"</f>
        <v>9780300240399</v>
      </c>
      <c r="G331" t="str">
        <f>"9780300204094"</f>
        <v>9780300204094</v>
      </c>
      <c r="H331" t="s">
        <v>973</v>
      </c>
      <c r="I331">
        <v>599.93799999999999</v>
      </c>
      <c r="J331" t="s">
        <v>974</v>
      </c>
      <c r="K331" t="s">
        <v>44</v>
      </c>
      <c r="N331" t="s">
        <v>45</v>
      </c>
      <c r="O331" t="s">
        <v>46</v>
      </c>
      <c r="P331" t="s">
        <v>45</v>
      </c>
      <c r="Q331" t="s">
        <v>47</v>
      </c>
      <c r="R331" t="s">
        <v>44</v>
      </c>
      <c r="S331">
        <v>0</v>
      </c>
      <c r="W331" s="3">
        <v>4.6296296296296293E-4</v>
      </c>
      <c r="X331" t="s">
        <v>975</v>
      </c>
      <c r="Y331">
        <v>4</v>
      </c>
      <c r="Z331">
        <v>0</v>
      </c>
      <c r="AA331" t="s">
        <v>49</v>
      </c>
      <c r="AB331">
        <v>0</v>
      </c>
      <c r="AC331" t="s">
        <v>49</v>
      </c>
      <c r="AD331">
        <v>0</v>
      </c>
      <c r="AE331">
        <v>-1</v>
      </c>
      <c r="AF331" t="s">
        <v>50</v>
      </c>
      <c r="AG331" t="s">
        <v>835</v>
      </c>
    </row>
    <row r="332" spans="1:33" x14ac:dyDescent="0.35">
      <c r="A332" s="1">
        <v>44901.957638888889</v>
      </c>
      <c r="B332">
        <v>4206305</v>
      </c>
      <c r="C332" t="s">
        <v>830</v>
      </c>
      <c r="D332" t="s">
        <v>666</v>
      </c>
      <c r="E332" s="2">
        <v>42388</v>
      </c>
      <c r="F332" t="str">
        <f>"9780231540612"</f>
        <v>9780231540612</v>
      </c>
      <c r="G332" t="str">
        <f>"9780231173384"</f>
        <v>9780231173384</v>
      </c>
      <c r="H332" t="s">
        <v>831</v>
      </c>
      <c r="I332">
        <v>621.79999999999995</v>
      </c>
      <c r="J332" t="s">
        <v>832</v>
      </c>
      <c r="K332" t="s">
        <v>44</v>
      </c>
      <c r="N332" t="s">
        <v>45</v>
      </c>
      <c r="O332" t="s">
        <v>46</v>
      </c>
      <c r="P332" t="s">
        <v>45</v>
      </c>
      <c r="Q332" t="s">
        <v>47</v>
      </c>
      <c r="R332" t="s">
        <v>44</v>
      </c>
      <c r="S332">
        <v>0</v>
      </c>
      <c r="W332" s="3">
        <v>1.2152777777777778E-3</v>
      </c>
      <c r="X332" t="s">
        <v>976</v>
      </c>
      <c r="Y332">
        <v>3</v>
      </c>
      <c r="Z332">
        <v>0</v>
      </c>
      <c r="AA332" t="s">
        <v>49</v>
      </c>
      <c r="AB332">
        <v>0</v>
      </c>
      <c r="AC332" t="s">
        <v>49</v>
      </c>
      <c r="AD332">
        <v>0</v>
      </c>
      <c r="AE332">
        <v>11210928</v>
      </c>
      <c r="AF332" t="s">
        <v>50</v>
      </c>
      <c r="AG332" t="s">
        <v>835</v>
      </c>
    </row>
    <row r="333" spans="1:33" x14ac:dyDescent="0.35">
      <c r="A333" s="1">
        <v>44901.944444444445</v>
      </c>
      <c r="B333">
        <v>744453</v>
      </c>
      <c r="C333" t="s">
        <v>977</v>
      </c>
      <c r="D333" t="s">
        <v>978</v>
      </c>
      <c r="E333" s="2">
        <v>40179</v>
      </c>
      <c r="F333" t="str">
        <f>"9781905832729"</f>
        <v>9781905832729</v>
      </c>
      <c r="G333" t="str">
        <f>"9781905832521"</f>
        <v>9781905832521</v>
      </c>
      <c r="H333" t="s">
        <v>147</v>
      </c>
      <c r="I333">
        <v>616.89499999999998</v>
      </c>
      <c r="J333" t="s">
        <v>979</v>
      </c>
      <c r="K333" t="s">
        <v>44</v>
      </c>
      <c r="N333" t="s">
        <v>45</v>
      </c>
      <c r="O333" t="s">
        <v>46</v>
      </c>
      <c r="P333" t="s">
        <v>45</v>
      </c>
      <c r="Q333" t="s">
        <v>47</v>
      </c>
      <c r="R333" t="s">
        <v>44</v>
      </c>
      <c r="S333">
        <v>0</v>
      </c>
      <c r="W333" s="3">
        <v>3.3564814814814812E-4</v>
      </c>
      <c r="X333" t="s">
        <v>980</v>
      </c>
      <c r="Y333">
        <v>7</v>
      </c>
      <c r="Z333">
        <v>0</v>
      </c>
      <c r="AA333" t="s">
        <v>49</v>
      </c>
      <c r="AB333">
        <v>0</v>
      </c>
      <c r="AC333" t="s">
        <v>49</v>
      </c>
      <c r="AD333">
        <v>0</v>
      </c>
      <c r="AE333">
        <v>10480481</v>
      </c>
      <c r="AF333" t="s">
        <v>50</v>
      </c>
      <c r="AG333" t="s">
        <v>57</v>
      </c>
    </row>
    <row r="334" spans="1:33" x14ac:dyDescent="0.35">
      <c r="A334" s="1">
        <v>44901.936805555553</v>
      </c>
      <c r="B334">
        <v>4188453</v>
      </c>
      <c r="C334" t="s">
        <v>981</v>
      </c>
      <c r="D334" t="s">
        <v>65</v>
      </c>
      <c r="E334" s="2">
        <v>42333</v>
      </c>
      <c r="F334" t="str">
        <f>"9780081002902"</f>
        <v>9780081002902</v>
      </c>
      <c r="G334" t="str">
        <f>"9780081008799"</f>
        <v>9780081008799</v>
      </c>
      <c r="H334" t="s">
        <v>982</v>
      </c>
      <c r="I334">
        <v>621.44000000000005</v>
      </c>
      <c r="J334" t="s">
        <v>983</v>
      </c>
      <c r="K334" t="s">
        <v>55</v>
      </c>
      <c r="P334" t="s">
        <v>97</v>
      </c>
      <c r="Q334" t="s">
        <v>47</v>
      </c>
      <c r="R334" t="s">
        <v>44</v>
      </c>
      <c r="S334">
        <v>0</v>
      </c>
      <c r="W334" s="3">
        <v>1.6203703703703703E-4</v>
      </c>
      <c r="X334" t="s">
        <v>121</v>
      </c>
      <c r="Y334">
        <v>1</v>
      </c>
      <c r="Z334">
        <v>0</v>
      </c>
      <c r="AA334" t="s">
        <v>49</v>
      </c>
      <c r="AB334">
        <v>0</v>
      </c>
      <c r="AC334" t="s">
        <v>49</v>
      </c>
      <c r="AD334">
        <v>0</v>
      </c>
      <c r="AE334">
        <v>11128946</v>
      </c>
      <c r="AF334" t="s">
        <v>50</v>
      </c>
      <c r="AG334" t="s">
        <v>57</v>
      </c>
    </row>
    <row r="335" spans="1:33" x14ac:dyDescent="0.35">
      <c r="A335" s="1">
        <v>44901.913194444445</v>
      </c>
      <c r="B335">
        <v>1712401</v>
      </c>
      <c r="C335" t="s">
        <v>984</v>
      </c>
      <c r="D335" t="s">
        <v>125</v>
      </c>
      <c r="E335" s="2">
        <v>41865</v>
      </c>
      <c r="F335" t="str">
        <f>"9780199995691"</f>
        <v>9780199995691</v>
      </c>
      <c r="G335" t="str">
        <f>"9780199995684"</f>
        <v>9780199995684</v>
      </c>
      <c r="H335" t="s">
        <v>151</v>
      </c>
      <c r="I335">
        <v>616.89499999999998</v>
      </c>
      <c r="J335" t="s">
        <v>985</v>
      </c>
      <c r="K335" t="s">
        <v>44</v>
      </c>
      <c r="N335" t="s">
        <v>45</v>
      </c>
      <c r="O335" t="s">
        <v>46</v>
      </c>
      <c r="P335" t="s">
        <v>45</v>
      </c>
      <c r="Q335" t="s">
        <v>47</v>
      </c>
      <c r="R335" t="s">
        <v>44</v>
      </c>
      <c r="S335">
        <v>0</v>
      </c>
      <c r="W335" s="3">
        <v>2.1203703703703707E-2</v>
      </c>
      <c r="X335" t="s">
        <v>986</v>
      </c>
      <c r="Y335">
        <v>8</v>
      </c>
      <c r="Z335">
        <v>0</v>
      </c>
      <c r="AA335" t="s">
        <v>49</v>
      </c>
      <c r="AB335">
        <v>0</v>
      </c>
      <c r="AC335" t="s">
        <v>987</v>
      </c>
      <c r="AD335">
        <v>3</v>
      </c>
      <c r="AE335">
        <v>10882711</v>
      </c>
      <c r="AF335" t="s">
        <v>50</v>
      </c>
      <c r="AG335" t="s">
        <v>57</v>
      </c>
    </row>
    <row r="336" spans="1:33" x14ac:dyDescent="0.35">
      <c r="A336" s="1">
        <v>44901.888194444444</v>
      </c>
      <c r="B336">
        <v>6384905</v>
      </c>
      <c r="C336" t="s">
        <v>988</v>
      </c>
      <c r="D336" t="s">
        <v>125</v>
      </c>
      <c r="E336" s="2">
        <v>44155</v>
      </c>
      <c r="F336" t="str">
        <f>"9780190082505"</f>
        <v>9780190082505</v>
      </c>
      <c r="G336" t="str">
        <f>"9780190082482"</f>
        <v>9780190082482</v>
      </c>
      <c r="H336" t="s">
        <v>77</v>
      </c>
      <c r="I336">
        <v>617.41202799999996</v>
      </c>
      <c r="J336" t="s">
        <v>989</v>
      </c>
      <c r="K336" t="s">
        <v>55</v>
      </c>
      <c r="Q336" t="s">
        <v>47</v>
      </c>
      <c r="R336" t="s">
        <v>44</v>
      </c>
      <c r="S336">
        <v>0</v>
      </c>
      <c r="W336" s="3">
        <v>1.1458333333333333E-3</v>
      </c>
      <c r="X336" t="s">
        <v>990</v>
      </c>
      <c r="Y336">
        <v>8</v>
      </c>
      <c r="Z336">
        <v>0</v>
      </c>
      <c r="AA336" t="s">
        <v>49</v>
      </c>
      <c r="AB336">
        <v>0</v>
      </c>
      <c r="AC336" t="s">
        <v>49</v>
      </c>
      <c r="AD336">
        <v>0</v>
      </c>
      <c r="AE336">
        <v>-1</v>
      </c>
      <c r="AF336" t="s">
        <v>50</v>
      </c>
      <c r="AG336" t="s">
        <v>388</v>
      </c>
    </row>
    <row r="337" spans="1:33" x14ac:dyDescent="0.35">
      <c r="A337" s="1">
        <v>44901.874305555553</v>
      </c>
      <c r="B337">
        <v>5945867</v>
      </c>
      <c r="C337" t="s">
        <v>991</v>
      </c>
      <c r="D337" t="s">
        <v>992</v>
      </c>
      <c r="E337" s="2">
        <v>43800</v>
      </c>
      <c r="F337" t="str">
        <f>"9781640122796"</f>
        <v>9781640122796</v>
      </c>
      <c r="G337" t="str">
        <f>"9781640122208"</f>
        <v>9781640122208</v>
      </c>
      <c r="H337" t="s">
        <v>667</v>
      </c>
      <c r="I337">
        <v>940.5412</v>
      </c>
      <c r="J337" t="s">
        <v>993</v>
      </c>
      <c r="K337" t="s">
        <v>44</v>
      </c>
      <c r="N337" t="s">
        <v>45</v>
      </c>
      <c r="O337" t="s">
        <v>46</v>
      </c>
      <c r="P337" t="s">
        <v>177</v>
      </c>
      <c r="Q337" t="s">
        <v>47</v>
      </c>
      <c r="R337" t="s">
        <v>55</v>
      </c>
      <c r="S337">
        <v>0</v>
      </c>
      <c r="W337" s="3">
        <v>4.6296296296296294E-5</v>
      </c>
      <c r="X337" t="s">
        <v>121</v>
      </c>
      <c r="Y337">
        <v>1</v>
      </c>
      <c r="Z337">
        <v>0</v>
      </c>
      <c r="AA337" t="s">
        <v>49</v>
      </c>
      <c r="AB337">
        <v>0</v>
      </c>
      <c r="AC337" t="s">
        <v>49</v>
      </c>
      <c r="AD337">
        <v>0</v>
      </c>
      <c r="AE337">
        <v>-1</v>
      </c>
      <c r="AF337" t="s">
        <v>50</v>
      </c>
      <c r="AG337" t="s">
        <v>57</v>
      </c>
    </row>
    <row r="338" spans="1:33" x14ac:dyDescent="0.35">
      <c r="A338" s="1">
        <v>44901.874305555553</v>
      </c>
      <c r="B338">
        <v>1712401</v>
      </c>
      <c r="C338" t="s">
        <v>984</v>
      </c>
      <c r="D338" t="s">
        <v>125</v>
      </c>
      <c r="E338" s="2">
        <v>41865</v>
      </c>
      <c r="F338" t="str">
        <f>"9780199995691"</f>
        <v>9780199995691</v>
      </c>
      <c r="G338" t="str">
        <f>"9780199995684"</f>
        <v>9780199995684</v>
      </c>
      <c r="H338" t="s">
        <v>151</v>
      </c>
      <c r="I338">
        <v>616.89499999999998</v>
      </c>
      <c r="J338" t="s">
        <v>985</v>
      </c>
      <c r="K338" t="s">
        <v>44</v>
      </c>
      <c r="N338" t="s">
        <v>45</v>
      </c>
      <c r="O338" t="s">
        <v>46</v>
      </c>
      <c r="P338" t="s">
        <v>45</v>
      </c>
      <c r="Q338" t="s">
        <v>47</v>
      </c>
      <c r="R338" t="s">
        <v>44</v>
      </c>
      <c r="S338">
        <v>0</v>
      </c>
      <c r="W338" s="3">
        <v>9.2592592592592588E-5</v>
      </c>
      <c r="X338" t="s">
        <v>994</v>
      </c>
      <c r="Y338">
        <v>3</v>
      </c>
      <c r="Z338">
        <v>0</v>
      </c>
      <c r="AA338" t="s">
        <v>49</v>
      </c>
      <c r="AB338">
        <v>0</v>
      </c>
      <c r="AC338" t="s">
        <v>49</v>
      </c>
      <c r="AD338">
        <v>0</v>
      </c>
      <c r="AE338">
        <v>10882711</v>
      </c>
      <c r="AF338" t="s">
        <v>50</v>
      </c>
      <c r="AG338" t="s">
        <v>57</v>
      </c>
    </row>
    <row r="339" spans="1:33" x14ac:dyDescent="0.35">
      <c r="A339" s="1">
        <v>44901.870833333334</v>
      </c>
      <c r="B339">
        <v>744453</v>
      </c>
      <c r="C339" t="s">
        <v>977</v>
      </c>
      <c r="D339" t="s">
        <v>978</v>
      </c>
      <c r="E339" s="2">
        <v>40179</v>
      </c>
      <c r="F339" t="str">
        <f>"9781905832729"</f>
        <v>9781905832729</v>
      </c>
      <c r="G339" t="str">
        <f>"9781905832521"</f>
        <v>9781905832521</v>
      </c>
      <c r="H339" t="s">
        <v>147</v>
      </c>
      <c r="I339">
        <v>616.89499999999998</v>
      </c>
      <c r="J339" t="s">
        <v>979</v>
      </c>
      <c r="K339" t="s">
        <v>44</v>
      </c>
      <c r="N339" t="s">
        <v>45</v>
      </c>
      <c r="O339" t="s">
        <v>46</v>
      </c>
      <c r="P339" t="s">
        <v>45</v>
      </c>
      <c r="Q339" t="s">
        <v>47</v>
      </c>
      <c r="R339" t="s">
        <v>44</v>
      </c>
      <c r="S339">
        <v>0</v>
      </c>
      <c r="W339" s="3">
        <v>3.0787037037037037E-3</v>
      </c>
      <c r="X339" t="s">
        <v>995</v>
      </c>
      <c r="Y339">
        <v>24</v>
      </c>
      <c r="Z339">
        <v>0</v>
      </c>
      <c r="AA339" t="s">
        <v>49</v>
      </c>
      <c r="AB339">
        <v>0</v>
      </c>
      <c r="AC339" t="s">
        <v>49</v>
      </c>
      <c r="AD339">
        <v>0</v>
      </c>
      <c r="AE339">
        <v>10480481</v>
      </c>
      <c r="AF339" t="s">
        <v>50</v>
      </c>
      <c r="AG339" t="s">
        <v>57</v>
      </c>
    </row>
    <row r="340" spans="1:33" x14ac:dyDescent="0.35">
      <c r="A340" s="1">
        <v>44901.870138888888</v>
      </c>
      <c r="B340">
        <v>6229478</v>
      </c>
      <c r="C340" t="s">
        <v>837</v>
      </c>
      <c r="D340" t="s">
        <v>213</v>
      </c>
      <c r="E340" s="2">
        <v>43998</v>
      </c>
      <c r="F340" t="str">
        <f>"9780128168073"</f>
        <v>9780128168073</v>
      </c>
      <c r="G340" t="str">
        <f>"9780128168066"</f>
        <v>9780128168066</v>
      </c>
      <c r="H340" t="s">
        <v>214</v>
      </c>
      <c r="I340">
        <v>547.70000000000005</v>
      </c>
      <c r="J340" t="s">
        <v>838</v>
      </c>
      <c r="K340" t="s">
        <v>55</v>
      </c>
      <c r="Q340" t="s">
        <v>47</v>
      </c>
      <c r="R340" t="s">
        <v>44</v>
      </c>
      <c r="S340">
        <v>0</v>
      </c>
      <c r="W340" s="3">
        <v>0</v>
      </c>
      <c r="X340" t="s">
        <v>49</v>
      </c>
      <c r="Y340">
        <v>0</v>
      </c>
      <c r="Z340">
        <v>0</v>
      </c>
      <c r="AA340" t="s">
        <v>49</v>
      </c>
      <c r="AB340">
        <v>0</v>
      </c>
      <c r="AC340" t="s">
        <v>49</v>
      </c>
      <c r="AD340">
        <v>0</v>
      </c>
      <c r="AE340">
        <v>-1</v>
      </c>
      <c r="AF340" t="s">
        <v>50</v>
      </c>
      <c r="AG340" t="s">
        <v>996</v>
      </c>
    </row>
    <row r="341" spans="1:33" x14ac:dyDescent="0.35">
      <c r="A341" s="1">
        <v>44901.856249999997</v>
      </c>
      <c r="B341">
        <v>1744501</v>
      </c>
      <c r="C341" t="s">
        <v>550</v>
      </c>
      <c r="D341" t="s">
        <v>65</v>
      </c>
      <c r="E341" s="2">
        <v>41827</v>
      </c>
      <c r="F341" t="str">
        <f>"9780857097736"</f>
        <v>9780857097736</v>
      </c>
      <c r="G341" t="str">
        <f>"9780857097682"</f>
        <v>9780857097682</v>
      </c>
      <c r="H341" t="s">
        <v>116</v>
      </c>
      <c r="I341">
        <v>665.81</v>
      </c>
      <c r="J341" t="s">
        <v>551</v>
      </c>
      <c r="K341" t="s">
        <v>55</v>
      </c>
      <c r="N341" t="s">
        <v>79</v>
      </c>
      <c r="P341" t="s">
        <v>80</v>
      </c>
      <c r="Q341" t="s">
        <v>47</v>
      </c>
      <c r="R341" t="s">
        <v>44</v>
      </c>
      <c r="S341">
        <v>0</v>
      </c>
      <c r="W341" s="3">
        <v>9.8379629629629642E-4</v>
      </c>
      <c r="X341" t="s">
        <v>997</v>
      </c>
      <c r="Y341">
        <v>9</v>
      </c>
      <c r="Z341">
        <v>0</v>
      </c>
      <c r="AA341" t="s">
        <v>49</v>
      </c>
      <c r="AB341">
        <v>0</v>
      </c>
      <c r="AC341" t="s">
        <v>49</v>
      </c>
      <c r="AD341">
        <v>0</v>
      </c>
      <c r="AE341">
        <v>10896677</v>
      </c>
      <c r="AF341" t="s">
        <v>50</v>
      </c>
      <c r="AG341" t="s">
        <v>670</v>
      </c>
    </row>
    <row r="342" spans="1:33" x14ac:dyDescent="0.35">
      <c r="A342" s="1">
        <v>44901.852777777778</v>
      </c>
      <c r="B342">
        <v>330536</v>
      </c>
      <c r="C342" t="s">
        <v>964</v>
      </c>
      <c r="D342" t="s">
        <v>965</v>
      </c>
      <c r="E342" s="2">
        <v>38180</v>
      </c>
      <c r="F342" t="str">
        <f>"9781593858957"</f>
        <v>9781593858957</v>
      </c>
      <c r="G342" t="str">
        <f>"9781593850357"</f>
        <v>9781593850357</v>
      </c>
      <c r="H342" t="s">
        <v>151</v>
      </c>
      <c r="I342" t="s">
        <v>966</v>
      </c>
      <c r="J342" t="s">
        <v>967</v>
      </c>
      <c r="K342" t="s">
        <v>44</v>
      </c>
      <c r="N342" t="s">
        <v>45</v>
      </c>
      <c r="O342" t="s">
        <v>46</v>
      </c>
      <c r="P342" t="s">
        <v>45</v>
      </c>
      <c r="Q342" t="s">
        <v>47</v>
      </c>
      <c r="R342" t="s">
        <v>44</v>
      </c>
      <c r="S342">
        <v>0</v>
      </c>
      <c r="W342" s="3">
        <v>1.8518518518518518E-4</v>
      </c>
      <c r="X342" t="s">
        <v>998</v>
      </c>
      <c r="Y342">
        <v>5</v>
      </c>
      <c r="Z342">
        <v>0</v>
      </c>
      <c r="AA342" t="s">
        <v>49</v>
      </c>
      <c r="AB342">
        <v>0</v>
      </c>
      <c r="AC342" t="s">
        <v>49</v>
      </c>
      <c r="AD342">
        <v>0</v>
      </c>
      <c r="AE342">
        <v>10210578</v>
      </c>
      <c r="AF342" t="s">
        <v>50</v>
      </c>
      <c r="AG342" t="s">
        <v>630</v>
      </c>
    </row>
    <row r="343" spans="1:33" x14ac:dyDescent="0.35">
      <c r="A343" s="1">
        <v>44901.84652777778</v>
      </c>
      <c r="B343">
        <v>1969978</v>
      </c>
      <c r="C343" t="s">
        <v>809</v>
      </c>
      <c r="D343" t="s">
        <v>810</v>
      </c>
      <c r="E343" s="2">
        <v>42154</v>
      </c>
      <c r="F343" t="str">
        <f>"9781627080804"</f>
        <v>9781627080804</v>
      </c>
      <c r="G343" t="str">
        <f>"9781627080798"</f>
        <v>9781627080798</v>
      </c>
      <c r="H343" t="s">
        <v>811</v>
      </c>
      <c r="K343" t="s">
        <v>44</v>
      </c>
      <c r="N343" t="s">
        <v>45</v>
      </c>
      <c r="O343" t="s">
        <v>46</v>
      </c>
      <c r="P343" t="s">
        <v>45</v>
      </c>
      <c r="Q343" t="s">
        <v>47</v>
      </c>
      <c r="R343" t="s">
        <v>44</v>
      </c>
      <c r="S343">
        <v>0</v>
      </c>
      <c r="W343" s="3">
        <v>1.7708333333333332E-3</v>
      </c>
      <c r="X343" t="s">
        <v>999</v>
      </c>
      <c r="Y343">
        <v>9</v>
      </c>
      <c r="Z343">
        <v>0</v>
      </c>
      <c r="AA343" t="s">
        <v>49</v>
      </c>
      <c r="AB343">
        <v>0</v>
      </c>
      <c r="AC343" t="s">
        <v>49</v>
      </c>
      <c r="AD343">
        <v>0</v>
      </c>
      <c r="AE343">
        <v>11023556</v>
      </c>
      <c r="AF343" t="s">
        <v>50</v>
      </c>
      <c r="AG343" t="s">
        <v>122</v>
      </c>
    </row>
    <row r="344" spans="1:33" x14ac:dyDescent="0.35">
      <c r="A344" s="1">
        <v>44901.813888888886</v>
      </c>
      <c r="B344">
        <v>675046</v>
      </c>
      <c r="C344" t="s">
        <v>796</v>
      </c>
      <c r="D344" t="s">
        <v>59</v>
      </c>
      <c r="E344" s="2">
        <v>40603</v>
      </c>
      <c r="F344" t="str">
        <f>"9780470905081"</f>
        <v>9780470905081</v>
      </c>
      <c r="G344" t="str">
        <f>"9780470494172"</f>
        <v>9780470494172</v>
      </c>
      <c r="H344" t="s">
        <v>95</v>
      </c>
      <c r="I344">
        <v>620.1</v>
      </c>
      <c r="J344" t="s">
        <v>797</v>
      </c>
      <c r="K344" t="s">
        <v>44</v>
      </c>
      <c r="N344" t="s">
        <v>45</v>
      </c>
      <c r="O344" t="s">
        <v>46</v>
      </c>
      <c r="P344" t="s">
        <v>45</v>
      </c>
      <c r="Q344" t="s">
        <v>47</v>
      </c>
      <c r="R344" t="s">
        <v>44</v>
      </c>
      <c r="S344">
        <v>0</v>
      </c>
      <c r="W344" s="3">
        <v>3.0671296296296297E-3</v>
      </c>
      <c r="X344" t="s">
        <v>1000</v>
      </c>
      <c r="Y344">
        <v>25</v>
      </c>
      <c r="Z344">
        <v>0</v>
      </c>
      <c r="AA344" t="s">
        <v>49</v>
      </c>
      <c r="AB344">
        <v>0</v>
      </c>
      <c r="AC344" t="s">
        <v>1001</v>
      </c>
      <c r="AD344">
        <v>1</v>
      </c>
      <c r="AE344">
        <v>10454742</v>
      </c>
      <c r="AF344" t="s">
        <v>50</v>
      </c>
      <c r="AG344" t="s">
        <v>57</v>
      </c>
    </row>
    <row r="345" spans="1:33" x14ac:dyDescent="0.35">
      <c r="A345" s="1">
        <v>44901.813194444447</v>
      </c>
      <c r="B345">
        <v>1969978</v>
      </c>
      <c r="C345" t="s">
        <v>809</v>
      </c>
      <c r="D345" t="s">
        <v>810</v>
      </c>
      <c r="E345" s="2">
        <v>42154</v>
      </c>
      <c r="F345" t="str">
        <f>"9781627080804"</f>
        <v>9781627080804</v>
      </c>
      <c r="G345" t="str">
        <f>"9781627080798"</f>
        <v>9781627080798</v>
      </c>
      <c r="H345" t="s">
        <v>811</v>
      </c>
      <c r="K345" t="s">
        <v>44</v>
      </c>
      <c r="N345" t="s">
        <v>45</v>
      </c>
      <c r="O345" t="s">
        <v>46</v>
      </c>
      <c r="P345" t="s">
        <v>45</v>
      </c>
      <c r="Q345" t="s">
        <v>47</v>
      </c>
      <c r="R345" t="s">
        <v>44</v>
      </c>
      <c r="S345">
        <v>0</v>
      </c>
      <c r="W345" s="3">
        <v>4.7453703703703704E-4</v>
      </c>
      <c r="X345" t="s">
        <v>1002</v>
      </c>
      <c r="Y345">
        <v>9</v>
      </c>
      <c r="Z345">
        <v>0</v>
      </c>
      <c r="AA345" t="s">
        <v>49</v>
      </c>
      <c r="AB345">
        <v>0</v>
      </c>
      <c r="AC345" t="s">
        <v>49</v>
      </c>
      <c r="AD345">
        <v>0</v>
      </c>
      <c r="AE345">
        <v>11023556</v>
      </c>
      <c r="AF345" t="s">
        <v>50</v>
      </c>
      <c r="AG345" t="s">
        <v>122</v>
      </c>
    </row>
    <row r="346" spans="1:33" x14ac:dyDescent="0.35">
      <c r="A346" s="1">
        <v>44901.811805555553</v>
      </c>
      <c r="B346">
        <v>5979114</v>
      </c>
      <c r="C346" t="s">
        <v>1003</v>
      </c>
      <c r="D346" t="s">
        <v>105</v>
      </c>
      <c r="E346" s="2">
        <v>43784</v>
      </c>
      <c r="F346" t="str">
        <f>"9783030343873"</f>
        <v>9783030343873</v>
      </c>
      <c r="G346" t="str">
        <f>"9783030343866"</f>
        <v>9783030343866</v>
      </c>
      <c r="H346" t="s">
        <v>106</v>
      </c>
      <c r="I346">
        <v>6.3</v>
      </c>
      <c r="J346" t="s">
        <v>107</v>
      </c>
      <c r="K346" t="s">
        <v>55</v>
      </c>
      <c r="Q346" t="s">
        <v>47</v>
      </c>
      <c r="R346" t="s">
        <v>44</v>
      </c>
      <c r="S346">
        <v>0</v>
      </c>
      <c r="W346" s="3">
        <v>3.1250000000000001E-4</v>
      </c>
      <c r="X346" t="s">
        <v>56</v>
      </c>
      <c r="Y346">
        <v>3</v>
      </c>
      <c r="Z346">
        <v>0</v>
      </c>
      <c r="AA346" t="s">
        <v>49</v>
      </c>
      <c r="AB346">
        <v>0</v>
      </c>
      <c r="AC346" t="s">
        <v>49</v>
      </c>
      <c r="AD346">
        <v>0</v>
      </c>
      <c r="AE346">
        <v>-1</v>
      </c>
      <c r="AF346" t="s">
        <v>50</v>
      </c>
      <c r="AG346" t="s">
        <v>1004</v>
      </c>
    </row>
    <row r="347" spans="1:33" x14ac:dyDescent="0.35">
      <c r="A347" s="1">
        <v>44901.804166666669</v>
      </c>
      <c r="B347">
        <v>6821504</v>
      </c>
      <c r="C347" t="s">
        <v>1005</v>
      </c>
      <c r="D347" t="s">
        <v>213</v>
      </c>
      <c r="E347" s="2">
        <v>44536</v>
      </c>
      <c r="F347" t="str">
        <f>"9780128210796"</f>
        <v>9780128210796</v>
      </c>
      <c r="G347" t="str">
        <f>"9780128210789"</f>
        <v>9780128210789</v>
      </c>
      <c r="H347" t="s">
        <v>1006</v>
      </c>
      <c r="I347">
        <v>668.9</v>
      </c>
      <c r="J347" t="s">
        <v>1007</v>
      </c>
      <c r="K347" t="s">
        <v>55</v>
      </c>
      <c r="N347" t="s">
        <v>79</v>
      </c>
      <c r="P347" t="s">
        <v>80</v>
      </c>
      <c r="Q347" t="s">
        <v>47</v>
      </c>
      <c r="R347" t="s">
        <v>44</v>
      </c>
      <c r="S347">
        <v>0</v>
      </c>
      <c r="W347" s="3">
        <v>4.7916666666666672E-3</v>
      </c>
      <c r="X347" t="s">
        <v>1008</v>
      </c>
      <c r="Y347">
        <v>26</v>
      </c>
      <c r="Z347">
        <v>0</v>
      </c>
      <c r="AA347" t="s">
        <v>49</v>
      </c>
      <c r="AB347">
        <v>0</v>
      </c>
      <c r="AC347" t="s">
        <v>49</v>
      </c>
      <c r="AD347">
        <v>0</v>
      </c>
      <c r="AE347">
        <v>-1</v>
      </c>
      <c r="AF347" t="s">
        <v>50</v>
      </c>
      <c r="AG347" t="s">
        <v>840</v>
      </c>
    </row>
    <row r="348" spans="1:33" x14ac:dyDescent="0.35">
      <c r="A348" s="1">
        <v>44901.785416666666</v>
      </c>
      <c r="B348">
        <v>330536</v>
      </c>
      <c r="C348" t="s">
        <v>964</v>
      </c>
      <c r="D348" t="s">
        <v>965</v>
      </c>
      <c r="E348" s="2">
        <v>38180</v>
      </c>
      <c r="F348" t="str">
        <f>"9781593858957"</f>
        <v>9781593858957</v>
      </c>
      <c r="G348" t="str">
        <f>"9781593850357"</f>
        <v>9781593850357</v>
      </c>
      <c r="H348" t="s">
        <v>151</v>
      </c>
      <c r="I348" t="s">
        <v>966</v>
      </c>
      <c r="J348" t="s">
        <v>967</v>
      </c>
      <c r="K348" t="s">
        <v>44</v>
      </c>
      <c r="N348" t="s">
        <v>45</v>
      </c>
      <c r="O348" t="s">
        <v>46</v>
      </c>
      <c r="P348" t="s">
        <v>45</v>
      </c>
      <c r="Q348" t="s">
        <v>47</v>
      </c>
      <c r="R348" t="s">
        <v>44</v>
      </c>
      <c r="S348">
        <v>0</v>
      </c>
      <c r="W348" s="3">
        <v>2.8923611111111108E-2</v>
      </c>
      <c r="X348" t="s">
        <v>1009</v>
      </c>
      <c r="Y348">
        <v>16</v>
      </c>
      <c r="Z348">
        <v>0</v>
      </c>
      <c r="AA348" t="s">
        <v>49</v>
      </c>
      <c r="AB348">
        <v>0</v>
      </c>
      <c r="AC348" t="s">
        <v>49</v>
      </c>
      <c r="AD348">
        <v>0</v>
      </c>
      <c r="AE348">
        <v>10210578</v>
      </c>
      <c r="AF348" t="s">
        <v>50</v>
      </c>
      <c r="AG348" t="s">
        <v>388</v>
      </c>
    </row>
    <row r="349" spans="1:33" x14ac:dyDescent="0.35">
      <c r="A349" s="1">
        <v>44901.775000000001</v>
      </c>
      <c r="B349">
        <v>744453</v>
      </c>
      <c r="C349" t="s">
        <v>977</v>
      </c>
      <c r="D349" t="s">
        <v>978</v>
      </c>
      <c r="E349" s="2">
        <v>40179</v>
      </c>
      <c r="F349" t="str">
        <f>"9781905832729"</f>
        <v>9781905832729</v>
      </c>
      <c r="G349" t="str">
        <f>"9781905832521"</f>
        <v>9781905832521</v>
      </c>
      <c r="H349" t="s">
        <v>147</v>
      </c>
      <c r="I349">
        <v>616.89499999999998</v>
      </c>
      <c r="J349" t="s">
        <v>979</v>
      </c>
      <c r="K349" t="s">
        <v>44</v>
      </c>
      <c r="N349" t="s">
        <v>45</v>
      </c>
      <c r="O349" t="s">
        <v>46</v>
      </c>
      <c r="P349" t="s">
        <v>45</v>
      </c>
      <c r="Q349" t="s">
        <v>47</v>
      </c>
      <c r="R349" t="s">
        <v>44</v>
      </c>
      <c r="S349">
        <v>0</v>
      </c>
      <c r="W349" s="3">
        <v>2.4652777777777776E-3</v>
      </c>
      <c r="X349" t="s">
        <v>1010</v>
      </c>
      <c r="Y349">
        <v>14</v>
      </c>
      <c r="Z349">
        <v>0</v>
      </c>
      <c r="AA349" t="s">
        <v>49</v>
      </c>
      <c r="AB349">
        <v>0</v>
      </c>
      <c r="AC349" t="s">
        <v>1011</v>
      </c>
      <c r="AD349">
        <v>1</v>
      </c>
      <c r="AE349">
        <v>10480481</v>
      </c>
      <c r="AF349" t="s">
        <v>50</v>
      </c>
      <c r="AG349" t="s">
        <v>57</v>
      </c>
    </row>
    <row r="350" spans="1:33" x14ac:dyDescent="0.35">
      <c r="A350" s="1">
        <v>44901.761111111111</v>
      </c>
      <c r="B350">
        <v>1744501</v>
      </c>
      <c r="C350" t="s">
        <v>550</v>
      </c>
      <c r="D350" t="s">
        <v>65</v>
      </c>
      <c r="E350" s="2">
        <v>41827</v>
      </c>
      <c r="F350" t="str">
        <f>"9780857097736"</f>
        <v>9780857097736</v>
      </c>
      <c r="G350" t="str">
        <f>"9780857097682"</f>
        <v>9780857097682</v>
      </c>
      <c r="H350" t="s">
        <v>116</v>
      </c>
      <c r="I350">
        <v>665.81</v>
      </c>
      <c r="J350" t="s">
        <v>551</v>
      </c>
      <c r="K350" t="s">
        <v>55</v>
      </c>
      <c r="N350" t="s">
        <v>79</v>
      </c>
      <c r="P350" t="s">
        <v>80</v>
      </c>
      <c r="Q350" t="s">
        <v>47</v>
      </c>
      <c r="R350" t="s">
        <v>44</v>
      </c>
      <c r="S350">
        <v>0</v>
      </c>
      <c r="W350" s="3">
        <v>5.1504629629629635E-3</v>
      </c>
      <c r="X350" t="s">
        <v>1012</v>
      </c>
      <c r="Y350">
        <v>7</v>
      </c>
      <c r="Z350">
        <v>0</v>
      </c>
      <c r="AA350" t="s">
        <v>49</v>
      </c>
      <c r="AB350">
        <v>0</v>
      </c>
      <c r="AC350" t="s">
        <v>49</v>
      </c>
      <c r="AD350">
        <v>0</v>
      </c>
      <c r="AE350">
        <v>10896677</v>
      </c>
      <c r="AF350" t="s">
        <v>50</v>
      </c>
      <c r="AG350" t="s">
        <v>670</v>
      </c>
    </row>
    <row r="351" spans="1:33" x14ac:dyDescent="0.35">
      <c r="A351" s="1">
        <v>44901.757638888892</v>
      </c>
      <c r="B351">
        <v>1712401</v>
      </c>
      <c r="C351" t="s">
        <v>984</v>
      </c>
      <c r="D351" t="s">
        <v>125</v>
      </c>
      <c r="E351" s="2">
        <v>41865</v>
      </c>
      <c r="F351" t="str">
        <f>"9780199995691"</f>
        <v>9780199995691</v>
      </c>
      <c r="G351" t="str">
        <f>"9780199995684"</f>
        <v>9780199995684</v>
      </c>
      <c r="H351" t="s">
        <v>151</v>
      </c>
      <c r="I351">
        <v>616.89499999999998</v>
      </c>
      <c r="J351" t="s">
        <v>985</v>
      </c>
      <c r="K351" t="s">
        <v>44</v>
      </c>
      <c r="N351" t="s">
        <v>45</v>
      </c>
      <c r="O351" t="s">
        <v>46</v>
      </c>
      <c r="P351" t="s">
        <v>45</v>
      </c>
      <c r="Q351" t="s">
        <v>47</v>
      </c>
      <c r="R351" t="s">
        <v>44</v>
      </c>
      <c r="S351">
        <v>0</v>
      </c>
      <c r="W351" s="3">
        <v>6.4120370370370369E-2</v>
      </c>
      <c r="X351" t="s">
        <v>1013</v>
      </c>
      <c r="Y351">
        <v>32</v>
      </c>
      <c r="Z351">
        <v>0</v>
      </c>
      <c r="AA351" t="s">
        <v>49</v>
      </c>
      <c r="AB351">
        <v>0</v>
      </c>
      <c r="AC351" t="s">
        <v>1014</v>
      </c>
      <c r="AD351">
        <v>2</v>
      </c>
      <c r="AE351">
        <v>10882711</v>
      </c>
      <c r="AF351" t="s">
        <v>50</v>
      </c>
      <c r="AG351" t="s">
        <v>57</v>
      </c>
    </row>
    <row r="352" spans="1:33" x14ac:dyDescent="0.35">
      <c r="A352" s="1">
        <v>44901.747916666667</v>
      </c>
      <c r="B352">
        <v>6229478</v>
      </c>
      <c r="C352" t="s">
        <v>837</v>
      </c>
      <c r="D352" t="s">
        <v>213</v>
      </c>
      <c r="E352" s="2">
        <v>43998</v>
      </c>
      <c r="F352" t="str">
        <f>"9780128168073"</f>
        <v>9780128168073</v>
      </c>
      <c r="G352" t="str">
        <f>"9780128168066"</f>
        <v>9780128168066</v>
      </c>
      <c r="H352" t="s">
        <v>214</v>
      </c>
      <c r="I352">
        <v>547.70000000000005</v>
      </c>
      <c r="J352" t="s">
        <v>838</v>
      </c>
      <c r="K352" t="s">
        <v>55</v>
      </c>
      <c r="Q352" t="s">
        <v>47</v>
      </c>
      <c r="R352" t="s">
        <v>44</v>
      </c>
      <c r="S352">
        <v>0</v>
      </c>
      <c r="W352" s="3">
        <v>4.0277777777777777E-3</v>
      </c>
      <c r="X352" t="s">
        <v>1015</v>
      </c>
      <c r="Y352">
        <v>20</v>
      </c>
      <c r="Z352">
        <v>0</v>
      </c>
      <c r="AA352" t="s">
        <v>49</v>
      </c>
      <c r="AB352">
        <v>0</v>
      </c>
      <c r="AC352" t="s">
        <v>49</v>
      </c>
      <c r="AD352">
        <v>0</v>
      </c>
      <c r="AE352">
        <v>-1</v>
      </c>
      <c r="AF352" t="s">
        <v>50</v>
      </c>
      <c r="AG352" t="s">
        <v>840</v>
      </c>
    </row>
    <row r="353" spans="1:33" x14ac:dyDescent="0.35">
      <c r="A353" s="1">
        <v>44901.736111111109</v>
      </c>
      <c r="B353">
        <v>6330767</v>
      </c>
      <c r="C353" t="s">
        <v>1016</v>
      </c>
      <c r="D353" t="s">
        <v>1017</v>
      </c>
      <c r="E353" s="2">
        <v>43774</v>
      </c>
      <c r="F353" t="str">
        <f>"9781642794021"</f>
        <v>9781642794021</v>
      </c>
      <c r="G353" t="str">
        <f>""</f>
        <v/>
      </c>
      <c r="H353" t="s">
        <v>106</v>
      </c>
      <c r="I353">
        <v>6.3010000000000002</v>
      </c>
      <c r="J353" t="s">
        <v>1018</v>
      </c>
      <c r="K353" t="s">
        <v>55</v>
      </c>
      <c r="Q353" t="s">
        <v>47</v>
      </c>
      <c r="R353" t="s">
        <v>44</v>
      </c>
      <c r="S353">
        <v>0</v>
      </c>
      <c r="W353" s="3">
        <v>1.7245370370370372E-3</v>
      </c>
      <c r="X353" t="s">
        <v>1019</v>
      </c>
      <c r="Y353">
        <v>25</v>
      </c>
      <c r="Z353">
        <v>0</v>
      </c>
      <c r="AA353" t="s">
        <v>49</v>
      </c>
      <c r="AB353">
        <v>0</v>
      </c>
      <c r="AC353" t="s">
        <v>49</v>
      </c>
      <c r="AD353">
        <v>0</v>
      </c>
      <c r="AE353">
        <v>-1</v>
      </c>
      <c r="AF353" t="s">
        <v>50</v>
      </c>
      <c r="AG353" t="s">
        <v>637</v>
      </c>
    </row>
    <row r="354" spans="1:33" x14ac:dyDescent="0.35">
      <c r="A354" s="1">
        <v>44901.727777777778</v>
      </c>
      <c r="B354">
        <v>3418753</v>
      </c>
      <c r="C354" t="s">
        <v>1020</v>
      </c>
      <c r="D354" t="s">
        <v>1021</v>
      </c>
      <c r="E354" s="2">
        <v>37591</v>
      </c>
      <c r="F354" t="str">
        <f>"9781469878034"</f>
        <v>9781469878034</v>
      </c>
      <c r="G354" t="str">
        <f>"9780781732475"</f>
        <v>9780781732475</v>
      </c>
      <c r="H354" t="s">
        <v>77</v>
      </c>
      <c r="I354" t="s">
        <v>1022</v>
      </c>
      <c r="J354" t="s">
        <v>1023</v>
      </c>
      <c r="K354" t="s">
        <v>44</v>
      </c>
      <c r="N354" t="s">
        <v>45</v>
      </c>
      <c r="O354" t="s">
        <v>46</v>
      </c>
      <c r="P354" t="s">
        <v>45</v>
      </c>
      <c r="Q354" t="s">
        <v>47</v>
      </c>
      <c r="R354" t="s">
        <v>44</v>
      </c>
      <c r="S354">
        <v>0</v>
      </c>
      <c r="W354" s="3">
        <v>6.7129629629629625E-4</v>
      </c>
      <c r="X354" t="s">
        <v>1024</v>
      </c>
      <c r="Y354">
        <v>6</v>
      </c>
      <c r="Z354">
        <v>0</v>
      </c>
      <c r="AA354" t="s">
        <v>49</v>
      </c>
      <c r="AB354">
        <v>0</v>
      </c>
      <c r="AC354" t="s">
        <v>49</v>
      </c>
      <c r="AD354">
        <v>0</v>
      </c>
      <c r="AE354">
        <v>10865315</v>
      </c>
      <c r="AF354" t="s">
        <v>50</v>
      </c>
      <c r="AG354" t="s">
        <v>57</v>
      </c>
    </row>
    <row r="355" spans="1:33" x14ac:dyDescent="0.35">
      <c r="A355" s="1">
        <v>44901.719444444447</v>
      </c>
      <c r="B355">
        <v>1712401</v>
      </c>
      <c r="C355" t="s">
        <v>984</v>
      </c>
      <c r="D355" t="s">
        <v>125</v>
      </c>
      <c r="E355" s="2">
        <v>41865</v>
      </c>
      <c r="F355" t="str">
        <f>"9780199995691"</f>
        <v>9780199995691</v>
      </c>
      <c r="G355" t="str">
        <f>"9780199995684"</f>
        <v>9780199995684</v>
      </c>
      <c r="H355" t="s">
        <v>151</v>
      </c>
      <c r="I355">
        <v>616.89499999999998</v>
      </c>
      <c r="J355" t="s">
        <v>985</v>
      </c>
      <c r="K355" t="s">
        <v>44</v>
      </c>
      <c r="N355" t="s">
        <v>45</v>
      </c>
      <c r="O355" t="s">
        <v>46</v>
      </c>
      <c r="P355" t="s">
        <v>45</v>
      </c>
      <c r="Q355" t="s">
        <v>47</v>
      </c>
      <c r="R355" t="s">
        <v>44</v>
      </c>
      <c r="S355">
        <v>0</v>
      </c>
      <c r="W355" s="3">
        <v>2.3148148148148147E-5</v>
      </c>
      <c r="X355" t="s">
        <v>1025</v>
      </c>
      <c r="Y355">
        <v>1</v>
      </c>
      <c r="Z355">
        <v>0</v>
      </c>
      <c r="AA355" t="s">
        <v>49</v>
      </c>
      <c r="AB355">
        <v>0</v>
      </c>
      <c r="AC355" t="s">
        <v>49</v>
      </c>
      <c r="AD355">
        <v>0</v>
      </c>
      <c r="AE355">
        <v>10882711</v>
      </c>
      <c r="AF355" t="s">
        <v>50</v>
      </c>
      <c r="AG355" t="s">
        <v>57</v>
      </c>
    </row>
    <row r="356" spans="1:33" x14ac:dyDescent="0.35">
      <c r="A356" s="1">
        <v>44901.719444444447</v>
      </c>
      <c r="B356">
        <v>744453</v>
      </c>
      <c r="C356" t="s">
        <v>977</v>
      </c>
      <c r="D356" t="s">
        <v>978</v>
      </c>
      <c r="E356" s="2">
        <v>40179</v>
      </c>
      <c r="F356" t="str">
        <f>"9781905832729"</f>
        <v>9781905832729</v>
      </c>
      <c r="G356" t="str">
        <f>"9781905832521"</f>
        <v>9781905832521</v>
      </c>
      <c r="H356" t="s">
        <v>147</v>
      </c>
      <c r="I356">
        <v>616.89499999999998</v>
      </c>
      <c r="J356" t="s">
        <v>979</v>
      </c>
      <c r="K356" t="s">
        <v>44</v>
      </c>
      <c r="N356" t="s">
        <v>45</v>
      </c>
      <c r="O356" t="s">
        <v>46</v>
      </c>
      <c r="P356" t="s">
        <v>45</v>
      </c>
      <c r="Q356" t="s">
        <v>47</v>
      </c>
      <c r="R356" t="s">
        <v>44</v>
      </c>
      <c r="S356">
        <v>0</v>
      </c>
      <c r="W356" s="3">
        <v>5.3935185185185188E-3</v>
      </c>
      <c r="X356" t="s">
        <v>1026</v>
      </c>
      <c r="Y356">
        <v>6</v>
      </c>
      <c r="Z356">
        <v>0</v>
      </c>
      <c r="AA356" t="s">
        <v>49</v>
      </c>
      <c r="AB356">
        <v>0</v>
      </c>
      <c r="AC356" t="s">
        <v>49</v>
      </c>
      <c r="AD356">
        <v>0</v>
      </c>
      <c r="AE356">
        <v>10480481</v>
      </c>
      <c r="AF356" t="s">
        <v>50</v>
      </c>
      <c r="AG356" t="s">
        <v>57</v>
      </c>
    </row>
    <row r="357" spans="1:33" x14ac:dyDescent="0.35">
      <c r="A357" s="1">
        <v>44901.71875</v>
      </c>
      <c r="B357">
        <v>2084453</v>
      </c>
      <c r="C357" t="s">
        <v>1027</v>
      </c>
      <c r="D357" t="s">
        <v>125</v>
      </c>
      <c r="E357" s="2">
        <v>42226</v>
      </c>
      <c r="F357" t="str">
        <f>"9780190264321"</f>
        <v>9780190264321</v>
      </c>
      <c r="G357" t="str">
        <f>"9780190206185"</f>
        <v>9780190206185</v>
      </c>
      <c r="H357" t="s">
        <v>147</v>
      </c>
      <c r="I357">
        <v>616.85270000000003</v>
      </c>
      <c r="J357" t="s">
        <v>1028</v>
      </c>
      <c r="K357" t="s">
        <v>44</v>
      </c>
      <c r="N357" t="s">
        <v>45</v>
      </c>
      <c r="O357" t="s">
        <v>46</v>
      </c>
      <c r="P357" t="s">
        <v>45</v>
      </c>
      <c r="Q357" t="s">
        <v>47</v>
      </c>
      <c r="R357" t="s">
        <v>44</v>
      </c>
      <c r="S357">
        <v>0</v>
      </c>
      <c r="W357" s="3">
        <v>2.3148148148148147E-5</v>
      </c>
      <c r="X357" t="s">
        <v>1029</v>
      </c>
      <c r="Y357">
        <v>1</v>
      </c>
      <c r="Z357">
        <v>0</v>
      </c>
      <c r="AA357" t="s">
        <v>49</v>
      </c>
      <c r="AB357">
        <v>0</v>
      </c>
      <c r="AC357" t="s">
        <v>49</v>
      </c>
      <c r="AD357">
        <v>0</v>
      </c>
      <c r="AE357">
        <v>11071106</v>
      </c>
      <c r="AF357" t="s">
        <v>50</v>
      </c>
      <c r="AG357" t="s">
        <v>57</v>
      </c>
    </row>
    <row r="358" spans="1:33" x14ac:dyDescent="0.35">
      <c r="A358" s="1">
        <v>44901.676388888889</v>
      </c>
      <c r="B358">
        <v>1343653</v>
      </c>
      <c r="C358" t="s">
        <v>1030</v>
      </c>
      <c r="D358" t="s">
        <v>141</v>
      </c>
      <c r="E358" s="2">
        <v>41572</v>
      </c>
      <c r="F358" t="str">
        <f>"9781782162155"</f>
        <v>9781782162155</v>
      </c>
      <c r="G358" t="str">
        <f>"9781782162148"</f>
        <v>9781782162148</v>
      </c>
      <c r="H358" t="s">
        <v>106</v>
      </c>
      <c r="I358">
        <v>6.31</v>
      </c>
      <c r="J358" t="s">
        <v>1031</v>
      </c>
      <c r="K358" t="s">
        <v>44</v>
      </c>
      <c r="N358" t="s">
        <v>45</v>
      </c>
      <c r="O358" t="s">
        <v>46</v>
      </c>
      <c r="P358" t="s">
        <v>177</v>
      </c>
      <c r="Q358" t="s">
        <v>47</v>
      </c>
      <c r="R358" t="s">
        <v>55</v>
      </c>
      <c r="S358">
        <v>0</v>
      </c>
      <c r="W358" s="3">
        <v>1.6724537037037034E-2</v>
      </c>
      <c r="X358" t="s">
        <v>1032</v>
      </c>
      <c r="Y358">
        <v>27</v>
      </c>
      <c r="Z358">
        <v>0</v>
      </c>
      <c r="AA358" t="s">
        <v>49</v>
      </c>
      <c r="AB358">
        <v>0</v>
      </c>
      <c r="AC358" t="s">
        <v>49</v>
      </c>
      <c r="AD358">
        <v>0</v>
      </c>
      <c r="AE358">
        <v>10794279</v>
      </c>
      <c r="AF358" t="s">
        <v>50</v>
      </c>
      <c r="AG358" t="s">
        <v>57</v>
      </c>
    </row>
    <row r="359" spans="1:33" x14ac:dyDescent="0.35">
      <c r="A359" s="1">
        <v>44901.625694444447</v>
      </c>
      <c r="B359">
        <v>3444416</v>
      </c>
      <c r="C359" t="s">
        <v>1033</v>
      </c>
      <c r="D359" t="s">
        <v>1034</v>
      </c>
      <c r="E359" s="2">
        <v>37956</v>
      </c>
      <c r="F359" t="str">
        <f>"9780295800769"</f>
        <v>9780295800769</v>
      </c>
      <c r="G359" t="str">
        <f>"9780295982922"</f>
        <v>9780295982922</v>
      </c>
      <c r="H359" t="s">
        <v>1035</v>
      </c>
      <c r="I359">
        <v>327</v>
      </c>
      <c r="J359" t="s">
        <v>1036</v>
      </c>
      <c r="K359" t="s">
        <v>44</v>
      </c>
      <c r="N359" t="s">
        <v>45</v>
      </c>
      <c r="O359" t="s">
        <v>46</v>
      </c>
      <c r="P359" t="s">
        <v>45</v>
      </c>
      <c r="Q359" t="s">
        <v>47</v>
      </c>
      <c r="R359" t="s">
        <v>44</v>
      </c>
      <c r="S359">
        <v>0</v>
      </c>
      <c r="W359" s="3">
        <v>8.3333333333333339E-4</v>
      </c>
      <c r="X359" t="s">
        <v>1037</v>
      </c>
      <c r="Y359">
        <v>6</v>
      </c>
      <c r="Z359">
        <v>0</v>
      </c>
      <c r="AA359" t="s">
        <v>49</v>
      </c>
      <c r="AB359">
        <v>0</v>
      </c>
      <c r="AC359" t="s">
        <v>49</v>
      </c>
      <c r="AD359">
        <v>0</v>
      </c>
      <c r="AE359">
        <v>10521814</v>
      </c>
      <c r="AF359" t="s">
        <v>50</v>
      </c>
      <c r="AG359" t="s">
        <v>279</v>
      </c>
    </row>
    <row r="360" spans="1:33" x14ac:dyDescent="0.35">
      <c r="A360" s="1">
        <v>44901.622916666667</v>
      </c>
      <c r="B360">
        <v>3008626</v>
      </c>
      <c r="C360" t="s">
        <v>1038</v>
      </c>
      <c r="D360" t="s">
        <v>1039</v>
      </c>
      <c r="E360" s="2">
        <v>35400</v>
      </c>
      <c r="F360" t="str">
        <f>"9781843271147"</f>
        <v>9781843271147</v>
      </c>
      <c r="G360" t="str">
        <f>""</f>
        <v/>
      </c>
      <c r="H360" t="s">
        <v>1040</v>
      </c>
      <c r="J360" t="s">
        <v>1041</v>
      </c>
      <c r="K360" t="s">
        <v>44</v>
      </c>
      <c r="N360" t="s">
        <v>45</v>
      </c>
      <c r="O360" t="s">
        <v>46</v>
      </c>
      <c r="P360" t="s">
        <v>45</v>
      </c>
      <c r="Q360" t="s">
        <v>47</v>
      </c>
      <c r="R360" t="s">
        <v>44</v>
      </c>
      <c r="S360">
        <v>0</v>
      </c>
      <c r="W360" s="3">
        <v>3.5879629629629635E-4</v>
      </c>
      <c r="X360" t="s">
        <v>1042</v>
      </c>
      <c r="Y360">
        <v>8</v>
      </c>
      <c r="Z360">
        <v>0</v>
      </c>
      <c r="AA360" t="s">
        <v>49</v>
      </c>
      <c r="AB360">
        <v>0</v>
      </c>
      <c r="AC360" t="s">
        <v>49</v>
      </c>
      <c r="AD360">
        <v>0</v>
      </c>
      <c r="AE360">
        <v>10015088</v>
      </c>
      <c r="AF360" t="s">
        <v>50</v>
      </c>
      <c r="AG360" t="s">
        <v>279</v>
      </c>
    </row>
    <row r="361" spans="1:33" x14ac:dyDescent="0.35">
      <c r="A361" s="1">
        <v>44901.619444444441</v>
      </c>
      <c r="B361">
        <v>1640151</v>
      </c>
      <c r="C361" t="s">
        <v>608</v>
      </c>
      <c r="D361" t="s">
        <v>65</v>
      </c>
      <c r="E361" s="2">
        <v>37008</v>
      </c>
      <c r="F361" t="str">
        <f>"9781855737556"</f>
        <v>9781855737556</v>
      </c>
      <c r="G361" t="str">
        <f>"9781855733336"</f>
        <v>9781855733336</v>
      </c>
      <c r="H361" t="s">
        <v>609</v>
      </c>
      <c r="I361">
        <v>677.02824499999997</v>
      </c>
      <c r="J361" t="s">
        <v>610</v>
      </c>
      <c r="K361" t="s">
        <v>44</v>
      </c>
      <c r="N361" t="s">
        <v>45</v>
      </c>
      <c r="O361" t="s">
        <v>46</v>
      </c>
      <c r="P361" t="s">
        <v>45</v>
      </c>
      <c r="Q361" t="s">
        <v>47</v>
      </c>
      <c r="R361" t="s">
        <v>44</v>
      </c>
      <c r="S361">
        <v>0</v>
      </c>
      <c r="W361" s="3">
        <v>2.0833333333333335E-4</v>
      </c>
      <c r="X361" t="s">
        <v>1043</v>
      </c>
      <c r="Y361">
        <v>4</v>
      </c>
      <c r="Z361">
        <v>0</v>
      </c>
      <c r="AA361" t="s">
        <v>49</v>
      </c>
      <c r="AB361">
        <v>0</v>
      </c>
      <c r="AC361" t="s">
        <v>49</v>
      </c>
      <c r="AD361">
        <v>0</v>
      </c>
      <c r="AE361">
        <v>10833127</v>
      </c>
      <c r="AF361" t="s">
        <v>63</v>
      </c>
      <c r="AG361" t="s">
        <v>388</v>
      </c>
    </row>
    <row r="362" spans="1:33" x14ac:dyDescent="0.35">
      <c r="A362" s="1">
        <v>44901.618055555555</v>
      </c>
      <c r="B362">
        <v>330536</v>
      </c>
      <c r="C362" t="s">
        <v>964</v>
      </c>
      <c r="D362" t="s">
        <v>965</v>
      </c>
      <c r="E362" s="2">
        <v>38180</v>
      </c>
      <c r="F362" t="str">
        <f>"9781593858957"</f>
        <v>9781593858957</v>
      </c>
      <c r="G362" t="str">
        <f>"9781593850357"</f>
        <v>9781593850357</v>
      </c>
      <c r="H362" t="s">
        <v>151</v>
      </c>
      <c r="I362" t="s">
        <v>966</v>
      </c>
      <c r="J362" t="s">
        <v>967</v>
      </c>
      <c r="K362" t="s">
        <v>44</v>
      </c>
      <c r="N362" t="s">
        <v>45</v>
      </c>
      <c r="O362" t="s">
        <v>46</v>
      </c>
      <c r="P362" t="s">
        <v>45</v>
      </c>
      <c r="Q362" t="s">
        <v>47</v>
      </c>
      <c r="R362" t="s">
        <v>44</v>
      </c>
      <c r="S362">
        <v>0</v>
      </c>
      <c r="W362" s="3">
        <v>9.2592592592592588E-5</v>
      </c>
      <c r="X362" t="s">
        <v>205</v>
      </c>
      <c r="Y362">
        <v>2</v>
      </c>
      <c r="Z362">
        <v>0</v>
      </c>
      <c r="AA362" t="s">
        <v>49</v>
      </c>
      <c r="AB362">
        <v>0</v>
      </c>
      <c r="AC362" t="s">
        <v>49</v>
      </c>
      <c r="AD362">
        <v>0</v>
      </c>
      <c r="AE362">
        <v>10210578</v>
      </c>
      <c r="AF362" t="s">
        <v>50</v>
      </c>
      <c r="AG362" t="s">
        <v>388</v>
      </c>
    </row>
    <row r="363" spans="1:33" x14ac:dyDescent="0.35">
      <c r="A363" s="1">
        <v>44901.612500000003</v>
      </c>
      <c r="B363">
        <v>2198493</v>
      </c>
      <c r="C363" t="s">
        <v>788</v>
      </c>
      <c r="D363" t="s">
        <v>125</v>
      </c>
      <c r="E363" s="2">
        <v>42310</v>
      </c>
      <c r="F363" t="str">
        <f>"9780199361397"</f>
        <v>9780199361397</v>
      </c>
      <c r="G363" t="str">
        <f>"9780199361380"</f>
        <v>9780199361380</v>
      </c>
      <c r="H363" t="s">
        <v>789</v>
      </c>
      <c r="I363" t="s">
        <v>790</v>
      </c>
      <c r="J363" t="s">
        <v>791</v>
      </c>
      <c r="K363" t="s">
        <v>44</v>
      </c>
      <c r="N363" t="s">
        <v>45</v>
      </c>
      <c r="O363" t="s">
        <v>46</v>
      </c>
      <c r="P363" t="s">
        <v>45</v>
      </c>
      <c r="Q363" t="s">
        <v>47</v>
      </c>
      <c r="R363" t="s">
        <v>44</v>
      </c>
      <c r="S363">
        <v>0</v>
      </c>
      <c r="W363" s="3">
        <v>2.5462962962962961E-4</v>
      </c>
      <c r="X363" t="s">
        <v>1044</v>
      </c>
      <c r="Y363">
        <v>3</v>
      </c>
      <c r="Z363">
        <v>0</v>
      </c>
      <c r="AA363" t="s">
        <v>49</v>
      </c>
      <c r="AB363">
        <v>0</v>
      </c>
      <c r="AC363" t="s">
        <v>49</v>
      </c>
      <c r="AD363">
        <v>0</v>
      </c>
      <c r="AE363">
        <v>11095021</v>
      </c>
      <c r="AF363" t="s">
        <v>50</v>
      </c>
      <c r="AG363" t="s">
        <v>57</v>
      </c>
    </row>
    <row r="364" spans="1:33" x14ac:dyDescent="0.35">
      <c r="A364" s="1">
        <v>44901.606944444444</v>
      </c>
      <c r="B364">
        <v>5820951</v>
      </c>
      <c r="C364" t="s">
        <v>1045</v>
      </c>
      <c r="D364" t="s">
        <v>497</v>
      </c>
      <c r="E364" s="2">
        <v>43727</v>
      </c>
      <c r="F364" t="str">
        <f>"9781784423780"</f>
        <v>9781784423780</v>
      </c>
      <c r="G364" t="str">
        <f>"9781784423773"</f>
        <v>9781784423773</v>
      </c>
      <c r="H364" t="s">
        <v>1046</v>
      </c>
      <c r="I364">
        <v>306.89999999999998</v>
      </c>
      <c r="J364" t="s">
        <v>1047</v>
      </c>
      <c r="K364" t="s">
        <v>55</v>
      </c>
      <c r="Q364" t="s">
        <v>47</v>
      </c>
      <c r="R364" t="s">
        <v>44</v>
      </c>
      <c r="S364">
        <v>0</v>
      </c>
      <c r="W364" s="3">
        <v>9.2592592592592588E-5</v>
      </c>
      <c r="X364" t="s">
        <v>56</v>
      </c>
      <c r="Y364">
        <v>3</v>
      </c>
      <c r="Z364">
        <v>0</v>
      </c>
      <c r="AA364" t="s">
        <v>49</v>
      </c>
      <c r="AB364">
        <v>0</v>
      </c>
      <c r="AC364" t="s">
        <v>49</v>
      </c>
      <c r="AD364">
        <v>0</v>
      </c>
      <c r="AE364">
        <v>-1</v>
      </c>
      <c r="AF364" t="s">
        <v>50</v>
      </c>
      <c r="AG364" t="s">
        <v>279</v>
      </c>
    </row>
    <row r="365" spans="1:33" x14ac:dyDescent="0.35">
      <c r="A365" s="1">
        <v>44901.588888888888</v>
      </c>
      <c r="B365">
        <v>3339851</v>
      </c>
      <c r="C365" t="s">
        <v>1048</v>
      </c>
      <c r="D365" t="s">
        <v>303</v>
      </c>
      <c r="E365" s="2">
        <v>41873</v>
      </c>
      <c r="F365" t="str">
        <f>"9780262325745"</f>
        <v>9780262325745</v>
      </c>
      <c r="G365" t="str">
        <f>"9780262028189"</f>
        <v>9780262028189</v>
      </c>
      <c r="H365" t="s">
        <v>106</v>
      </c>
      <c r="I365" t="s">
        <v>1049</v>
      </c>
      <c r="J365" t="s">
        <v>1050</v>
      </c>
      <c r="K365" t="s">
        <v>44</v>
      </c>
      <c r="N365" t="s">
        <v>45</v>
      </c>
      <c r="O365" t="s">
        <v>46</v>
      </c>
      <c r="P365" t="s">
        <v>45</v>
      </c>
      <c r="Q365" t="s">
        <v>47</v>
      </c>
      <c r="R365" t="s">
        <v>44</v>
      </c>
      <c r="S365">
        <v>0</v>
      </c>
      <c r="W365" s="3">
        <v>1.0416666666666667E-4</v>
      </c>
      <c r="X365" t="s">
        <v>49</v>
      </c>
      <c r="Y365">
        <v>0</v>
      </c>
      <c r="Z365">
        <v>1</v>
      </c>
      <c r="AA365" t="s">
        <v>942</v>
      </c>
      <c r="AB365">
        <v>5</v>
      </c>
      <c r="AC365" t="s">
        <v>49</v>
      </c>
      <c r="AD365">
        <v>0</v>
      </c>
      <c r="AE365">
        <v>10919034</v>
      </c>
      <c r="AF365" t="s">
        <v>50</v>
      </c>
      <c r="AG365" t="s">
        <v>388</v>
      </c>
    </row>
    <row r="366" spans="1:33" x14ac:dyDescent="0.35">
      <c r="A366" s="1">
        <v>44901.588888888888</v>
      </c>
      <c r="B366">
        <v>3339851</v>
      </c>
      <c r="C366" t="s">
        <v>1048</v>
      </c>
      <c r="D366" t="s">
        <v>303</v>
      </c>
      <c r="E366" s="2">
        <v>41873</v>
      </c>
      <c r="F366" t="str">
        <f>"9780262325745"</f>
        <v>9780262325745</v>
      </c>
      <c r="G366" t="str">
        <f>"9780262028189"</f>
        <v>9780262028189</v>
      </c>
      <c r="H366" t="s">
        <v>106</v>
      </c>
      <c r="I366" t="s">
        <v>1049</v>
      </c>
      <c r="J366" t="s">
        <v>1050</v>
      </c>
      <c r="K366" t="s">
        <v>44</v>
      </c>
      <c r="N366" t="s">
        <v>45</v>
      </c>
      <c r="O366" t="s">
        <v>46</v>
      </c>
      <c r="P366" t="s">
        <v>45</v>
      </c>
      <c r="Q366" t="s">
        <v>47</v>
      </c>
      <c r="R366" t="s">
        <v>44</v>
      </c>
      <c r="S366">
        <v>0</v>
      </c>
      <c r="W366" s="3">
        <v>0</v>
      </c>
      <c r="X366" t="s">
        <v>49</v>
      </c>
      <c r="Y366">
        <v>0</v>
      </c>
      <c r="Z366">
        <v>0</v>
      </c>
      <c r="AA366" t="s">
        <v>49</v>
      </c>
      <c r="AB366">
        <v>0</v>
      </c>
      <c r="AC366" t="s">
        <v>49</v>
      </c>
      <c r="AD366">
        <v>0</v>
      </c>
      <c r="AE366">
        <v>10919034</v>
      </c>
      <c r="AF366" t="s">
        <v>50</v>
      </c>
      <c r="AG366" t="s">
        <v>388</v>
      </c>
    </row>
    <row r="367" spans="1:33" x14ac:dyDescent="0.35">
      <c r="A367" s="1">
        <v>44901.563194444447</v>
      </c>
      <c r="B367">
        <v>675046</v>
      </c>
      <c r="C367" t="s">
        <v>796</v>
      </c>
      <c r="D367" t="s">
        <v>59</v>
      </c>
      <c r="E367" s="2">
        <v>40603</v>
      </c>
      <c r="F367" t="str">
        <f>"9780470905081"</f>
        <v>9780470905081</v>
      </c>
      <c r="G367" t="str">
        <f>"9780470494172"</f>
        <v>9780470494172</v>
      </c>
      <c r="H367" t="s">
        <v>95</v>
      </c>
      <c r="I367">
        <v>620.1</v>
      </c>
      <c r="J367" t="s">
        <v>797</v>
      </c>
      <c r="K367" t="s">
        <v>44</v>
      </c>
      <c r="N367" t="s">
        <v>45</v>
      </c>
      <c r="O367" t="s">
        <v>46</v>
      </c>
      <c r="P367" t="s">
        <v>45</v>
      </c>
      <c r="Q367" t="s">
        <v>47</v>
      </c>
      <c r="R367" t="s">
        <v>44</v>
      </c>
      <c r="S367">
        <v>0</v>
      </c>
      <c r="W367" s="3">
        <v>2.2129629629629628E-2</v>
      </c>
      <c r="X367" t="s">
        <v>1051</v>
      </c>
      <c r="Y367">
        <v>37</v>
      </c>
      <c r="Z367">
        <v>0</v>
      </c>
      <c r="AA367" t="s">
        <v>49</v>
      </c>
      <c r="AB367">
        <v>0</v>
      </c>
      <c r="AC367" t="s">
        <v>1052</v>
      </c>
      <c r="AD367">
        <v>2</v>
      </c>
      <c r="AE367">
        <v>10454742</v>
      </c>
      <c r="AF367" t="s">
        <v>50</v>
      </c>
      <c r="AG367" t="s">
        <v>57</v>
      </c>
    </row>
    <row r="368" spans="1:33" x14ac:dyDescent="0.35">
      <c r="A368" s="1">
        <v>44901.518055555556</v>
      </c>
      <c r="B368">
        <v>4865107</v>
      </c>
      <c r="C368" t="s">
        <v>1053</v>
      </c>
      <c r="D368" t="s">
        <v>341</v>
      </c>
      <c r="E368" s="2">
        <v>42856</v>
      </c>
      <c r="F368" t="str">
        <f>"9781785335457"</f>
        <v>9781785335457</v>
      </c>
      <c r="G368" t="str">
        <f>"9781785335440"</f>
        <v>9781785335440</v>
      </c>
      <c r="H368" t="s">
        <v>667</v>
      </c>
      <c r="I368">
        <v>940.10720000000003</v>
      </c>
      <c r="J368" t="s">
        <v>1054</v>
      </c>
      <c r="K368" t="s">
        <v>44</v>
      </c>
      <c r="N368" t="s">
        <v>45</v>
      </c>
      <c r="O368" t="s">
        <v>46</v>
      </c>
      <c r="P368" t="s">
        <v>177</v>
      </c>
      <c r="Q368" t="s">
        <v>47</v>
      </c>
      <c r="R368" t="s">
        <v>55</v>
      </c>
      <c r="S368">
        <v>0</v>
      </c>
      <c r="W368" s="3">
        <v>5.5150462962962964E-2</v>
      </c>
      <c r="X368" t="s">
        <v>1055</v>
      </c>
      <c r="Y368">
        <v>12</v>
      </c>
      <c r="Z368">
        <v>0</v>
      </c>
      <c r="AA368" t="s">
        <v>49</v>
      </c>
      <c r="AB368">
        <v>0</v>
      </c>
      <c r="AC368" t="s">
        <v>49</v>
      </c>
      <c r="AD368">
        <v>0</v>
      </c>
      <c r="AE368">
        <v>11391029</v>
      </c>
      <c r="AF368" t="s">
        <v>50</v>
      </c>
      <c r="AG368" t="s">
        <v>57</v>
      </c>
    </row>
    <row r="369" spans="1:33" x14ac:dyDescent="0.35">
      <c r="A369" s="1">
        <v>44901.5</v>
      </c>
      <c r="B369">
        <v>3008626</v>
      </c>
      <c r="C369" t="s">
        <v>1038</v>
      </c>
      <c r="D369" t="s">
        <v>1039</v>
      </c>
      <c r="E369" s="2">
        <v>35400</v>
      </c>
      <c r="F369" t="str">
        <f>"9781843271147"</f>
        <v>9781843271147</v>
      </c>
      <c r="G369" t="str">
        <f>""</f>
        <v/>
      </c>
      <c r="H369" t="s">
        <v>1040</v>
      </c>
      <c r="J369" t="s">
        <v>1041</v>
      </c>
      <c r="K369" t="s">
        <v>44</v>
      </c>
      <c r="N369" t="s">
        <v>45</v>
      </c>
      <c r="O369" t="s">
        <v>46</v>
      </c>
      <c r="P369" t="s">
        <v>45</v>
      </c>
      <c r="Q369" t="s">
        <v>47</v>
      </c>
      <c r="R369" t="s">
        <v>44</v>
      </c>
      <c r="S369">
        <v>0</v>
      </c>
      <c r="W369" s="3">
        <v>2.4305555555555552E-4</v>
      </c>
      <c r="X369" t="s">
        <v>1056</v>
      </c>
      <c r="Y369">
        <v>5</v>
      </c>
      <c r="Z369">
        <v>0</v>
      </c>
      <c r="AA369" t="s">
        <v>49</v>
      </c>
      <c r="AB369">
        <v>0</v>
      </c>
      <c r="AC369" t="s">
        <v>49</v>
      </c>
      <c r="AD369">
        <v>0</v>
      </c>
      <c r="AE369">
        <v>10015088</v>
      </c>
      <c r="AF369" t="s">
        <v>50</v>
      </c>
      <c r="AG369" t="s">
        <v>279</v>
      </c>
    </row>
    <row r="370" spans="1:33" x14ac:dyDescent="0.35">
      <c r="A370" s="1">
        <v>44901.499305555553</v>
      </c>
      <c r="B370">
        <v>3444416</v>
      </c>
      <c r="C370" t="s">
        <v>1033</v>
      </c>
      <c r="D370" t="s">
        <v>1034</v>
      </c>
      <c r="E370" s="2">
        <v>37956</v>
      </c>
      <c r="F370" t="str">
        <f>"9780295800769"</f>
        <v>9780295800769</v>
      </c>
      <c r="G370" t="str">
        <f>"9780295982922"</f>
        <v>9780295982922</v>
      </c>
      <c r="H370" t="s">
        <v>1035</v>
      </c>
      <c r="I370">
        <v>327</v>
      </c>
      <c r="J370" t="s">
        <v>1036</v>
      </c>
      <c r="K370" t="s">
        <v>44</v>
      </c>
      <c r="N370" t="s">
        <v>45</v>
      </c>
      <c r="O370" t="s">
        <v>46</v>
      </c>
      <c r="P370" t="s">
        <v>45</v>
      </c>
      <c r="Q370" t="s">
        <v>47</v>
      </c>
      <c r="R370" t="s">
        <v>44</v>
      </c>
      <c r="S370">
        <v>0</v>
      </c>
      <c r="W370" s="3">
        <v>3.5879629629629635E-4</v>
      </c>
      <c r="X370" t="s">
        <v>1057</v>
      </c>
      <c r="Y370">
        <v>6</v>
      </c>
      <c r="Z370">
        <v>0</v>
      </c>
      <c r="AA370" t="s">
        <v>49</v>
      </c>
      <c r="AB370">
        <v>0</v>
      </c>
      <c r="AC370" t="s">
        <v>49</v>
      </c>
      <c r="AD370">
        <v>0</v>
      </c>
      <c r="AE370">
        <v>10521814</v>
      </c>
      <c r="AF370" t="s">
        <v>50</v>
      </c>
      <c r="AG370" t="s">
        <v>279</v>
      </c>
    </row>
    <row r="371" spans="1:33" x14ac:dyDescent="0.35">
      <c r="A371" s="1">
        <v>44901.496527777781</v>
      </c>
      <c r="B371">
        <v>7041475</v>
      </c>
      <c r="C371" t="s">
        <v>1058</v>
      </c>
      <c r="D371" t="s">
        <v>65</v>
      </c>
      <c r="E371" s="2">
        <v>44753</v>
      </c>
      <c r="F371" t="str">
        <f>"9780323952187"</f>
        <v>9780323952187</v>
      </c>
      <c r="G371" t="str">
        <f>"9780323952170"</f>
        <v>9780323952170</v>
      </c>
      <c r="H371" t="s">
        <v>1059</v>
      </c>
      <c r="I371">
        <v>547.01</v>
      </c>
      <c r="J371" t="s">
        <v>1060</v>
      </c>
      <c r="K371" t="s">
        <v>55</v>
      </c>
      <c r="N371" t="s">
        <v>79</v>
      </c>
      <c r="P371" t="s">
        <v>80</v>
      </c>
      <c r="Q371" t="s">
        <v>47</v>
      </c>
      <c r="R371" t="s">
        <v>44</v>
      </c>
      <c r="S371">
        <v>0</v>
      </c>
      <c r="W371" s="3">
        <v>7.0601851851851847E-4</v>
      </c>
      <c r="X371" t="s">
        <v>1061</v>
      </c>
      <c r="Y371">
        <v>12</v>
      </c>
      <c r="Z371">
        <v>0</v>
      </c>
      <c r="AA371" t="s">
        <v>49</v>
      </c>
      <c r="AB371">
        <v>0</v>
      </c>
      <c r="AC371" t="s">
        <v>49</v>
      </c>
      <c r="AD371">
        <v>0</v>
      </c>
      <c r="AE371">
        <v>-1</v>
      </c>
      <c r="AF371" t="s">
        <v>50</v>
      </c>
      <c r="AG371" t="s">
        <v>57</v>
      </c>
    </row>
    <row r="372" spans="1:33" x14ac:dyDescent="0.35">
      <c r="A372" s="1">
        <v>44901.477777777778</v>
      </c>
      <c r="B372">
        <v>6381153</v>
      </c>
      <c r="C372" t="s">
        <v>1062</v>
      </c>
      <c r="D372" t="s">
        <v>105</v>
      </c>
      <c r="E372" s="2">
        <v>44132</v>
      </c>
      <c r="F372" t="str">
        <f>"9783030516772"</f>
        <v>9783030516772</v>
      </c>
      <c r="G372" t="str">
        <f>"9783030516765"</f>
        <v>9783030516765</v>
      </c>
      <c r="H372" t="s">
        <v>1063</v>
      </c>
      <c r="I372">
        <v>621.59</v>
      </c>
      <c r="J372" t="s">
        <v>1064</v>
      </c>
      <c r="K372" t="s">
        <v>55</v>
      </c>
      <c r="Q372" t="s">
        <v>47</v>
      </c>
      <c r="R372" t="s">
        <v>44</v>
      </c>
      <c r="S372">
        <v>0</v>
      </c>
      <c r="W372" s="3">
        <v>2.5925925925925925E-3</v>
      </c>
      <c r="X372" t="s">
        <v>1065</v>
      </c>
      <c r="Y372">
        <v>12</v>
      </c>
      <c r="Z372">
        <v>0</v>
      </c>
      <c r="AA372" t="s">
        <v>49</v>
      </c>
      <c r="AB372">
        <v>0</v>
      </c>
      <c r="AC372" t="s">
        <v>49</v>
      </c>
      <c r="AD372">
        <v>0</v>
      </c>
      <c r="AE372">
        <v>-1</v>
      </c>
      <c r="AF372" t="s">
        <v>50</v>
      </c>
      <c r="AG372" t="s">
        <v>388</v>
      </c>
    </row>
    <row r="373" spans="1:33" x14ac:dyDescent="0.35">
      <c r="A373" s="1">
        <v>44901.438194444447</v>
      </c>
      <c r="B373">
        <v>5964416</v>
      </c>
      <c r="C373" t="s">
        <v>280</v>
      </c>
      <c r="D373" t="s">
        <v>59</v>
      </c>
      <c r="E373" s="2">
        <v>43788</v>
      </c>
      <c r="F373" t="str">
        <f>"9781119405351"</f>
        <v>9781119405351</v>
      </c>
      <c r="G373" t="str">
        <f>"9781119405375"</f>
        <v>9781119405375</v>
      </c>
      <c r="H373" t="s">
        <v>286</v>
      </c>
      <c r="I373" t="s">
        <v>282</v>
      </c>
      <c r="J373" t="s">
        <v>287</v>
      </c>
      <c r="K373" t="s">
        <v>55</v>
      </c>
      <c r="Q373" t="s">
        <v>47</v>
      </c>
      <c r="R373" t="s">
        <v>44</v>
      </c>
      <c r="S373">
        <v>0</v>
      </c>
      <c r="W373" s="3">
        <v>6.134259259259259E-4</v>
      </c>
      <c r="X373" t="s">
        <v>1066</v>
      </c>
      <c r="Y373">
        <v>14</v>
      </c>
      <c r="Z373">
        <v>0</v>
      </c>
      <c r="AA373" t="s">
        <v>49</v>
      </c>
      <c r="AB373">
        <v>0</v>
      </c>
      <c r="AC373" t="s">
        <v>49</v>
      </c>
      <c r="AD373">
        <v>0</v>
      </c>
      <c r="AE373">
        <v>-1</v>
      </c>
      <c r="AF373" t="s">
        <v>50</v>
      </c>
      <c r="AG373" t="s">
        <v>388</v>
      </c>
    </row>
    <row r="374" spans="1:33" x14ac:dyDescent="0.35">
      <c r="A374" s="1">
        <v>44901.406944444447</v>
      </c>
      <c r="B374">
        <v>3442075</v>
      </c>
      <c r="C374" t="s">
        <v>1067</v>
      </c>
      <c r="D374" t="s">
        <v>1068</v>
      </c>
      <c r="E374" s="2">
        <v>38972</v>
      </c>
      <c r="F374" t="str">
        <f>"9780812201048"</f>
        <v>9780812201048</v>
      </c>
      <c r="G374" t="str">
        <f>"9780812239447"</f>
        <v>9780812239447</v>
      </c>
      <c r="H374" t="s">
        <v>1069</v>
      </c>
      <c r="I374" t="s">
        <v>1070</v>
      </c>
      <c r="K374" t="s">
        <v>44</v>
      </c>
      <c r="N374" t="s">
        <v>45</v>
      </c>
      <c r="O374" t="s">
        <v>46</v>
      </c>
      <c r="P374" t="s">
        <v>45</v>
      </c>
      <c r="Q374" t="s">
        <v>47</v>
      </c>
      <c r="R374" t="s">
        <v>44</v>
      </c>
      <c r="S374">
        <v>0</v>
      </c>
      <c r="W374" s="3">
        <v>3.4722222222222222E-5</v>
      </c>
      <c r="X374" t="s">
        <v>121</v>
      </c>
      <c r="Y374">
        <v>1</v>
      </c>
      <c r="Z374">
        <v>0</v>
      </c>
      <c r="AA374" t="s">
        <v>49</v>
      </c>
      <c r="AB374">
        <v>0</v>
      </c>
      <c r="AC374" t="s">
        <v>49</v>
      </c>
      <c r="AD374">
        <v>0</v>
      </c>
      <c r="AE374">
        <v>10748452</v>
      </c>
      <c r="AF374" t="s">
        <v>50</v>
      </c>
      <c r="AG374" t="s">
        <v>996</v>
      </c>
    </row>
    <row r="375" spans="1:33" x14ac:dyDescent="0.35">
      <c r="A375" s="1">
        <v>44901.385416666664</v>
      </c>
      <c r="B375">
        <v>4206305</v>
      </c>
      <c r="C375" t="s">
        <v>830</v>
      </c>
      <c r="D375" t="s">
        <v>666</v>
      </c>
      <c r="E375" s="2">
        <v>42388</v>
      </c>
      <c r="F375" t="str">
        <f>"9780231540612"</f>
        <v>9780231540612</v>
      </c>
      <c r="G375" t="str">
        <f>"9780231173384"</f>
        <v>9780231173384</v>
      </c>
      <c r="H375" t="s">
        <v>831</v>
      </c>
      <c r="I375">
        <v>621.79999999999995</v>
      </c>
      <c r="J375" t="s">
        <v>832</v>
      </c>
      <c r="K375" t="s">
        <v>44</v>
      </c>
      <c r="N375" t="s">
        <v>45</v>
      </c>
      <c r="O375" t="s">
        <v>46</v>
      </c>
      <c r="P375" t="s">
        <v>45</v>
      </c>
      <c r="Q375" t="s">
        <v>47</v>
      </c>
      <c r="R375" t="s">
        <v>44</v>
      </c>
      <c r="S375">
        <v>0</v>
      </c>
      <c r="W375" s="3">
        <v>9.6064814814814808E-4</v>
      </c>
      <c r="X375" t="s">
        <v>1071</v>
      </c>
      <c r="Y375">
        <v>9</v>
      </c>
      <c r="Z375">
        <v>0</v>
      </c>
      <c r="AA375" t="s">
        <v>49</v>
      </c>
      <c r="AB375">
        <v>0</v>
      </c>
      <c r="AC375" t="s">
        <v>49</v>
      </c>
      <c r="AD375">
        <v>0</v>
      </c>
      <c r="AE375">
        <v>11210928</v>
      </c>
      <c r="AF375" t="s">
        <v>50</v>
      </c>
      <c r="AG375" t="s">
        <v>122</v>
      </c>
    </row>
    <row r="376" spans="1:33" x14ac:dyDescent="0.35">
      <c r="A376" s="1">
        <v>44901.125694444447</v>
      </c>
      <c r="B376">
        <v>6646925</v>
      </c>
      <c r="C376" t="s">
        <v>1072</v>
      </c>
      <c r="D376" t="s">
        <v>76</v>
      </c>
      <c r="E376" s="2">
        <v>44428</v>
      </c>
      <c r="F376" t="str">
        <f>"9781000429329"</f>
        <v>9781000429329</v>
      </c>
      <c r="G376" t="str">
        <f>"9780367519223"</f>
        <v>9780367519223</v>
      </c>
      <c r="H376" t="s">
        <v>1073</v>
      </c>
      <c r="I376">
        <v>333.82319999999999</v>
      </c>
      <c r="J376" t="s">
        <v>1074</v>
      </c>
      <c r="K376" t="s">
        <v>55</v>
      </c>
      <c r="Q376" t="s">
        <v>47</v>
      </c>
      <c r="R376" t="s">
        <v>44</v>
      </c>
      <c r="S376">
        <v>0</v>
      </c>
      <c r="W376" s="3">
        <v>5.8333333333333336E-3</v>
      </c>
      <c r="X376" t="s">
        <v>1075</v>
      </c>
      <c r="Y376">
        <v>18</v>
      </c>
      <c r="Z376">
        <v>0</v>
      </c>
      <c r="AA376" t="s">
        <v>49</v>
      </c>
      <c r="AB376">
        <v>0</v>
      </c>
      <c r="AC376" t="s">
        <v>49</v>
      </c>
      <c r="AD376">
        <v>0</v>
      </c>
      <c r="AE376">
        <v>-1</v>
      </c>
      <c r="AF376" t="s">
        <v>50</v>
      </c>
      <c r="AG376" t="s">
        <v>57</v>
      </c>
    </row>
    <row r="377" spans="1:33" x14ac:dyDescent="0.35">
      <c r="A377" s="1">
        <v>44901.115972222222</v>
      </c>
      <c r="B377">
        <v>3019181</v>
      </c>
      <c r="C377" t="s">
        <v>1076</v>
      </c>
      <c r="D377" t="s">
        <v>137</v>
      </c>
      <c r="E377" s="2">
        <v>40238</v>
      </c>
      <c r="F377" t="str">
        <f>"9781612093543"</f>
        <v>9781612093543</v>
      </c>
      <c r="G377" t="str">
        <f>"9781608765812"</f>
        <v>9781608765812</v>
      </c>
      <c r="H377" t="s">
        <v>77</v>
      </c>
      <c r="I377" t="s">
        <v>1077</v>
      </c>
      <c r="J377" t="s">
        <v>1078</v>
      </c>
      <c r="K377" t="s">
        <v>44</v>
      </c>
      <c r="N377" t="s">
        <v>45</v>
      </c>
      <c r="O377" t="s">
        <v>46</v>
      </c>
      <c r="P377" t="s">
        <v>177</v>
      </c>
      <c r="Q377" t="s">
        <v>47</v>
      </c>
      <c r="R377" t="s">
        <v>55</v>
      </c>
      <c r="S377">
        <v>0</v>
      </c>
      <c r="W377" s="3">
        <v>2.3148148148148147E-5</v>
      </c>
      <c r="X377" t="s">
        <v>121</v>
      </c>
      <c r="Y377">
        <v>1</v>
      </c>
      <c r="Z377">
        <v>0</v>
      </c>
      <c r="AA377" t="s">
        <v>49</v>
      </c>
      <c r="AB377">
        <v>0</v>
      </c>
      <c r="AC377" t="s">
        <v>49</v>
      </c>
      <c r="AD377">
        <v>0</v>
      </c>
      <c r="AE377">
        <v>10662988</v>
      </c>
      <c r="AF377" t="s">
        <v>50</v>
      </c>
      <c r="AG377" t="s">
        <v>122</v>
      </c>
    </row>
    <row r="378" spans="1:33" x14ac:dyDescent="0.35">
      <c r="A378" s="1">
        <v>44901.113194444442</v>
      </c>
      <c r="B378">
        <v>3339851</v>
      </c>
      <c r="C378" t="s">
        <v>1048</v>
      </c>
      <c r="D378" t="s">
        <v>303</v>
      </c>
      <c r="E378" s="2">
        <v>41873</v>
      </c>
      <c r="F378" t="str">
        <f>"9780262325745"</f>
        <v>9780262325745</v>
      </c>
      <c r="G378" t="str">
        <f>"9780262028189"</f>
        <v>9780262028189</v>
      </c>
      <c r="H378" t="s">
        <v>106</v>
      </c>
      <c r="I378" t="s">
        <v>1049</v>
      </c>
      <c r="J378" t="s">
        <v>1050</v>
      </c>
      <c r="K378" t="s">
        <v>44</v>
      </c>
      <c r="N378" t="s">
        <v>45</v>
      </c>
      <c r="O378" t="s">
        <v>46</v>
      </c>
      <c r="P378" t="s">
        <v>45</v>
      </c>
      <c r="Q378" t="s">
        <v>47</v>
      </c>
      <c r="R378" t="s">
        <v>44</v>
      </c>
      <c r="S378">
        <v>0</v>
      </c>
      <c r="W378" s="3">
        <v>1.2453703703703703E-2</v>
      </c>
      <c r="X378" t="s">
        <v>1079</v>
      </c>
      <c r="Y378">
        <v>67</v>
      </c>
      <c r="Z378">
        <v>0</v>
      </c>
      <c r="AA378" t="s">
        <v>49</v>
      </c>
      <c r="AB378">
        <v>0</v>
      </c>
      <c r="AC378" t="s">
        <v>49</v>
      </c>
      <c r="AD378">
        <v>0</v>
      </c>
      <c r="AE378">
        <v>10919034</v>
      </c>
      <c r="AF378" t="s">
        <v>50</v>
      </c>
      <c r="AG378" t="s">
        <v>388</v>
      </c>
    </row>
    <row r="379" spans="1:33" x14ac:dyDescent="0.35">
      <c r="A379" s="1">
        <v>44901.111805555556</v>
      </c>
      <c r="B379">
        <v>5770988</v>
      </c>
      <c r="C379" t="s">
        <v>1080</v>
      </c>
      <c r="D379" t="s">
        <v>105</v>
      </c>
      <c r="E379" s="2">
        <v>43602</v>
      </c>
      <c r="F379" t="str">
        <f>"9783030157296"</f>
        <v>9783030157296</v>
      </c>
      <c r="G379" t="str">
        <f>"9783030157289"</f>
        <v>9783030157289</v>
      </c>
      <c r="H379" t="s">
        <v>365</v>
      </c>
      <c r="I379">
        <v>6.31</v>
      </c>
      <c r="J379" t="s">
        <v>1081</v>
      </c>
      <c r="K379" t="s">
        <v>55</v>
      </c>
      <c r="Q379" t="s">
        <v>47</v>
      </c>
      <c r="R379" t="s">
        <v>44</v>
      </c>
      <c r="S379">
        <v>0</v>
      </c>
      <c r="W379" s="3">
        <v>1.5046296296296294E-3</v>
      </c>
      <c r="X379" t="s">
        <v>1082</v>
      </c>
      <c r="Y379">
        <v>14</v>
      </c>
      <c r="Z379">
        <v>0</v>
      </c>
      <c r="AA379" t="s">
        <v>49</v>
      </c>
      <c r="AB379">
        <v>0</v>
      </c>
      <c r="AC379" t="s">
        <v>49</v>
      </c>
      <c r="AD379">
        <v>0</v>
      </c>
      <c r="AE379">
        <v>-1</v>
      </c>
      <c r="AF379" t="s">
        <v>50</v>
      </c>
      <c r="AG379" t="s">
        <v>388</v>
      </c>
    </row>
    <row r="380" spans="1:33" x14ac:dyDescent="0.35">
      <c r="A380" s="1">
        <v>44901.105555555558</v>
      </c>
      <c r="B380">
        <v>3018001</v>
      </c>
      <c r="C380" t="s">
        <v>1083</v>
      </c>
      <c r="D380" t="s">
        <v>137</v>
      </c>
      <c r="E380" s="2">
        <v>40330</v>
      </c>
      <c r="F380" t="str">
        <f>"9781611223231"</f>
        <v>9781611223231</v>
      </c>
      <c r="G380" t="str">
        <f>"9781608761517"</f>
        <v>9781608761517</v>
      </c>
      <c r="H380" t="s">
        <v>1084</v>
      </c>
      <c r="I380" t="s">
        <v>1085</v>
      </c>
      <c r="J380" t="s">
        <v>1086</v>
      </c>
      <c r="K380" t="s">
        <v>44</v>
      </c>
      <c r="N380" t="s">
        <v>45</v>
      </c>
      <c r="O380" t="s">
        <v>46</v>
      </c>
      <c r="P380" t="s">
        <v>177</v>
      </c>
      <c r="Q380" t="s">
        <v>47</v>
      </c>
      <c r="R380" t="s">
        <v>55</v>
      </c>
      <c r="S380">
        <v>0</v>
      </c>
      <c r="W380" s="3">
        <v>1.273148148148148E-4</v>
      </c>
      <c r="X380" t="s">
        <v>1087</v>
      </c>
      <c r="Y380">
        <v>3</v>
      </c>
      <c r="Z380">
        <v>0</v>
      </c>
      <c r="AA380" t="s">
        <v>49</v>
      </c>
      <c r="AB380">
        <v>0</v>
      </c>
      <c r="AC380" t="s">
        <v>49</v>
      </c>
      <c r="AD380">
        <v>0</v>
      </c>
      <c r="AE380">
        <v>10658923</v>
      </c>
      <c r="AF380" t="s">
        <v>50</v>
      </c>
      <c r="AG380" t="s">
        <v>122</v>
      </c>
    </row>
    <row r="381" spans="1:33" x14ac:dyDescent="0.35">
      <c r="A381" s="1">
        <v>44901.103472222225</v>
      </c>
      <c r="B381">
        <v>1969978</v>
      </c>
      <c r="C381" t="s">
        <v>809</v>
      </c>
      <c r="D381" t="s">
        <v>810</v>
      </c>
      <c r="E381" s="2">
        <v>42154</v>
      </c>
      <c r="F381" t="str">
        <f>"9781627080804"</f>
        <v>9781627080804</v>
      </c>
      <c r="G381" t="str">
        <f>"9781627080798"</f>
        <v>9781627080798</v>
      </c>
      <c r="H381" t="s">
        <v>811</v>
      </c>
      <c r="K381" t="s">
        <v>44</v>
      </c>
      <c r="N381" t="s">
        <v>45</v>
      </c>
      <c r="O381" t="s">
        <v>46</v>
      </c>
      <c r="P381" t="s">
        <v>45</v>
      </c>
      <c r="Q381" t="s">
        <v>47</v>
      </c>
      <c r="R381" t="s">
        <v>44</v>
      </c>
      <c r="S381">
        <v>0</v>
      </c>
      <c r="W381" s="3">
        <v>7.1585648148148148E-2</v>
      </c>
      <c r="X381" t="s">
        <v>1088</v>
      </c>
      <c r="Y381">
        <v>86</v>
      </c>
      <c r="Z381">
        <v>0</v>
      </c>
      <c r="AA381" t="s">
        <v>49</v>
      </c>
      <c r="AB381">
        <v>0</v>
      </c>
      <c r="AC381" t="s">
        <v>49</v>
      </c>
      <c r="AD381">
        <v>0</v>
      </c>
      <c r="AE381">
        <v>11023556</v>
      </c>
      <c r="AF381" t="s">
        <v>50</v>
      </c>
      <c r="AG381" t="s">
        <v>122</v>
      </c>
    </row>
    <row r="382" spans="1:33" x14ac:dyDescent="0.35">
      <c r="A382" s="1">
        <v>44901.098611111112</v>
      </c>
      <c r="B382">
        <v>28983913</v>
      </c>
      <c r="C382" t="s">
        <v>1089</v>
      </c>
      <c r="D382" t="s">
        <v>1090</v>
      </c>
      <c r="E382" s="2">
        <v>44245</v>
      </c>
      <c r="F382" t="str">
        <f>"9780768099430"</f>
        <v>9780768099430</v>
      </c>
      <c r="G382" t="str">
        <f>"9780768099423"</f>
        <v>9780768099423</v>
      </c>
      <c r="H382" t="s">
        <v>639</v>
      </c>
      <c r="K382" t="s">
        <v>44</v>
      </c>
      <c r="N382" t="s">
        <v>45</v>
      </c>
      <c r="O382" t="s">
        <v>46</v>
      </c>
      <c r="P382" t="s">
        <v>45</v>
      </c>
      <c r="Q382" t="s">
        <v>47</v>
      </c>
      <c r="R382" t="s">
        <v>44</v>
      </c>
      <c r="S382">
        <v>0</v>
      </c>
      <c r="W382" s="3">
        <v>5.2430555555555555E-3</v>
      </c>
      <c r="X382" t="s">
        <v>1091</v>
      </c>
      <c r="Y382">
        <v>52</v>
      </c>
      <c r="Z382">
        <v>0</v>
      </c>
      <c r="AA382" t="s">
        <v>49</v>
      </c>
      <c r="AB382">
        <v>0</v>
      </c>
      <c r="AC382" t="s">
        <v>49</v>
      </c>
      <c r="AD382">
        <v>0</v>
      </c>
      <c r="AE382">
        <v>-1</v>
      </c>
      <c r="AF382" t="s">
        <v>50</v>
      </c>
      <c r="AG382" t="s">
        <v>122</v>
      </c>
    </row>
    <row r="383" spans="1:33" x14ac:dyDescent="0.35">
      <c r="A383" s="1">
        <v>44900.988888888889</v>
      </c>
      <c r="B383">
        <v>1895254</v>
      </c>
      <c r="C383" t="s">
        <v>1092</v>
      </c>
      <c r="D383" t="s">
        <v>59</v>
      </c>
      <c r="E383" s="2">
        <v>42065</v>
      </c>
      <c r="F383" t="str">
        <f>"9781119018285"</f>
        <v>9781119018285</v>
      </c>
      <c r="G383" t="str">
        <f>"9781118675571"</f>
        <v>9781118675571</v>
      </c>
      <c r="H383" t="s">
        <v>1093</v>
      </c>
      <c r="I383" t="s">
        <v>1094</v>
      </c>
      <c r="J383" t="s">
        <v>1095</v>
      </c>
      <c r="K383" t="s">
        <v>44</v>
      </c>
      <c r="N383" t="s">
        <v>45</v>
      </c>
      <c r="O383" t="s">
        <v>46</v>
      </c>
      <c r="P383" t="s">
        <v>45</v>
      </c>
      <c r="Q383" t="s">
        <v>47</v>
      </c>
      <c r="R383" t="s">
        <v>44</v>
      </c>
      <c r="S383">
        <v>0</v>
      </c>
      <c r="W383" s="3">
        <v>3.1828703703703702E-3</v>
      </c>
      <c r="X383" t="s">
        <v>1096</v>
      </c>
      <c r="Y383">
        <v>8</v>
      </c>
      <c r="Z383">
        <v>0</v>
      </c>
      <c r="AA383" t="s">
        <v>49</v>
      </c>
      <c r="AB383">
        <v>0</v>
      </c>
      <c r="AC383" t="s">
        <v>49</v>
      </c>
      <c r="AD383">
        <v>0</v>
      </c>
      <c r="AE383">
        <v>11041439</v>
      </c>
      <c r="AF383" t="s">
        <v>50</v>
      </c>
      <c r="AG383" t="s">
        <v>388</v>
      </c>
    </row>
    <row r="384" spans="1:33" x14ac:dyDescent="0.35">
      <c r="A384" s="1">
        <v>44900.962500000001</v>
      </c>
      <c r="B384">
        <v>1174136</v>
      </c>
      <c r="C384" t="s">
        <v>1097</v>
      </c>
      <c r="D384" t="s">
        <v>59</v>
      </c>
      <c r="E384" s="2">
        <v>41414</v>
      </c>
      <c r="F384" t="str">
        <f>"9783527649020"</f>
        <v>9783527649020</v>
      </c>
      <c r="G384" t="str">
        <f>"9783527411016"</f>
        <v>9783527411016</v>
      </c>
      <c r="H384" t="s">
        <v>542</v>
      </c>
      <c r="I384">
        <v>621.38152000000002</v>
      </c>
      <c r="J384" t="s">
        <v>1098</v>
      </c>
      <c r="K384" t="s">
        <v>44</v>
      </c>
      <c r="N384" t="s">
        <v>45</v>
      </c>
      <c r="O384" t="s">
        <v>46</v>
      </c>
      <c r="P384" t="s">
        <v>45</v>
      </c>
      <c r="Q384" t="s">
        <v>47</v>
      </c>
      <c r="R384" t="s">
        <v>44</v>
      </c>
      <c r="S384">
        <v>0</v>
      </c>
      <c r="W384" s="3">
        <v>4.6296296296296294E-5</v>
      </c>
      <c r="X384" t="s">
        <v>121</v>
      </c>
      <c r="Y384">
        <v>1</v>
      </c>
      <c r="Z384">
        <v>0</v>
      </c>
      <c r="AA384" t="s">
        <v>49</v>
      </c>
      <c r="AB384">
        <v>0</v>
      </c>
      <c r="AC384" t="s">
        <v>49</v>
      </c>
      <c r="AD384">
        <v>0</v>
      </c>
      <c r="AE384">
        <v>10691438</v>
      </c>
      <c r="AF384" t="s">
        <v>50</v>
      </c>
      <c r="AG384" t="s">
        <v>388</v>
      </c>
    </row>
    <row r="385" spans="1:33" x14ac:dyDescent="0.35">
      <c r="A385" s="1">
        <v>44900.944444444445</v>
      </c>
      <c r="B385">
        <v>3442075</v>
      </c>
      <c r="C385" t="s">
        <v>1067</v>
      </c>
      <c r="D385" t="s">
        <v>1068</v>
      </c>
      <c r="E385" s="2">
        <v>38972</v>
      </c>
      <c r="F385" t="str">
        <f>"9780812201048"</f>
        <v>9780812201048</v>
      </c>
      <c r="G385" t="str">
        <f>"9780812239447"</f>
        <v>9780812239447</v>
      </c>
      <c r="H385" t="s">
        <v>1069</v>
      </c>
      <c r="I385" t="s">
        <v>1070</v>
      </c>
      <c r="K385" t="s">
        <v>44</v>
      </c>
      <c r="N385" t="s">
        <v>45</v>
      </c>
      <c r="O385" t="s">
        <v>46</v>
      </c>
      <c r="P385" t="s">
        <v>45</v>
      </c>
      <c r="Q385" t="s">
        <v>47</v>
      </c>
      <c r="R385" t="s">
        <v>44</v>
      </c>
      <c r="S385">
        <v>0</v>
      </c>
      <c r="W385" s="3">
        <v>5.3356481481481484E-3</v>
      </c>
      <c r="X385" t="s">
        <v>1099</v>
      </c>
      <c r="Y385">
        <v>2</v>
      </c>
      <c r="Z385">
        <v>0</v>
      </c>
      <c r="AA385" t="s">
        <v>49</v>
      </c>
      <c r="AB385">
        <v>0</v>
      </c>
      <c r="AC385" t="s">
        <v>49</v>
      </c>
      <c r="AD385">
        <v>0</v>
      </c>
      <c r="AE385">
        <v>10748452</v>
      </c>
      <c r="AF385" t="s">
        <v>50</v>
      </c>
      <c r="AG385" t="s">
        <v>996</v>
      </c>
    </row>
    <row r="386" spans="1:33" x14ac:dyDescent="0.35">
      <c r="A386" s="1">
        <v>44900.944444444445</v>
      </c>
      <c r="B386">
        <v>5188151</v>
      </c>
      <c r="C386" t="s">
        <v>1100</v>
      </c>
      <c r="D386" t="s">
        <v>1101</v>
      </c>
      <c r="E386" s="2">
        <v>42962</v>
      </c>
      <c r="F386" t="str">
        <f>"9781526120540"</f>
        <v>9781526120540</v>
      </c>
      <c r="G386" t="str">
        <f>"9781784994204"</f>
        <v>9781784994204</v>
      </c>
      <c r="H386" t="s">
        <v>1102</v>
      </c>
      <c r="I386">
        <v>794.10922000000005</v>
      </c>
      <c r="J386" t="s">
        <v>1103</v>
      </c>
      <c r="K386" t="s">
        <v>44</v>
      </c>
      <c r="N386" t="s">
        <v>45</v>
      </c>
      <c r="O386" t="s">
        <v>46</v>
      </c>
      <c r="P386" t="s">
        <v>45</v>
      </c>
      <c r="Q386" t="s">
        <v>47</v>
      </c>
      <c r="R386" t="s">
        <v>44</v>
      </c>
      <c r="S386">
        <v>0</v>
      </c>
      <c r="W386" s="3">
        <v>5.347222222222222E-3</v>
      </c>
      <c r="X386" t="s">
        <v>205</v>
      </c>
      <c r="Y386">
        <v>2</v>
      </c>
      <c r="Z386">
        <v>0</v>
      </c>
      <c r="AA386" t="s">
        <v>49</v>
      </c>
      <c r="AB386">
        <v>0</v>
      </c>
      <c r="AC386" t="s">
        <v>49</v>
      </c>
      <c r="AD386">
        <v>0</v>
      </c>
      <c r="AE386">
        <v>11483818</v>
      </c>
      <c r="AF386" t="s">
        <v>50</v>
      </c>
      <c r="AG386" t="s">
        <v>996</v>
      </c>
    </row>
    <row r="387" spans="1:33" x14ac:dyDescent="0.35">
      <c r="A387" s="1">
        <v>44900.936805555553</v>
      </c>
      <c r="B387">
        <v>6792356</v>
      </c>
      <c r="C387" t="s">
        <v>512</v>
      </c>
      <c r="D387" t="s">
        <v>213</v>
      </c>
      <c r="E387" s="2">
        <v>44496</v>
      </c>
      <c r="F387" t="str">
        <f>"9780128209073"</f>
        <v>9780128209073</v>
      </c>
      <c r="G387" t="str">
        <f>"9780128206294"</f>
        <v>9780128206294</v>
      </c>
      <c r="H387" t="s">
        <v>513</v>
      </c>
      <c r="I387">
        <v>620.5</v>
      </c>
      <c r="J387" t="s">
        <v>514</v>
      </c>
      <c r="K387" t="s">
        <v>55</v>
      </c>
      <c r="Q387" t="s">
        <v>47</v>
      </c>
      <c r="R387" t="s">
        <v>44</v>
      </c>
      <c r="S387">
        <v>0</v>
      </c>
      <c r="W387" s="3">
        <v>7.3495370370370372E-3</v>
      </c>
      <c r="X387" t="s">
        <v>1104</v>
      </c>
      <c r="Y387">
        <v>17</v>
      </c>
      <c r="Z387">
        <v>0</v>
      </c>
      <c r="AA387" t="s">
        <v>49</v>
      </c>
      <c r="AB387">
        <v>0</v>
      </c>
      <c r="AC387" t="s">
        <v>49</v>
      </c>
      <c r="AD387">
        <v>0</v>
      </c>
      <c r="AE387">
        <v>-1</v>
      </c>
      <c r="AF387" t="s">
        <v>50</v>
      </c>
      <c r="AG387" t="s">
        <v>57</v>
      </c>
    </row>
    <row r="388" spans="1:33" x14ac:dyDescent="0.35">
      <c r="A388" s="1">
        <v>44900.918055555558</v>
      </c>
      <c r="B388">
        <v>5433852</v>
      </c>
      <c r="C388" t="s">
        <v>1105</v>
      </c>
      <c r="D388" t="s">
        <v>65</v>
      </c>
      <c r="E388" s="2">
        <v>43273</v>
      </c>
      <c r="F388" t="str">
        <f>"9780081021804"</f>
        <v>9780081021804</v>
      </c>
      <c r="G388" t="str">
        <f>"9780081021798"</f>
        <v>9780081021798</v>
      </c>
      <c r="H388" t="s">
        <v>214</v>
      </c>
      <c r="I388">
        <v>547.70454513000004</v>
      </c>
      <c r="J388" t="s">
        <v>1106</v>
      </c>
      <c r="K388" t="s">
        <v>55</v>
      </c>
      <c r="N388" t="s">
        <v>79</v>
      </c>
      <c r="P388" t="s">
        <v>97</v>
      </c>
      <c r="Q388" t="s">
        <v>47</v>
      </c>
      <c r="R388" t="s">
        <v>44</v>
      </c>
      <c r="S388">
        <v>0</v>
      </c>
      <c r="W388" s="3">
        <v>1.6203703703703703E-4</v>
      </c>
      <c r="X388" t="s">
        <v>1107</v>
      </c>
      <c r="Y388">
        <v>4</v>
      </c>
      <c r="Z388">
        <v>0</v>
      </c>
      <c r="AA388" t="s">
        <v>49</v>
      </c>
      <c r="AB388">
        <v>0</v>
      </c>
      <c r="AC388" t="s">
        <v>49</v>
      </c>
      <c r="AD388">
        <v>0</v>
      </c>
      <c r="AE388">
        <v>-1</v>
      </c>
      <c r="AF388" t="s">
        <v>63</v>
      </c>
      <c r="AG388" t="s">
        <v>996</v>
      </c>
    </row>
    <row r="389" spans="1:33" x14ac:dyDescent="0.35">
      <c r="A389" s="1">
        <v>44900.917361111111</v>
      </c>
      <c r="B389">
        <v>1637361</v>
      </c>
      <c r="C389" t="s">
        <v>1108</v>
      </c>
      <c r="D389" t="s">
        <v>65</v>
      </c>
      <c r="E389" s="2">
        <v>41677</v>
      </c>
      <c r="F389" t="str">
        <f>"9780857097026"</f>
        <v>9780857097026</v>
      </c>
      <c r="G389" t="str">
        <f>"9780857096951"</f>
        <v>9780857096951</v>
      </c>
      <c r="H389" t="s">
        <v>252</v>
      </c>
      <c r="I389">
        <v>620.19200000000001</v>
      </c>
      <c r="J389" t="s">
        <v>1109</v>
      </c>
      <c r="K389" t="s">
        <v>44</v>
      </c>
      <c r="N389" t="s">
        <v>45</v>
      </c>
      <c r="O389" t="s">
        <v>46</v>
      </c>
      <c r="P389" t="s">
        <v>45</v>
      </c>
      <c r="Q389" t="s">
        <v>47</v>
      </c>
      <c r="R389" t="s">
        <v>44</v>
      </c>
      <c r="S389">
        <v>0</v>
      </c>
      <c r="W389" s="3">
        <v>4.2824074074074075E-4</v>
      </c>
      <c r="X389" t="s">
        <v>1110</v>
      </c>
      <c r="Y389">
        <v>8</v>
      </c>
      <c r="Z389">
        <v>0</v>
      </c>
      <c r="AA389" t="s">
        <v>49</v>
      </c>
      <c r="AB389">
        <v>0</v>
      </c>
      <c r="AC389" t="s">
        <v>49</v>
      </c>
      <c r="AD389">
        <v>0</v>
      </c>
      <c r="AE389">
        <v>10839271</v>
      </c>
      <c r="AF389" t="s">
        <v>63</v>
      </c>
      <c r="AG389" t="s">
        <v>996</v>
      </c>
    </row>
    <row r="390" spans="1:33" x14ac:dyDescent="0.35">
      <c r="A390" s="1">
        <v>44900.915277777778</v>
      </c>
      <c r="B390">
        <v>777176</v>
      </c>
      <c r="C390" t="s">
        <v>1111</v>
      </c>
      <c r="D390" t="s">
        <v>76</v>
      </c>
      <c r="E390" s="2">
        <v>40752</v>
      </c>
      <c r="F390" t="str">
        <f>"9781439821152"</f>
        <v>9781439821152</v>
      </c>
      <c r="G390" t="str">
        <f>"9781439821145"</f>
        <v>9781439821145</v>
      </c>
      <c r="H390" t="s">
        <v>1112</v>
      </c>
      <c r="I390">
        <v>660.63</v>
      </c>
      <c r="J390" t="s">
        <v>1113</v>
      </c>
      <c r="K390" t="s">
        <v>44</v>
      </c>
      <c r="N390" t="s">
        <v>45</v>
      </c>
      <c r="O390" t="s">
        <v>46</v>
      </c>
      <c r="P390" t="s">
        <v>45</v>
      </c>
      <c r="Q390" t="s">
        <v>47</v>
      </c>
      <c r="R390" t="s">
        <v>44</v>
      </c>
      <c r="S390">
        <v>0</v>
      </c>
      <c r="W390" s="3">
        <v>2.5462962962962961E-4</v>
      </c>
      <c r="X390" t="s">
        <v>1114</v>
      </c>
      <c r="Y390">
        <v>5</v>
      </c>
      <c r="Z390">
        <v>0</v>
      </c>
      <c r="AA390" t="s">
        <v>49</v>
      </c>
      <c r="AB390">
        <v>0</v>
      </c>
      <c r="AC390" t="s">
        <v>49</v>
      </c>
      <c r="AD390">
        <v>0</v>
      </c>
      <c r="AE390">
        <v>10499999</v>
      </c>
      <c r="AF390" t="s">
        <v>63</v>
      </c>
      <c r="AG390" t="s">
        <v>996</v>
      </c>
    </row>
    <row r="391" spans="1:33" x14ac:dyDescent="0.35">
      <c r="A391" s="1">
        <v>44900.913888888892</v>
      </c>
      <c r="B391">
        <v>422724</v>
      </c>
      <c r="C391" t="s">
        <v>1115</v>
      </c>
      <c r="D391" t="s">
        <v>125</v>
      </c>
      <c r="E391" s="2">
        <v>38288</v>
      </c>
      <c r="F391" t="str">
        <f>"9780191516924"</f>
        <v>9780191516924</v>
      </c>
      <c r="G391" t="str">
        <f>"9780192804556"</f>
        <v>9780192804556</v>
      </c>
      <c r="H391" t="s">
        <v>1069</v>
      </c>
      <c r="I391" t="s">
        <v>1116</v>
      </c>
      <c r="J391" t="s">
        <v>1117</v>
      </c>
      <c r="K391" t="s">
        <v>44</v>
      </c>
      <c r="N391" t="s">
        <v>45</v>
      </c>
      <c r="O391" t="s">
        <v>46</v>
      </c>
      <c r="P391" t="s">
        <v>45</v>
      </c>
      <c r="Q391" t="s">
        <v>47</v>
      </c>
      <c r="R391" t="s">
        <v>44</v>
      </c>
      <c r="S391">
        <v>0</v>
      </c>
      <c r="W391" s="3">
        <v>8.1018518518518516E-4</v>
      </c>
      <c r="X391" t="s">
        <v>1118</v>
      </c>
      <c r="Y391">
        <v>6</v>
      </c>
      <c r="Z391">
        <v>0</v>
      </c>
      <c r="AA391" t="s">
        <v>49</v>
      </c>
      <c r="AB391">
        <v>0</v>
      </c>
      <c r="AC391" t="s">
        <v>49</v>
      </c>
      <c r="AD391">
        <v>0</v>
      </c>
      <c r="AE391">
        <v>10263681</v>
      </c>
      <c r="AF391" t="s">
        <v>50</v>
      </c>
      <c r="AG391" t="s">
        <v>388</v>
      </c>
    </row>
    <row r="392" spans="1:33" x14ac:dyDescent="0.35">
      <c r="A392" s="1">
        <v>44900.913888888892</v>
      </c>
      <c r="B392">
        <v>6577293</v>
      </c>
      <c r="C392" t="s">
        <v>1119</v>
      </c>
      <c r="D392" t="s">
        <v>614</v>
      </c>
      <c r="E392" s="2">
        <v>44314</v>
      </c>
      <c r="F392" t="str">
        <f>"9789813343924"</f>
        <v>9789813343924</v>
      </c>
      <c r="G392" t="str">
        <f>"9789813343917"</f>
        <v>9789813343917</v>
      </c>
      <c r="H392" t="s">
        <v>1120</v>
      </c>
      <c r="I392">
        <v>667.2</v>
      </c>
      <c r="J392" t="s">
        <v>1121</v>
      </c>
      <c r="K392" t="s">
        <v>55</v>
      </c>
      <c r="Q392" t="s">
        <v>47</v>
      </c>
      <c r="R392" t="s">
        <v>44</v>
      </c>
      <c r="S392">
        <v>0</v>
      </c>
      <c r="W392" s="3">
        <v>4.2824074074074075E-4</v>
      </c>
      <c r="X392" t="s">
        <v>1122</v>
      </c>
      <c r="Y392">
        <v>8</v>
      </c>
      <c r="Z392">
        <v>0</v>
      </c>
      <c r="AA392" t="s">
        <v>49</v>
      </c>
      <c r="AB392">
        <v>0</v>
      </c>
      <c r="AC392" t="s">
        <v>49</v>
      </c>
      <c r="AD392">
        <v>0</v>
      </c>
      <c r="AE392">
        <v>-1</v>
      </c>
      <c r="AF392" t="s">
        <v>50</v>
      </c>
      <c r="AG392" t="s">
        <v>637</v>
      </c>
    </row>
    <row r="393" spans="1:33" x14ac:dyDescent="0.35">
      <c r="A393" s="1">
        <v>44900.899305555555</v>
      </c>
      <c r="B393">
        <v>28983913</v>
      </c>
      <c r="C393" t="s">
        <v>1089</v>
      </c>
      <c r="D393" t="s">
        <v>1090</v>
      </c>
      <c r="E393" s="2">
        <v>44245</v>
      </c>
      <c r="F393" t="str">
        <f>"9780768099430"</f>
        <v>9780768099430</v>
      </c>
      <c r="G393" t="str">
        <f>"9780768099423"</f>
        <v>9780768099423</v>
      </c>
      <c r="H393" t="s">
        <v>639</v>
      </c>
      <c r="K393" t="s">
        <v>44</v>
      </c>
      <c r="N393" t="s">
        <v>45</v>
      </c>
      <c r="O393" t="s">
        <v>46</v>
      </c>
      <c r="P393" t="s">
        <v>45</v>
      </c>
      <c r="Q393" t="s">
        <v>47</v>
      </c>
      <c r="R393" t="s">
        <v>44</v>
      </c>
      <c r="S393">
        <v>0</v>
      </c>
      <c r="W393" s="3">
        <v>0</v>
      </c>
      <c r="X393" t="s">
        <v>49</v>
      </c>
      <c r="Y393">
        <v>0</v>
      </c>
      <c r="Z393">
        <v>0</v>
      </c>
      <c r="AA393" t="s">
        <v>49</v>
      </c>
      <c r="AB393">
        <v>0</v>
      </c>
      <c r="AC393" t="s">
        <v>49</v>
      </c>
      <c r="AD393">
        <v>0</v>
      </c>
      <c r="AE393">
        <v>-1</v>
      </c>
      <c r="AF393" t="s">
        <v>50</v>
      </c>
      <c r="AG393" t="s">
        <v>122</v>
      </c>
    </row>
    <row r="394" spans="1:33" x14ac:dyDescent="0.35">
      <c r="A394" s="1">
        <v>44900.899305555555</v>
      </c>
      <c r="B394">
        <v>1969978</v>
      </c>
      <c r="C394" t="s">
        <v>809</v>
      </c>
      <c r="D394" t="s">
        <v>810</v>
      </c>
      <c r="E394" s="2">
        <v>42154</v>
      </c>
      <c r="F394" t="str">
        <f>"9781627080804"</f>
        <v>9781627080804</v>
      </c>
      <c r="G394" t="str">
        <f>"9781627080798"</f>
        <v>9781627080798</v>
      </c>
      <c r="H394" t="s">
        <v>811</v>
      </c>
      <c r="K394" t="s">
        <v>44</v>
      </c>
      <c r="N394" t="s">
        <v>45</v>
      </c>
      <c r="O394" t="s">
        <v>46</v>
      </c>
      <c r="P394" t="s">
        <v>45</v>
      </c>
      <c r="Q394" t="s">
        <v>47</v>
      </c>
      <c r="R394" t="s">
        <v>44</v>
      </c>
      <c r="S394">
        <v>0</v>
      </c>
      <c r="W394" s="3">
        <v>1.3541666666666667E-3</v>
      </c>
      <c r="X394" t="s">
        <v>1123</v>
      </c>
      <c r="Y394">
        <v>22</v>
      </c>
      <c r="Z394">
        <v>0</v>
      </c>
      <c r="AA394" t="s">
        <v>49</v>
      </c>
      <c r="AB394">
        <v>0</v>
      </c>
      <c r="AC394" t="s">
        <v>49</v>
      </c>
      <c r="AD394">
        <v>0</v>
      </c>
      <c r="AE394">
        <v>11023556</v>
      </c>
      <c r="AF394" t="s">
        <v>50</v>
      </c>
      <c r="AG394" t="s">
        <v>122</v>
      </c>
    </row>
    <row r="395" spans="1:33" x14ac:dyDescent="0.35">
      <c r="A395" s="1">
        <v>44900.885416666664</v>
      </c>
      <c r="B395">
        <v>6878171</v>
      </c>
      <c r="C395" t="s">
        <v>1124</v>
      </c>
      <c r="D395" t="s">
        <v>213</v>
      </c>
      <c r="E395" s="2">
        <v>44596</v>
      </c>
      <c r="F395" t="str">
        <f>"9780323990066"</f>
        <v>9780323990066</v>
      </c>
      <c r="G395" t="str">
        <f>"9780323990059"</f>
        <v>9780323990059</v>
      </c>
      <c r="H395" t="s">
        <v>579</v>
      </c>
      <c r="I395">
        <v>629.4742</v>
      </c>
      <c r="J395" t="s">
        <v>1125</v>
      </c>
      <c r="K395" t="s">
        <v>55</v>
      </c>
      <c r="Q395" t="s">
        <v>47</v>
      </c>
      <c r="R395" t="s">
        <v>44</v>
      </c>
      <c r="S395">
        <v>0</v>
      </c>
      <c r="W395" s="3">
        <v>1.7939814814814815E-3</v>
      </c>
      <c r="X395" t="s">
        <v>1126</v>
      </c>
      <c r="Y395">
        <v>22</v>
      </c>
      <c r="Z395">
        <v>0</v>
      </c>
      <c r="AA395" t="s">
        <v>49</v>
      </c>
      <c r="AB395">
        <v>0</v>
      </c>
      <c r="AC395" t="s">
        <v>49</v>
      </c>
      <c r="AD395">
        <v>0</v>
      </c>
      <c r="AE395">
        <v>-1</v>
      </c>
      <c r="AF395" t="s">
        <v>50</v>
      </c>
      <c r="AG395" t="s">
        <v>388</v>
      </c>
    </row>
    <row r="396" spans="1:33" x14ac:dyDescent="0.35">
      <c r="A396" s="1">
        <v>44900.869444444441</v>
      </c>
      <c r="B396">
        <v>6229478</v>
      </c>
      <c r="C396" t="s">
        <v>837</v>
      </c>
      <c r="D396" t="s">
        <v>213</v>
      </c>
      <c r="E396" s="2">
        <v>43998</v>
      </c>
      <c r="F396" t="str">
        <f>"9780128168073"</f>
        <v>9780128168073</v>
      </c>
      <c r="G396" t="str">
        <f>"9780128168066"</f>
        <v>9780128168066</v>
      </c>
      <c r="H396" t="s">
        <v>214</v>
      </c>
      <c r="I396">
        <v>547.70000000000005</v>
      </c>
      <c r="J396" t="s">
        <v>838</v>
      </c>
      <c r="K396" t="s">
        <v>55</v>
      </c>
      <c r="Q396" t="s">
        <v>47</v>
      </c>
      <c r="R396" t="s">
        <v>44</v>
      </c>
      <c r="S396">
        <v>0</v>
      </c>
      <c r="W396" s="3">
        <v>1.105324074074074E-2</v>
      </c>
      <c r="X396" t="s">
        <v>205</v>
      </c>
      <c r="Y396">
        <v>2</v>
      </c>
      <c r="Z396">
        <v>0</v>
      </c>
      <c r="AA396" t="s">
        <v>49</v>
      </c>
      <c r="AB396">
        <v>0</v>
      </c>
      <c r="AC396" t="s">
        <v>49</v>
      </c>
      <c r="AD396">
        <v>0</v>
      </c>
      <c r="AE396">
        <v>-1</v>
      </c>
      <c r="AF396" t="s">
        <v>50</v>
      </c>
      <c r="AG396" t="s">
        <v>82</v>
      </c>
    </row>
    <row r="397" spans="1:33" x14ac:dyDescent="0.35">
      <c r="A397" s="1">
        <v>44900.856944444444</v>
      </c>
      <c r="B397">
        <v>6229478</v>
      </c>
      <c r="C397" t="s">
        <v>837</v>
      </c>
      <c r="D397" t="s">
        <v>213</v>
      </c>
      <c r="E397" s="2">
        <v>43998</v>
      </c>
      <c r="F397" t="str">
        <f>"9780128168073"</f>
        <v>9780128168073</v>
      </c>
      <c r="G397" t="str">
        <f>"9780128168066"</f>
        <v>9780128168066</v>
      </c>
      <c r="H397" t="s">
        <v>214</v>
      </c>
      <c r="I397">
        <v>547.70000000000005</v>
      </c>
      <c r="J397" t="s">
        <v>838</v>
      </c>
      <c r="K397" t="s">
        <v>55</v>
      </c>
      <c r="Q397" t="s">
        <v>47</v>
      </c>
      <c r="R397" t="s">
        <v>44</v>
      </c>
      <c r="S397">
        <v>0</v>
      </c>
      <c r="W397" s="3">
        <v>1.621527777777778E-2</v>
      </c>
      <c r="X397" t="s">
        <v>1127</v>
      </c>
      <c r="Y397">
        <v>43</v>
      </c>
      <c r="Z397">
        <v>0</v>
      </c>
      <c r="AA397" t="s">
        <v>49</v>
      </c>
      <c r="AB397">
        <v>0</v>
      </c>
      <c r="AC397" t="s">
        <v>49</v>
      </c>
      <c r="AD397">
        <v>0</v>
      </c>
      <c r="AE397">
        <v>-1</v>
      </c>
      <c r="AF397" t="s">
        <v>63</v>
      </c>
      <c r="AG397" t="s">
        <v>840</v>
      </c>
    </row>
    <row r="398" spans="1:33" x14ac:dyDescent="0.35">
      <c r="A398" s="1">
        <v>44900.805555555555</v>
      </c>
      <c r="B398">
        <v>1517436</v>
      </c>
      <c r="C398" t="s">
        <v>1128</v>
      </c>
      <c r="D398" t="s">
        <v>65</v>
      </c>
      <c r="E398" s="2">
        <v>41650</v>
      </c>
      <c r="F398" t="str">
        <f>"9780123972569"</f>
        <v>9780123972569</v>
      </c>
      <c r="G398" t="str">
        <f>"9780123972705"</f>
        <v>9780123972705</v>
      </c>
      <c r="H398" t="s">
        <v>538</v>
      </c>
      <c r="I398">
        <v>621.47</v>
      </c>
      <c r="J398" t="s">
        <v>1129</v>
      </c>
      <c r="K398" t="s">
        <v>44</v>
      </c>
      <c r="N398" t="s">
        <v>45</v>
      </c>
      <c r="O398" t="s">
        <v>46</v>
      </c>
      <c r="P398" t="s">
        <v>45</v>
      </c>
      <c r="Q398" t="s">
        <v>47</v>
      </c>
      <c r="R398" t="s">
        <v>44</v>
      </c>
      <c r="S398">
        <v>0</v>
      </c>
      <c r="W398" s="3">
        <v>5.4166666666666669E-3</v>
      </c>
      <c r="X398" t="s">
        <v>1130</v>
      </c>
      <c r="Y398">
        <v>25</v>
      </c>
      <c r="Z398">
        <v>0</v>
      </c>
      <c r="AA398" t="s">
        <v>49</v>
      </c>
      <c r="AB398">
        <v>0</v>
      </c>
      <c r="AC398" t="s">
        <v>49</v>
      </c>
      <c r="AD398">
        <v>0</v>
      </c>
      <c r="AE398">
        <v>10791985</v>
      </c>
      <c r="AF398" t="s">
        <v>50</v>
      </c>
      <c r="AG398" t="s">
        <v>57</v>
      </c>
    </row>
    <row r="399" spans="1:33" x14ac:dyDescent="0.35">
      <c r="A399" s="1">
        <v>44900.792361111111</v>
      </c>
      <c r="B399">
        <v>2084453</v>
      </c>
      <c r="C399" t="s">
        <v>1027</v>
      </c>
      <c r="D399" t="s">
        <v>125</v>
      </c>
      <c r="E399" s="2">
        <v>42226</v>
      </c>
      <c r="F399" t="str">
        <f>"9780190264321"</f>
        <v>9780190264321</v>
      </c>
      <c r="G399" t="str">
        <f>"9780190206185"</f>
        <v>9780190206185</v>
      </c>
      <c r="H399" t="s">
        <v>147</v>
      </c>
      <c r="I399">
        <v>616.85270000000003</v>
      </c>
      <c r="J399" t="s">
        <v>1028</v>
      </c>
      <c r="K399" t="s">
        <v>44</v>
      </c>
      <c r="N399" t="s">
        <v>45</v>
      </c>
      <c r="O399" t="s">
        <v>46</v>
      </c>
      <c r="P399" t="s">
        <v>45</v>
      </c>
      <c r="Q399" t="s">
        <v>47</v>
      </c>
      <c r="R399" t="s">
        <v>44</v>
      </c>
      <c r="S399">
        <v>0</v>
      </c>
      <c r="W399" s="3">
        <v>2.7777777777777778E-4</v>
      </c>
      <c r="X399" t="s">
        <v>1131</v>
      </c>
      <c r="Y399">
        <v>4</v>
      </c>
      <c r="Z399">
        <v>0</v>
      </c>
      <c r="AA399" t="s">
        <v>49</v>
      </c>
      <c r="AB399">
        <v>0</v>
      </c>
      <c r="AC399" t="s">
        <v>49</v>
      </c>
      <c r="AD399">
        <v>0</v>
      </c>
      <c r="AE399">
        <v>11071106</v>
      </c>
      <c r="AF399" t="s">
        <v>50</v>
      </c>
      <c r="AG399" t="s">
        <v>57</v>
      </c>
    </row>
    <row r="400" spans="1:33" x14ac:dyDescent="0.35">
      <c r="A400" s="1">
        <v>44900.78402777778</v>
      </c>
      <c r="B400">
        <v>3039005</v>
      </c>
      <c r="C400" t="s">
        <v>1132</v>
      </c>
      <c r="D400" t="s">
        <v>1133</v>
      </c>
      <c r="E400" s="2">
        <v>36957</v>
      </c>
      <c r="F400" t="str">
        <f>"9780820342351"</f>
        <v>9780820342351</v>
      </c>
      <c r="G400" t="str">
        <f>"9780820322339"</f>
        <v>9780820322339</v>
      </c>
      <c r="H400" t="s">
        <v>667</v>
      </c>
      <c r="I400" t="s">
        <v>1134</v>
      </c>
      <c r="J400" t="s">
        <v>1135</v>
      </c>
      <c r="K400" t="s">
        <v>44</v>
      </c>
      <c r="N400" t="s">
        <v>45</v>
      </c>
      <c r="O400" t="s">
        <v>46</v>
      </c>
      <c r="P400" t="s">
        <v>45</v>
      </c>
      <c r="Q400" t="s">
        <v>47</v>
      </c>
      <c r="R400" t="s">
        <v>44</v>
      </c>
      <c r="S400">
        <v>0</v>
      </c>
      <c r="W400" s="3">
        <v>7.6388888888888893E-4</v>
      </c>
      <c r="X400" t="s">
        <v>1136</v>
      </c>
      <c r="Y400">
        <v>6</v>
      </c>
      <c r="Z400">
        <v>0</v>
      </c>
      <c r="AA400" t="s">
        <v>49</v>
      </c>
      <c r="AB400">
        <v>0</v>
      </c>
      <c r="AC400" t="s">
        <v>49</v>
      </c>
      <c r="AD400">
        <v>0</v>
      </c>
      <c r="AE400">
        <v>10493764</v>
      </c>
      <c r="AF400" t="s">
        <v>50</v>
      </c>
      <c r="AG400" t="s">
        <v>122</v>
      </c>
    </row>
    <row r="401" spans="1:33" x14ac:dyDescent="0.35">
      <c r="A401" s="1">
        <v>44900.783333333333</v>
      </c>
      <c r="B401">
        <v>5560173</v>
      </c>
      <c r="C401" t="s">
        <v>656</v>
      </c>
      <c r="D401" t="s">
        <v>657</v>
      </c>
      <c r="E401" s="2">
        <v>43391</v>
      </c>
      <c r="F401" t="str">
        <f>"9781476632681"</f>
        <v>9781476632681</v>
      </c>
      <c r="G401" t="str">
        <f>"9781476673851"</f>
        <v>9781476673851</v>
      </c>
      <c r="H401" t="s">
        <v>658</v>
      </c>
      <c r="I401">
        <v>739.27820750000001</v>
      </c>
      <c r="J401" t="s">
        <v>659</v>
      </c>
      <c r="K401" t="s">
        <v>44</v>
      </c>
      <c r="N401" t="s">
        <v>45</v>
      </c>
      <c r="O401" t="s">
        <v>46</v>
      </c>
      <c r="P401" t="s">
        <v>45</v>
      </c>
      <c r="Q401" t="s">
        <v>47</v>
      </c>
      <c r="R401" t="s">
        <v>44</v>
      </c>
      <c r="S401">
        <v>0</v>
      </c>
      <c r="W401" s="3">
        <v>7.0601851851851841E-3</v>
      </c>
      <c r="X401" t="s">
        <v>1137</v>
      </c>
      <c r="Y401">
        <v>22</v>
      </c>
      <c r="Z401">
        <v>0</v>
      </c>
      <c r="AA401" t="s">
        <v>49</v>
      </c>
      <c r="AB401">
        <v>0</v>
      </c>
      <c r="AC401" t="s">
        <v>1025</v>
      </c>
      <c r="AD401">
        <v>1</v>
      </c>
      <c r="AE401">
        <v>11625847</v>
      </c>
      <c r="AF401" t="s">
        <v>50</v>
      </c>
      <c r="AG401" t="s">
        <v>388</v>
      </c>
    </row>
    <row r="402" spans="1:33" x14ac:dyDescent="0.35">
      <c r="A402" s="1">
        <v>44900.765277777777</v>
      </c>
      <c r="B402">
        <v>3108942</v>
      </c>
      <c r="C402" t="s">
        <v>1138</v>
      </c>
      <c r="D402" t="s">
        <v>1139</v>
      </c>
      <c r="E402" s="2">
        <v>34669</v>
      </c>
      <c r="F402" t="str">
        <f>"9789401106856"</f>
        <v>9789401106856</v>
      </c>
      <c r="G402" t="str">
        <f>"9789401042963"</f>
        <v>9789401042963</v>
      </c>
      <c r="H402" t="s">
        <v>208</v>
      </c>
      <c r="I402">
        <v>629.13400000000001</v>
      </c>
      <c r="J402" t="s">
        <v>1140</v>
      </c>
      <c r="K402" t="s">
        <v>44</v>
      </c>
      <c r="N402" t="s">
        <v>45</v>
      </c>
      <c r="O402" t="s">
        <v>46</v>
      </c>
      <c r="P402" t="s">
        <v>45</v>
      </c>
      <c r="Q402" t="s">
        <v>47</v>
      </c>
      <c r="R402" t="s">
        <v>44</v>
      </c>
      <c r="S402">
        <v>0</v>
      </c>
      <c r="W402" s="3">
        <v>1.7071759259259259E-2</v>
      </c>
      <c r="X402" t="s">
        <v>1141</v>
      </c>
      <c r="Y402">
        <v>53</v>
      </c>
      <c r="Z402">
        <v>0</v>
      </c>
      <c r="AA402" t="s">
        <v>49</v>
      </c>
      <c r="AB402">
        <v>0</v>
      </c>
      <c r="AC402" t="s">
        <v>49</v>
      </c>
      <c r="AD402">
        <v>0</v>
      </c>
      <c r="AE402">
        <v>11039346</v>
      </c>
      <c r="AF402" t="s">
        <v>50</v>
      </c>
      <c r="AG402" t="s">
        <v>57</v>
      </c>
    </row>
    <row r="403" spans="1:33" x14ac:dyDescent="0.35">
      <c r="A403" s="1">
        <v>44900.756944444445</v>
      </c>
      <c r="B403">
        <v>28983913</v>
      </c>
      <c r="C403" t="s">
        <v>1089</v>
      </c>
      <c r="D403" t="s">
        <v>1090</v>
      </c>
      <c r="E403" s="2">
        <v>44245</v>
      </c>
      <c r="F403" t="str">
        <f>"9780768099430"</f>
        <v>9780768099430</v>
      </c>
      <c r="G403" t="str">
        <f>"9780768099423"</f>
        <v>9780768099423</v>
      </c>
      <c r="H403" t="s">
        <v>639</v>
      </c>
      <c r="K403" t="s">
        <v>44</v>
      </c>
      <c r="N403" t="s">
        <v>45</v>
      </c>
      <c r="O403" t="s">
        <v>46</v>
      </c>
      <c r="P403" t="s">
        <v>45</v>
      </c>
      <c r="Q403" t="s">
        <v>47</v>
      </c>
      <c r="R403" t="s">
        <v>44</v>
      </c>
      <c r="S403">
        <v>0</v>
      </c>
      <c r="W403" s="3">
        <v>0</v>
      </c>
      <c r="X403" t="s">
        <v>49</v>
      </c>
      <c r="Y403">
        <v>0</v>
      </c>
      <c r="Z403">
        <v>0</v>
      </c>
      <c r="AA403" t="s">
        <v>49</v>
      </c>
      <c r="AB403">
        <v>0</v>
      </c>
      <c r="AC403" t="s">
        <v>49</v>
      </c>
      <c r="AD403">
        <v>0</v>
      </c>
      <c r="AE403">
        <v>-1</v>
      </c>
      <c r="AF403" t="s">
        <v>63</v>
      </c>
      <c r="AG403" t="s">
        <v>122</v>
      </c>
    </row>
    <row r="404" spans="1:33" x14ac:dyDescent="0.35">
      <c r="A404" s="1">
        <v>44900.698611111111</v>
      </c>
      <c r="B404">
        <v>2084453</v>
      </c>
      <c r="C404" t="s">
        <v>1027</v>
      </c>
      <c r="D404" t="s">
        <v>125</v>
      </c>
      <c r="E404" s="2">
        <v>42226</v>
      </c>
      <c r="F404" t="str">
        <f>"9780190264321"</f>
        <v>9780190264321</v>
      </c>
      <c r="G404" t="str">
        <f>"9780190206185"</f>
        <v>9780190206185</v>
      </c>
      <c r="H404" t="s">
        <v>147</v>
      </c>
      <c r="I404">
        <v>616.85270000000003</v>
      </c>
      <c r="J404" t="s">
        <v>1028</v>
      </c>
      <c r="K404" t="s">
        <v>44</v>
      </c>
      <c r="N404" t="s">
        <v>45</v>
      </c>
      <c r="O404" t="s">
        <v>46</v>
      </c>
      <c r="P404" t="s">
        <v>45</v>
      </c>
      <c r="Q404" t="s">
        <v>47</v>
      </c>
      <c r="R404" t="s">
        <v>44</v>
      </c>
      <c r="S404">
        <v>0</v>
      </c>
      <c r="W404" s="3">
        <v>1.2407407407407409E-2</v>
      </c>
      <c r="X404" t="s">
        <v>1142</v>
      </c>
      <c r="Y404">
        <v>15</v>
      </c>
      <c r="Z404">
        <v>0</v>
      </c>
      <c r="AA404" t="s">
        <v>49</v>
      </c>
      <c r="AB404">
        <v>0</v>
      </c>
      <c r="AC404" t="s">
        <v>1029</v>
      </c>
      <c r="AD404">
        <v>1</v>
      </c>
      <c r="AE404">
        <v>11071106</v>
      </c>
      <c r="AF404" t="s">
        <v>50</v>
      </c>
      <c r="AG404" t="s">
        <v>57</v>
      </c>
    </row>
    <row r="405" spans="1:33" x14ac:dyDescent="0.35">
      <c r="A405" s="1">
        <v>44900.663194444445</v>
      </c>
      <c r="B405">
        <v>744453</v>
      </c>
      <c r="C405" t="s">
        <v>977</v>
      </c>
      <c r="D405" t="s">
        <v>978</v>
      </c>
      <c r="E405" s="2">
        <v>40179</v>
      </c>
      <c r="F405" t="str">
        <f>"9781905832729"</f>
        <v>9781905832729</v>
      </c>
      <c r="G405" t="str">
        <f>"9781905832521"</f>
        <v>9781905832521</v>
      </c>
      <c r="H405" t="s">
        <v>147</v>
      </c>
      <c r="I405">
        <v>616.89499999999998</v>
      </c>
      <c r="J405" t="s">
        <v>979</v>
      </c>
      <c r="K405" t="s">
        <v>44</v>
      </c>
      <c r="N405" t="s">
        <v>45</v>
      </c>
      <c r="O405" t="s">
        <v>46</v>
      </c>
      <c r="P405" t="s">
        <v>45</v>
      </c>
      <c r="Q405" t="s">
        <v>47</v>
      </c>
      <c r="R405" t="s">
        <v>44</v>
      </c>
      <c r="S405">
        <v>0</v>
      </c>
      <c r="W405" s="3">
        <v>3.9351851851851857E-3</v>
      </c>
      <c r="X405" t="s">
        <v>1143</v>
      </c>
      <c r="Y405">
        <v>7</v>
      </c>
      <c r="Z405">
        <v>0</v>
      </c>
      <c r="AA405" t="s">
        <v>49</v>
      </c>
      <c r="AB405">
        <v>0</v>
      </c>
      <c r="AC405" t="s">
        <v>49</v>
      </c>
      <c r="AD405">
        <v>0</v>
      </c>
      <c r="AE405">
        <v>10480481</v>
      </c>
      <c r="AF405" t="s">
        <v>50</v>
      </c>
      <c r="AG405" t="s">
        <v>57</v>
      </c>
    </row>
    <row r="406" spans="1:33" x14ac:dyDescent="0.35">
      <c r="A406" s="1">
        <v>44900.657638888886</v>
      </c>
      <c r="B406">
        <v>3108942</v>
      </c>
      <c r="C406" t="s">
        <v>1138</v>
      </c>
      <c r="D406" t="s">
        <v>1139</v>
      </c>
      <c r="E406" s="2">
        <v>34669</v>
      </c>
      <c r="F406" t="str">
        <f>"9789401106856"</f>
        <v>9789401106856</v>
      </c>
      <c r="G406" t="str">
        <f>"9789401042963"</f>
        <v>9789401042963</v>
      </c>
      <c r="H406" t="s">
        <v>208</v>
      </c>
      <c r="I406">
        <v>629.13400000000001</v>
      </c>
      <c r="J406" t="s">
        <v>1140</v>
      </c>
      <c r="K406" t="s">
        <v>44</v>
      </c>
      <c r="N406" t="s">
        <v>45</v>
      </c>
      <c r="O406" t="s">
        <v>46</v>
      </c>
      <c r="P406" t="s">
        <v>45</v>
      </c>
      <c r="Q406" t="s">
        <v>47</v>
      </c>
      <c r="R406" t="s">
        <v>44</v>
      </c>
      <c r="S406">
        <v>0</v>
      </c>
      <c r="W406" s="3">
        <v>5.0011574074074076E-2</v>
      </c>
      <c r="X406" t="s">
        <v>1144</v>
      </c>
      <c r="Y406">
        <v>78</v>
      </c>
      <c r="Z406">
        <v>0</v>
      </c>
      <c r="AA406" t="s">
        <v>49</v>
      </c>
      <c r="AB406">
        <v>0</v>
      </c>
      <c r="AC406" t="s">
        <v>49</v>
      </c>
      <c r="AD406">
        <v>0</v>
      </c>
      <c r="AE406">
        <v>11039346</v>
      </c>
      <c r="AF406" t="s">
        <v>50</v>
      </c>
      <c r="AG406" t="s">
        <v>57</v>
      </c>
    </row>
    <row r="407" spans="1:33" x14ac:dyDescent="0.35">
      <c r="A407" s="1">
        <v>44900.654861111114</v>
      </c>
      <c r="B407">
        <v>1712401</v>
      </c>
      <c r="C407" t="s">
        <v>984</v>
      </c>
      <c r="D407" t="s">
        <v>125</v>
      </c>
      <c r="E407" s="2">
        <v>41865</v>
      </c>
      <c r="F407" t="str">
        <f>"9780199995691"</f>
        <v>9780199995691</v>
      </c>
      <c r="G407" t="str">
        <f>"9780199995684"</f>
        <v>9780199995684</v>
      </c>
      <c r="H407" t="s">
        <v>151</v>
      </c>
      <c r="I407">
        <v>616.89499999999998</v>
      </c>
      <c r="J407" t="s">
        <v>985</v>
      </c>
      <c r="K407" t="s">
        <v>44</v>
      </c>
      <c r="N407" t="s">
        <v>45</v>
      </c>
      <c r="O407" t="s">
        <v>46</v>
      </c>
      <c r="P407" t="s">
        <v>45</v>
      </c>
      <c r="Q407" t="s">
        <v>47</v>
      </c>
      <c r="R407" t="s">
        <v>44</v>
      </c>
      <c r="S407">
        <v>0</v>
      </c>
      <c r="W407" s="3">
        <v>6.7129629629629625E-4</v>
      </c>
      <c r="X407" t="s">
        <v>1145</v>
      </c>
      <c r="Y407">
        <v>11</v>
      </c>
      <c r="Z407">
        <v>0</v>
      </c>
      <c r="AA407" t="s">
        <v>49</v>
      </c>
      <c r="AB407">
        <v>0</v>
      </c>
      <c r="AC407" t="s">
        <v>49</v>
      </c>
      <c r="AD407">
        <v>0</v>
      </c>
      <c r="AE407">
        <v>10882711</v>
      </c>
      <c r="AF407" t="s">
        <v>50</v>
      </c>
      <c r="AG407" t="s">
        <v>57</v>
      </c>
    </row>
    <row r="408" spans="1:33" x14ac:dyDescent="0.35">
      <c r="A408" s="1">
        <v>44900.633333333331</v>
      </c>
      <c r="B408">
        <v>1969978</v>
      </c>
      <c r="C408" t="s">
        <v>809</v>
      </c>
      <c r="D408" t="s">
        <v>810</v>
      </c>
      <c r="E408" s="2">
        <v>42154</v>
      </c>
      <c r="F408" t="str">
        <f>"9781627080804"</f>
        <v>9781627080804</v>
      </c>
      <c r="G408" t="str">
        <f>"9781627080798"</f>
        <v>9781627080798</v>
      </c>
      <c r="H408" t="s">
        <v>811</v>
      </c>
      <c r="K408" t="s">
        <v>44</v>
      </c>
      <c r="N408" t="s">
        <v>45</v>
      </c>
      <c r="O408" t="s">
        <v>46</v>
      </c>
      <c r="P408" t="s">
        <v>45</v>
      </c>
      <c r="Q408" t="s">
        <v>47</v>
      </c>
      <c r="R408" t="s">
        <v>44</v>
      </c>
      <c r="S408">
        <v>0</v>
      </c>
      <c r="W408" s="3">
        <v>3.2534722222222222E-2</v>
      </c>
      <c r="X408" t="s">
        <v>1146</v>
      </c>
      <c r="Y408">
        <v>29</v>
      </c>
      <c r="Z408">
        <v>0</v>
      </c>
      <c r="AA408" t="s">
        <v>49</v>
      </c>
      <c r="AB408">
        <v>0</v>
      </c>
      <c r="AC408" t="s">
        <v>49</v>
      </c>
      <c r="AD408">
        <v>0</v>
      </c>
      <c r="AE408">
        <v>11023556</v>
      </c>
      <c r="AF408" t="s">
        <v>50</v>
      </c>
      <c r="AG408" t="s">
        <v>122</v>
      </c>
    </row>
    <row r="409" spans="1:33" x14ac:dyDescent="0.35">
      <c r="A409" s="1">
        <v>44900.631249999999</v>
      </c>
      <c r="B409">
        <v>1174136</v>
      </c>
      <c r="C409" t="s">
        <v>1097</v>
      </c>
      <c r="D409" t="s">
        <v>59</v>
      </c>
      <c r="E409" s="2">
        <v>41414</v>
      </c>
      <c r="F409" t="str">
        <f>"9783527649020"</f>
        <v>9783527649020</v>
      </c>
      <c r="G409" t="str">
        <f>"9783527411016"</f>
        <v>9783527411016</v>
      </c>
      <c r="H409" t="s">
        <v>542</v>
      </c>
      <c r="I409">
        <v>621.38152000000002</v>
      </c>
      <c r="J409" t="s">
        <v>1098</v>
      </c>
      <c r="K409" t="s">
        <v>44</v>
      </c>
      <c r="N409" t="s">
        <v>45</v>
      </c>
      <c r="O409" t="s">
        <v>46</v>
      </c>
      <c r="P409" t="s">
        <v>45</v>
      </c>
      <c r="Q409" t="s">
        <v>47</v>
      </c>
      <c r="R409" t="s">
        <v>44</v>
      </c>
      <c r="S409">
        <v>0</v>
      </c>
      <c r="W409" s="3">
        <v>1.2847222222222223E-3</v>
      </c>
      <c r="X409" t="s">
        <v>1147</v>
      </c>
      <c r="Y409">
        <v>30</v>
      </c>
      <c r="Z409">
        <v>0</v>
      </c>
      <c r="AA409" t="s">
        <v>49</v>
      </c>
      <c r="AB409">
        <v>0</v>
      </c>
      <c r="AC409" t="s">
        <v>49</v>
      </c>
      <c r="AD409">
        <v>0</v>
      </c>
      <c r="AE409">
        <v>10691438</v>
      </c>
      <c r="AF409" t="s">
        <v>50</v>
      </c>
      <c r="AG409" t="s">
        <v>388</v>
      </c>
    </row>
    <row r="410" spans="1:33" x14ac:dyDescent="0.35">
      <c r="A410" s="1">
        <v>44900.611111111109</v>
      </c>
      <c r="B410">
        <v>1969978</v>
      </c>
      <c r="C410" t="s">
        <v>809</v>
      </c>
      <c r="D410" t="s">
        <v>810</v>
      </c>
      <c r="E410" s="2">
        <v>42154</v>
      </c>
      <c r="F410" t="str">
        <f>"9781627080804"</f>
        <v>9781627080804</v>
      </c>
      <c r="G410" t="str">
        <f>"9781627080798"</f>
        <v>9781627080798</v>
      </c>
      <c r="H410" t="s">
        <v>811</v>
      </c>
      <c r="K410" t="s">
        <v>44</v>
      </c>
      <c r="N410" t="s">
        <v>45</v>
      </c>
      <c r="O410" t="s">
        <v>46</v>
      </c>
      <c r="P410" t="s">
        <v>45</v>
      </c>
      <c r="Q410" t="s">
        <v>47</v>
      </c>
      <c r="R410" t="s">
        <v>44</v>
      </c>
      <c r="S410">
        <v>0</v>
      </c>
      <c r="W410" s="3">
        <v>9.1435185185185185E-4</v>
      </c>
      <c r="X410" t="s">
        <v>1148</v>
      </c>
      <c r="Y410">
        <v>22</v>
      </c>
      <c r="Z410">
        <v>0</v>
      </c>
      <c r="AA410" t="s">
        <v>49</v>
      </c>
      <c r="AB410">
        <v>0</v>
      </c>
      <c r="AC410" t="s">
        <v>49</v>
      </c>
      <c r="AD410">
        <v>0</v>
      </c>
      <c r="AE410">
        <v>11023556</v>
      </c>
      <c r="AF410" t="s">
        <v>50</v>
      </c>
      <c r="AG410" t="s">
        <v>122</v>
      </c>
    </row>
    <row r="411" spans="1:33" x14ac:dyDescent="0.35">
      <c r="A411" s="1">
        <v>44900.588888888888</v>
      </c>
      <c r="B411">
        <v>3108942</v>
      </c>
      <c r="C411" t="s">
        <v>1138</v>
      </c>
      <c r="D411" t="s">
        <v>1139</v>
      </c>
      <c r="E411" s="2">
        <v>34669</v>
      </c>
      <c r="F411" t="str">
        <f>"9789401106856"</f>
        <v>9789401106856</v>
      </c>
      <c r="G411" t="str">
        <f>"9789401042963"</f>
        <v>9789401042963</v>
      </c>
      <c r="H411" t="s">
        <v>208</v>
      </c>
      <c r="I411">
        <v>629.13400000000001</v>
      </c>
      <c r="J411" t="s">
        <v>1140</v>
      </c>
      <c r="K411" t="s">
        <v>44</v>
      </c>
      <c r="N411" t="s">
        <v>45</v>
      </c>
      <c r="O411" t="s">
        <v>46</v>
      </c>
      <c r="P411" t="s">
        <v>45</v>
      </c>
      <c r="Q411" t="s">
        <v>47</v>
      </c>
      <c r="R411" t="s">
        <v>44</v>
      </c>
      <c r="S411">
        <v>0</v>
      </c>
      <c r="W411" s="3">
        <v>1.0127314814814815E-2</v>
      </c>
      <c r="X411" t="s">
        <v>1149</v>
      </c>
      <c r="Y411">
        <v>20</v>
      </c>
      <c r="Z411">
        <v>0</v>
      </c>
      <c r="AA411" t="s">
        <v>49</v>
      </c>
      <c r="AB411">
        <v>0</v>
      </c>
      <c r="AC411" t="s">
        <v>1150</v>
      </c>
      <c r="AD411">
        <v>2</v>
      </c>
      <c r="AE411">
        <v>11039346</v>
      </c>
      <c r="AF411" t="s">
        <v>50</v>
      </c>
      <c r="AG411" t="s">
        <v>57</v>
      </c>
    </row>
    <row r="412" spans="1:33" x14ac:dyDescent="0.35">
      <c r="A412" s="1">
        <v>44900.578472222223</v>
      </c>
      <c r="B412">
        <v>6541201</v>
      </c>
      <c r="C412" t="s">
        <v>641</v>
      </c>
      <c r="D412" t="s">
        <v>537</v>
      </c>
      <c r="E412" s="2">
        <v>44344</v>
      </c>
      <c r="F412" t="str">
        <f>"9781000258271"</f>
        <v>9781000258271</v>
      </c>
      <c r="G412" t="str">
        <f>"9789814877435"</f>
        <v>9789814877435</v>
      </c>
      <c r="H412" t="s">
        <v>120</v>
      </c>
      <c r="I412">
        <v>620.5</v>
      </c>
      <c r="J412" t="s">
        <v>642</v>
      </c>
      <c r="K412" t="s">
        <v>55</v>
      </c>
      <c r="Q412" t="s">
        <v>47</v>
      </c>
      <c r="R412" t="s">
        <v>44</v>
      </c>
      <c r="S412">
        <v>0</v>
      </c>
      <c r="W412" s="3">
        <v>2.342592592592593E-2</v>
      </c>
      <c r="X412" t="s">
        <v>1151</v>
      </c>
      <c r="Y412">
        <v>8</v>
      </c>
      <c r="Z412">
        <v>0</v>
      </c>
      <c r="AA412" t="s">
        <v>49</v>
      </c>
      <c r="AB412">
        <v>0</v>
      </c>
      <c r="AC412" t="s">
        <v>49</v>
      </c>
      <c r="AD412">
        <v>0</v>
      </c>
      <c r="AE412">
        <v>-1</v>
      </c>
      <c r="AF412" t="s">
        <v>63</v>
      </c>
      <c r="AG412" t="s">
        <v>388</v>
      </c>
    </row>
    <row r="413" spans="1:33" x14ac:dyDescent="0.35">
      <c r="A413" s="1">
        <v>44900.568749999999</v>
      </c>
      <c r="B413">
        <v>6419765</v>
      </c>
      <c r="C413" t="s">
        <v>1152</v>
      </c>
      <c r="D413" t="s">
        <v>76</v>
      </c>
      <c r="E413" s="2">
        <v>43282</v>
      </c>
      <c r="F413" t="str">
        <f>"9781351031400"</f>
        <v>9781351031400</v>
      </c>
      <c r="G413" t="str">
        <f>"9781138492035"</f>
        <v>9781138492035</v>
      </c>
      <c r="H413" t="s">
        <v>546</v>
      </c>
      <c r="I413">
        <v>621.31213400000001</v>
      </c>
      <c r="J413" t="s">
        <v>1153</v>
      </c>
      <c r="K413" t="s">
        <v>55</v>
      </c>
      <c r="Q413" t="s">
        <v>47</v>
      </c>
      <c r="R413" t="s">
        <v>44</v>
      </c>
      <c r="S413">
        <v>0</v>
      </c>
      <c r="W413" s="3">
        <v>1.3888888888888889E-4</v>
      </c>
      <c r="X413" t="s">
        <v>1154</v>
      </c>
      <c r="Y413">
        <v>3</v>
      </c>
      <c r="Z413">
        <v>0</v>
      </c>
      <c r="AA413" t="s">
        <v>49</v>
      </c>
      <c r="AB413">
        <v>0</v>
      </c>
      <c r="AC413" t="s">
        <v>49</v>
      </c>
      <c r="AD413">
        <v>0</v>
      </c>
      <c r="AE413">
        <v>-1</v>
      </c>
      <c r="AF413" t="s">
        <v>50</v>
      </c>
      <c r="AG413" t="s">
        <v>1155</v>
      </c>
    </row>
    <row r="414" spans="1:33" x14ac:dyDescent="0.35">
      <c r="A414" s="1">
        <v>44900.561805555553</v>
      </c>
      <c r="B414">
        <v>4865107</v>
      </c>
      <c r="C414" t="s">
        <v>1053</v>
      </c>
      <c r="D414" t="s">
        <v>341</v>
      </c>
      <c r="E414" s="2">
        <v>42856</v>
      </c>
      <c r="F414" t="str">
        <f>"9781785335457"</f>
        <v>9781785335457</v>
      </c>
      <c r="G414" t="str">
        <f>"9781785335440"</f>
        <v>9781785335440</v>
      </c>
      <c r="H414" t="s">
        <v>667</v>
      </c>
      <c r="I414">
        <v>940.10720000000003</v>
      </c>
      <c r="J414" t="s">
        <v>1054</v>
      </c>
      <c r="K414" t="s">
        <v>44</v>
      </c>
      <c r="N414" t="s">
        <v>45</v>
      </c>
      <c r="O414" t="s">
        <v>46</v>
      </c>
      <c r="P414" t="s">
        <v>177</v>
      </c>
      <c r="Q414" t="s">
        <v>47</v>
      </c>
      <c r="R414" t="s">
        <v>55</v>
      </c>
      <c r="S414">
        <v>0</v>
      </c>
      <c r="W414" s="3">
        <v>5.0925925925925921E-4</v>
      </c>
      <c r="X414" t="s">
        <v>577</v>
      </c>
      <c r="Y414">
        <v>2</v>
      </c>
      <c r="Z414">
        <v>0</v>
      </c>
      <c r="AA414" t="s">
        <v>49</v>
      </c>
      <c r="AB414">
        <v>0</v>
      </c>
      <c r="AC414" t="s">
        <v>49</v>
      </c>
      <c r="AD414">
        <v>0</v>
      </c>
      <c r="AE414">
        <v>11391029</v>
      </c>
      <c r="AF414" t="s">
        <v>50</v>
      </c>
      <c r="AG414" t="s">
        <v>57</v>
      </c>
    </row>
    <row r="415" spans="1:33" x14ac:dyDescent="0.35">
      <c r="A415" s="1">
        <v>44900.540972222225</v>
      </c>
      <c r="B415">
        <v>1712401</v>
      </c>
      <c r="C415" t="s">
        <v>984</v>
      </c>
      <c r="D415" t="s">
        <v>125</v>
      </c>
      <c r="E415" s="2">
        <v>41865</v>
      </c>
      <c r="F415" t="str">
        <f>"9780199995691"</f>
        <v>9780199995691</v>
      </c>
      <c r="G415" t="str">
        <f>"9780199995684"</f>
        <v>9780199995684</v>
      </c>
      <c r="H415" t="s">
        <v>151</v>
      </c>
      <c r="I415">
        <v>616.89499999999998</v>
      </c>
      <c r="J415" t="s">
        <v>985</v>
      </c>
      <c r="K415" t="s">
        <v>44</v>
      </c>
      <c r="N415" t="s">
        <v>45</v>
      </c>
      <c r="O415" t="s">
        <v>46</v>
      </c>
      <c r="P415" t="s">
        <v>45</v>
      </c>
      <c r="Q415" t="s">
        <v>47</v>
      </c>
      <c r="R415" t="s">
        <v>44</v>
      </c>
      <c r="S415">
        <v>0</v>
      </c>
      <c r="W415" s="3">
        <v>2.3148148148148147E-5</v>
      </c>
      <c r="X415" t="s">
        <v>1025</v>
      </c>
      <c r="Y415">
        <v>1</v>
      </c>
      <c r="Z415">
        <v>0</v>
      </c>
      <c r="AA415" t="s">
        <v>49</v>
      </c>
      <c r="AB415">
        <v>0</v>
      </c>
      <c r="AC415" t="s">
        <v>49</v>
      </c>
      <c r="AD415">
        <v>0</v>
      </c>
      <c r="AE415">
        <v>10882711</v>
      </c>
      <c r="AF415" t="s">
        <v>50</v>
      </c>
      <c r="AG415" t="s">
        <v>57</v>
      </c>
    </row>
    <row r="416" spans="1:33" x14ac:dyDescent="0.35">
      <c r="A416" s="1">
        <v>44900.540277777778</v>
      </c>
      <c r="B416">
        <v>2084453</v>
      </c>
      <c r="C416" t="s">
        <v>1027</v>
      </c>
      <c r="D416" t="s">
        <v>125</v>
      </c>
      <c r="E416" s="2">
        <v>42226</v>
      </c>
      <c r="F416" t="str">
        <f>"9780190264321"</f>
        <v>9780190264321</v>
      </c>
      <c r="G416" t="str">
        <f>"9780190206185"</f>
        <v>9780190206185</v>
      </c>
      <c r="H416" t="s">
        <v>147</v>
      </c>
      <c r="I416">
        <v>616.85270000000003</v>
      </c>
      <c r="J416" t="s">
        <v>1028</v>
      </c>
      <c r="K416" t="s">
        <v>44</v>
      </c>
      <c r="N416" t="s">
        <v>45</v>
      </c>
      <c r="O416" t="s">
        <v>46</v>
      </c>
      <c r="P416" t="s">
        <v>45</v>
      </c>
      <c r="Q416" t="s">
        <v>47</v>
      </c>
      <c r="R416" t="s">
        <v>44</v>
      </c>
      <c r="S416">
        <v>0</v>
      </c>
      <c r="W416" s="3">
        <v>5.7870370370370366E-5</v>
      </c>
      <c r="X416" t="s">
        <v>1029</v>
      </c>
      <c r="Y416">
        <v>1</v>
      </c>
      <c r="Z416">
        <v>0</v>
      </c>
      <c r="AA416" t="s">
        <v>49</v>
      </c>
      <c r="AB416">
        <v>0</v>
      </c>
      <c r="AC416" t="s">
        <v>49</v>
      </c>
      <c r="AD416">
        <v>0</v>
      </c>
      <c r="AE416">
        <v>11071106</v>
      </c>
      <c r="AF416" t="s">
        <v>50</v>
      </c>
      <c r="AG416" t="s">
        <v>57</v>
      </c>
    </row>
    <row r="417" spans="1:33" x14ac:dyDescent="0.35">
      <c r="A417" s="1">
        <v>44900.519444444442</v>
      </c>
      <c r="B417">
        <v>6541201</v>
      </c>
      <c r="C417" t="s">
        <v>641</v>
      </c>
      <c r="D417" t="s">
        <v>537</v>
      </c>
      <c r="E417" s="2">
        <v>44344</v>
      </c>
      <c r="F417" t="str">
        <f>"9781000258271"</f>
        <v>9781000258271</v>
      </c>
      <c r="G417" t="str">
        <f>"9789814877435"</f>
        <v>9789814877435</v>
      </c>
      <c r="H417" t="s">
        <v>120</v>
      </c>
      <c r="I417">
        <v>620.5</v>
      </c>
      <c r="J417" t="s">
        <v>642</v>
      </c>
      <c r="K417" t="s">
        <v>55</v>
      </c>
      <c r="Q417" t="s">
        <v>47</v>
      </c>
      <c r="R417" t="s">
        <v>44</v>
      </c>
      <c r="S417">
        <v>0</v>
      </c>
      <c r="W417" s="3">
        <v>6.4814814814814813E-4</v>
      </c>
      <c r="X417" t="s">
        <v>1156</v>
      </c>
      <c r="Y417">
        <v>4</v>
      </c>
      <c r="Z417">
        <v>0</v>
      </c>
      <c r="AA417" t="s">
        <v>49</v>
      </c>
      <c r="AB417">
        <v>0</v>
      </c>
      <c r="AC417" t="s">
        <v>49</v>
      </c>
      <c r="AD417">
        <v>0</v>
      </c>
      <c r="AE417">
        <v>-1</v>
      </c>
      <c r="AF417" t="s">
        <v>63</v>
      </c>
      <c r="AG417" t="s">
        <v>388</v>
      </c>
    </row>
    <row r="418" spans="1:33" x14ac:dyDescent="0.35">
      <c r="A418" s="1">
        <v>44900.4375</v>
      </c>
      <c r="B418">
        <v>6533792</v>
      </c>
      <c r="C418" t="s">
        <v>1157</v>
      </c>
      <c r="D418" t="s">
        <v>59</v>
      </c>
      <c r="E418" s="2">
        <v>44313</v>
      </c>
      <c r="F418" t="str">
        <f>"9781119716396"</f>
        <v>9781119716396</v>
      </c>
      <c r="G418" t="str">
        <f>"9781119716389"</f>
        <v>9781119716389</v>
      </c>
      <c r="H418" t="s">
        <v>133</v>
      </c>
      <c r="I418">
        <v>338.92700000000002</v>
      </c>
      <c r="J418" t="s">
        <v>1158</v>
      </c>
      <c r="K418" t="s">
        <v>55</v>
      </c>
      <c r="Q418" t="s">
        <v>47</v>
      </c>
      <c r="R418" t="s">
        <v>44</v>
      </c>
      <c r="S418">
        <v>0</v>
      </c>
      <c r="W418" s="3">
        <v>8.6805555555555551E-4</v>
      </c>
      <c r="X418" t="s">
        <v>1159</v>
      </c>
      <c r="Y418">
        <v>14</v>
      </c>
      <c r="Z418">
        <v>0</v>
      </c>
      <c r="AA418" t="s">
        <v>49</v>
      </c>
      <c r="AB418">
        <v>0</v>
      </c>
      <c r="AC418" t="s">
        <v>49</v>
      </c>
      <c r="AD418">
        <v>0</v>
      </c>
      <c r="AE418">
        <v>-1</v>
      </c>
      <c r="AF418" t="s">
        <v>50</v>
      </c>
      <c r="AG418" t="s">
        <v>1160</v>
      </c>
    </row>
    <row r="419" spans="1:33" x14ac:dyDescent="0.35">
      <c r="A419" s="1">
        <v>44900.42291666667</v>
      </c>
      <c r="B419">
        <v>5520310</v>
      </c>
      <c r="C419" t="s">
        <v>313</v>
      </c>
      <c r="D419" t="s">
        <v>65</v>
      </c>
      <c r="E419" s="2">
        <v>43363</v>
      </c>
      <c r="F419" t="str">
        <f>"9780081020975"</f>
        <v>9780081020975</v>
      </c>
      <c r="G419" t="str">
        <f>"9780081020968"</f>
        <v>9780081020968</v>
      </c>
      <c r="H419" t="s">
        <v>314</v>
      </c>
      <c r="I419">
        <v>621.38152000000002</v>
      </c>
      <c r="J419" t="s">
        <v>315</v>
      </c>
      <c r="K419" t="s">
        <v>55</v>
      </c>
      <c r="Q419" t="s">
        <v>47</v>
      </c>
      <c r="R419" t="s">
        <v>44</v>
      </c>
      <c r="S419">
        <v>0</v>
      </c>
      <c r="W419" s="3">
        <v>8.9467592592592585E-3</v>
      </c>
      <c r="X419" t="s">
        <v>1161</v>
      </c>
      <c r="Y419">
        <v>35</v>
      </c>
      <c r="Z419">
        <v>0</v>
      </c>
      <c r="AA419" t="s">
        <v>49</v>
      </c>
      <c r="AB419">
        <v>0</v>
      </c>
      <c r="AC419" t="s">
        <v>49</v>
      </c>
      <c r="AD419">
        <v>0</v>
      </c>
      <c r="AE419">
        <v>-1</v>
      </c>
      <c r="AF419" t="s">
        <v>63</v>
      </c>
      <c r="AG419" t="s">
        <v>388</v>
      </c>
    </row>
    <row r="420" spans="1:33" x14ac:dyDescent="0.35">
      <c r="A420" s="1">
        <v>44900.418749999997</v>
      </c>
      <c r="B420">
        <v>408797</v>
      </c>
      <c r="C420" t="s">
        <v>818</v>
      </c>
      <c r="D420" t="s">
        <v>819</v>
      </c>
      <c r="E420" s="2">
        <v>39827</v>
      </c>
      <c r="F420" t="str">
        <f>"9780814412718"</f>
        <v>9780814412718</v>
      </c>
      <c r="G420" t="str">
        <f>"9780814410769"</f>
        <v>9780814410769</v>
      </c>
      <c r="H420" t="s">
        <v>60</v>
      </c>
      <c r="I420">
        <v>658.3</v>
      </c>
      <c r="J420" t="s">
        <v>820</v>
      </c>
      <c r="K420" t="s">
        <v>44</v>
      </c>
      <c r="N420" t="s">
        <v>45</v>
      </c>
      <c r="O420" t="s">
        <v>46</v>
      </c>
      <c r="P420" t="s">
        <v>45</v>
      </c>
      <c r="Q420" t="s">
        <v>47</v>
      </c>
      <c r="R420" t="s">
        <v>44</v>
      </c>
      <c r="S420">
        <v>0</v>
      </c>
      <c r="W420" s="3">
        <v>2.3368055555555555E-2</v>
      </c>
      <c r="X420" t="s">
        <v>1162</v>
      </c>
      <c r="Y420">
        <v>17</v>
      </c>
      <c r="Z420">
        <v>0</v>
      </c>
      <c r="AA420" t="s">
        <v>49</v>
      </c>
      <c r="AB420">
        <v>0</v>
      </c>
      <c r="AC420" t="s">
        <v>49</v>
      </c>
      <c r="AD420">
        <v>0</v>
      </c>
      <c r="AE420">
        <v>10271828</v>
      </c>
      <c r="AF420" t="s">
        <v>50</v>
      </c>
      <c r="AG420" t="s">
        <v>57</v>
      </c>
    </row>
    <row r="421" spans="1:33" x14ac:dyDescent="0.35">
      <c r="A421" s="1">
        <v>44900.415972222225</v>
      </c>
      <c r="B421">
        <v>5770090</v>
      </c>
      <c r="C421" t="s">
        <v>813</v>
      </c>
      <c r="D421" t="s">
        <v>814</v>
      </c>
      <c r="E421" s="2">
        <v>42303</v>
      </c>
      <c r="F421" t="str">
        <f>"9789351503866"</f>
        <v>9789351503866</v>
      </c>
      <c r="G421" t="str">
        <f>"9789351503873"</f>
        <v>9789351503873</v>
      </c>
      <c r="H421" t="s">
        <v>60</v>
      </c>
      <c r="I421" t="s">
        <v>815</v>
      </c>
      <c r="J421" t="s">
        <v>816</v>
      </c>
      <c r="K421" t="s">
        <v>44</v>
      </c>
      <c r="N421" t="s">
        <v>45</v>
      </c>
      <c r="O421" t="s">
        <v>46</v>
      </c>
      <c r="P421" t="s">
        <v>45</v>
      </c>
      <c r="Q421" t="s">
        <v>47</v>
      </c>
      <c r="R421" t="s">
        <v>44</v>
      </c>
      <c r="S421">
        <v>0</v>
      </c>
      <c r="W421" s="3">
        <v>8.3564814814814804E-3</v>
      </c>
      <c r="X421" t="s">
        <v>1163</v>
      </c>
      <c r="Y421">
        <v>6</v>
      </c>
      <c r="Z421">
        <v>0</v>
      </c>
      <c r="AA421" t="s">
        <v>49</v>
      </c>
      <c r="AB421">
        <v>0</v>
      </c>
      <c r="AC421" t="s">
        <v>49</v>
      </c>
      <c r="AD421">
        <v>0</v>
      </c>
      <c r="AE421">
        <v>-1</v>
      </c>
      <c r="AF421" t="s">
        <v>50</v>
      </c>
      <c r="AG421" t="s">
        <v>57</v>
      </c>
    </row>
    <row r="422" spans="1:33" x14ac:dyDescent="0.35">
      <c r="A422" s="1">
        <v>44900.383333333331</v>
      </c>
      <c r="B422">
        <v>6819967</v>
      </c>
      <c r="C422" t="s">
        <v>408</v>
      </c>
      <c r="D422" t="s">
        <v>213</v>
      </c>
      <c r="E422" s="2">
        <v>44529</v>
      </c>
      <c r="F422" t="str">
        <f>"9780323859288"</f>
        <v>9780323859288</v>
      </c>
      <c r="G422" t="str">
        <f>"9780128243442"</f>
        <v>9780128243442</v>
      </c>
      <c r="H422" t="s">
        <v>261</v>
      </c>
      <c r="I422">
        <v>628.41999999999996</v>
      </c>
      <c r="J422" t="s">
        <v>409</v>
      </c>
      <c r="K422" t="s">
        <v>55</v>
      </c>
      <c r="Q422" t="s">
        <v>47</v>
      </c>
      <c r="R422" t="s">
        <v>44</v>
      </c>
      <c r="S422">
        <v>0</v>
      </c>
      <c r="W422" s="3">
        <v>4.1319444444444442E-3</v>
      </c>
      <c r="X422" t="s">
        <v>1164</v>
      </c>
      <c r="Y422">
        <v>24</v>
      </c>
      <c r="Z422">
        <v>0</v>
      </c>
      <c r="AA422" t="s">
        <v>49</v>
      </c>
      <c r="AB422">
        <v>0</v>
      </c>
      <c r="AC422" t="s">
        <v>49</v>
      </c>
      <c r="AD422">
        <v>0</v>
      </c>
      <c r="AE422">
        <v>-1</v>
      </c>
      <c r="AF422" t="s">
        <v>50</v>
      </c>
      <c r="AG422" t="s">
        <v>1160</v>
      </c>
    </row>
    <row r="423" spans="1:33" x14ac:dyDescent="0.35">
      <c r="A423" s="1">
        <v>44900.347222222219</v>
      </c>
      <c r="B423">
        <v>264884</v>
      </c>
      <c r="C423" t="s">
        <v>1165</v>
      </c>
      <c r="D423" t="s">
        <v>1166</v>
      </c>
      <c r="E423" s="2">
        <v>40585</v>
      </c>
      <c r="F423" t="str">
        <f>"9780387260167"</f>
        <v>9780387260167</v>
      </c>
      <c r="G423" t="str">
        <f>"9780387258003"</f>
        <v>9780387258003</v>
      </c>
      <c r="H423" t="s">
        <v>1167</v>
      </c>
      <c r="I423">
        <v>502.82499999999999</v>
      </c>
      <c r="J423" t="s">
        <v>1168</v>
      </c>
      <c r="K423" t="s">
        <v>55</v>
      </c>
      <c r="N423" t="s">
        <v>79</v>
      </c>
      <c r="P423" t="s">
        <v>1169</v>
      </c>
      <c r="Q423" t="s">
        <v>47</v>
      </c>
      <c r="R423" t="s">
        <v>44</v>
      </c>
      <c r="S423">
        <v>0</v>
      </c>
      <c r="W423" s="3">
        <v>8.449074074074075E-4</v>
      </c>
      <c r="X423" t="s">
        <v>1170</v>
      </c>
      <c r="Y423">
        <v>21</v>
      </c>
      <c r="Z423">
        <v>0</v>
      </c>
      <c r="AA423" t="s">
        <v>49</v>
      </c>
      <c r="AB423">
        <v>0</v>
      </c>
      <c r="AC423" t="s">
        <v>49</v>
      </c>
      <c r="AD423">
        <v>0</v>
      </c>
      <c r="AE423">
        <v>10129978</v>
      </c>
      <c r="AF423" t="s">
        <v>50</v>
      </c>
      <c r="AG423" t="s">
        <v>637</v>
      </c>
    </row>
    <row r="424" spans="1:33" x14ac:dyDescent="0.35">
      <c r="A424" s="1">
        <v>44900.337500000001</v>
      </c>
      <c r="B424">
        <v>477712</v>
      </c>
      <c r="C424" t="s">
        <v>1171</v>
      </c>
      <c r="D424" t="s">
        <v>59</v>
      </c>
      <c r="E424" s="2">
        <v>40156</v>
      </c>
      <c r="F424" t="str">
        <f>"9780470508176"</f>
        <v>9780470508176</v>
      </c>
      <c r="G424" t="str">
        <f>"9780470167540"</f>
        <v>9780470167540</v>
      </c>
      <c r="H424" t="s">
        <v>1040</v>
      </c>
      <c r="I424">
        <v>543.84</v>
      </c>
      <c r="J424" t="s">
        <v>1172</v>
      </c>
      <c r="K424" t="s">
        <v>55</v>
      </c>
      <c r="N424" t="s">
        <v>79</v>
      </c>
      <c r="P424" t="s">
        <v>80</v>
      </c>
      <c r="Q424" t="s">
        <v>47</v>
      </c>
      <c r="R424" t="s">
        <v>44</v>
      </c>
      <c r="S424">
        <v>0</v>
      </c>
      <c r="W424" s="3">
        <v>1.1226851851851851E-3</v>
      </c>
      <c r="X424" t="s">
        <v>1173</v>
      </c>
      <c r="Y424">
        <v>10</v>
      </c>
      <c r="Z424">
        <v>0</v>
      </c>
      <c r="AA424" t="s">
        <v>49</v>
      </c>
      <c r="AB424">
        <v>0</v>
      </c>
      <c r="AC424" t="s">
        <v>49</v>
      </c>
      <c r="AD424">
        <v>0</v>
      </c>
      <c r="AE424">
        <v>10358830</v>
      </c>
      <c r="AF424" t="s">
        <v>50</v>
      </c>
      <c r="AG424" t="s">
        <v>637</v>
      </c>
    </row>
    <row r="425" spans="1:33" x14ac:dyDescent="0.35">
      <c r="A425" s="1">
        <v>44900.331944444442</v>
      </c>
      <c r="B425">
        <v>1023279</v>
      </c>
      <c r="C425" t="s">
        <v>1174</v>
      </c>
      <c r="D425" t="s">
        <v>213</v>
      </c>
      <c r="E425" s="2">
        <v>41241</v>
      </c>
      <c r="F425" t="str">
        <f>"9780123850140"</f>
        <v>9780123850140</v>
      </c>
      <c r="G425" t="str">
        <f>"9780123850133"</f>
        <v>9780123850133</v>
      </c>
      <c r="H425" t="s">
        <v>1112</v>
      </c>
      <c r="I425" t="s">
        <v>1175</v>
      </c>
      <c r="J425" t="s">
        <v>1176</v>
      </c>
      <c r="K425" t="s">
        <v>44</v>
      </c>
      <c r="N425" t="s">
        <v>45</v>
      </c>
      <c r="O425" t="s">
        <v>46</v>
      </c>
      <c r="P425" t="s">
        <v>45</v>
      </c>
      <c r="Q425" t="s">
        <v>47</v>
      </c>
      <c r="R425" t="s">
        <v>44</v>
      </c>
      <c r="S425">
        <v>0</v>
      </c>
      <c r="W425" s="3">
        <v>2.199074074074074E-4</v>
      </c>
      <c r="X425" t="s">
        <v>1177</v>
      </c>
      <c r="Y425">
        <v>2</v>
      </c>
      <c r="Z425">
        <v>0</v>
      </c>
      <c r="AA425" t="s">
        <v>49</v>
      </c>
      <c r="AB425">
        <v>0</v>
      </c>
      <c r="AC425" t="s">
        <v>49</v>
      </c>
      <c r="AD425">
        <v>0</v>
      </c>
      <c r="AE425">
        <v>10602448</v>
      </c>
      <c r="AF425" t="s">
        <v>50</v>
      </c>
      <c r="AG425" t="s">
        <v>637</v>
      </c>
    </row>
    <row r="426" spans="1:33" x14ac:dyDescent="0.35">
      <c r="A426" s="1">
        <v>44900.325694444444</v>
      </c>
      <c r="B426">
        <v>4461563</v>
      </c>
      <c r="C426" t="s">
        <v>1178</v>
      </c>
      <c r="D426" t="s">
        <v>59</v>
      </c>
      <c r="E426" s="2">
        <v>42464</v>
      </c>
      <c r="F426" t="str">
        <f>"9781118753842"</f>
        <v>9781118753842</v>
      </c>
      <c r="G426" t="str">
        <f>"9781118753460"</f>
        <v>9781118753460</v>
      </c>
      <c r="H426" t="s">
        <v>95</v>
      </c>
      <c r="I426" t="s">
        <v>1179</v>
      </c>
      <c r="J426" t="s">
        <v>1180</v>
      </c>
      <c r="K426" t="s">
        <v>44</v>
      </c>
      <c r="N426" t="s">
        <v>45</v>
      </c>
      <c r="O426" t="s">
        <v>46</v>
      </c>
      <c r="P426" t="s">
        <v>45</v>
      </c>
      <c r="Q426" t="s">
        <v>47</v>
      </c>
      <c r="R426" t="s">
        <v>44</v>
      </c>
      <c r="S426">
        <v>0</v>
      </c>
      <c r="W426" s="3">
        <v>3.0208333333333333E-3</v>
      </c>
      <c r="X426" t="s">
        <v>1181</v>
      </c>
      <c r="Y426">
        <v>63</v>
      </c>
      <c r="Z426">
        <v>0</v>
      </c>
      <c r="AA426" t="s">
        <v>49</v>
      </c>
      <c r="AB426">
        <v>0</v>
      </c>
      <c r="AC426" t="s">
        <v>49</v>
      </c>
      <c r="AD426">
        <v>0</v>
      </c>
      <c r="AE426">
        <v>11188043</v>
      </c>
      <c r="AF426" t="s">
        <v>50</v>
      </c>
      <c r="AG426" t="s">
        <v>637</v>
      </c>
    </row>
    <row r="427" spans="1:33" x14ac:dyDescent="0.35">
      <c r="A427" s="1">
        <v>44900.230555555558</v>
      </c>
      <c r="B427">
        <v>5770090</v>
      </c>
      <c r="C427" t="s">
        <v>813</v>
      </c>
      <c r="D427" t="s">
        <v>814</v>
      </c>
      <c r="E427" s="2">
        <v>42303</v>
      </c>
      <c r="F427" t="str">
        <f>"9789351503866"</f>
        <v>9789351503866</v>
      </c>
      <c r="G427" t="str">
        <f>"9789351503873"</f>
        <v>9789351503873</v>
      </c>
      <c r="H427" t="s">
        <v>60</v>
      </c>
      <c r="I427" t="s">
        <v>815</v>
      </c>
      <c r="J427" t="s">
        <v>816</v>
      </c>
      <c r="K427" t="s">
        <v>44</v>
      </c>
      <c r="N427" t="s">
        <v>45</v>
      </c>
      <c r="O427" t="s">
        <v>46</v>
      </c>
      <c r="P427" t="s">
        <v>45</v>
      </c>
      <c r="Q427" t="s">
        <v>47</v>
      </c>
      <c r="R427" t="s">
        <v>44</v>
      </c>
      <c r="S427">
        <v>0</v>
      </c>
      <c r="W427" s="3">
        <v>8.6805555555555559E-3</v>
      </c>
      <c r="X427" t="s">
        <v>1182</v>
      </c>
      <c r="Y427">
        <v>7</v>
      </c>
      <c r="Z427">
        <v>0</v>
      </c>
      <c r="AA427" t="s">
        <v>49</v>
      </c>
      <c r="AB427">
        <v>0</v>
      </c>
      <c r="AC427" t="s">
        <v>1183</v>
      </c>
      <c r="AD427">
        <v>1</v>
      </c>
      <c r="AE427">
        <v>-1</v>
      </c>
      <c r="AF427" t="s">
        <v>50</v>
      </c>
      <c r="AG427" t="s">
        <v>57</v>
      </c>
    </row>
    <row r="428" spans="1:33" x14ac:dyDescent="0.35">
      <c r="A428" s="1">
        <v>44900.229861111111</v>
      </c>
      <c r="B428">
        <v>408797</v>
      </c>
      <c r="C428" t="s">
        <v>818</v>
      </c>
      <c r="D428" t="s">
        <v>819</v>
      </c>
      <c r="E428" s="2">
        <v>39827</v>
      </c>
      <c r="F428" t="str">
        <f>"9780814412718"</f>
        <v>9780814412718</v>
      </c>
      <c r="G428" t="str">
        <f>"9780814410769"</f>
        <v>9780814410769</v>
      </c>
      <c r="H428" t="s">
        <v>60</v>
      </c>
      <c r="I428">
        <v>658.3</v>
      </c>
      <c r="J428" t="s">
        <v>820</v>
      </c>
      <c r="K428" t="s">
        <v>44</v>
      </c>
      <c r="N428" t="s">
        <v>45</v>
      </c>
      <c r="O428" t="s">
        <v>46</v>
      </c>
      <c r="P428" t="s">
        <v>45</v>
      </c>
      <c r="Q428" t="s">
        <v>47</v>
      </c>
      <c r="R428" t="s">
        <v>44</v>
      </c>
      <c r="S428">
        <v>0</v>
      </c>
      <c r="W428" s="3">
        <v>1.2499999999999999E-2</v>
      </c>
      <c r="X428" t="s">
        <v>1184</v>
      </c>
      <c r="Y428">
        <v>22</v>
      </c>
      <c r="Z428">
        <v>0</v>
      </c>
      <c r="AA428" t="s">
        <v>49</v>
      </c>
      <c r="AB428">
        <v>0</v>
      </c>
      <c r="AC428" t="s">
        <v>49</v>
      </c>
      <c r="AD428">
        <v>0</v>
      </c>
      <c r="AE428">
        <v>10271828</v>
      </c>
      <c r="AF428" t="s">
        <v>50</v>
      </c>
      <c r="AG428" t="s">
        <v>57</v>
      </c>
    </row>
    <row r="429" spans="1:33" x14ac:dyDescent="0.35">
      <c r="A429" s="1">
        <v>44900.206250000003</v>
      </c>
      <c r="B429">
        <v>5770090</v>
      </c>
      <c r="C429" t="s">
        <v>813</v>
      </c>
      <c r="D429" t="s">
        <v>814</v>
      </c>
      <c r="E429" s="2">
        <v>42303</v>
      </c>
      <c r="F429" t="str">
        <f>"9789351503866"</f>
        <v>9789351503866</v>
      </c>
      <c r="G429" t="str">
        <f>"9789351503873"</f>
        <v>9789351503873</v>
      </c>
      <c r="H429" t="s">
        <v>60</v>
      </c>
      <c r="I429" t="s">
        <v>815</v>
      </c>
      <c r="J429" t="s">
        <v>816</v>
      </c>
      <c r="K429" t="s">
        <v>44</v>
      </c>
      <c r="N429" t="s">
        <v>45</v>
      </c>
      <c r="O429" t="s">
        <v>46</v>
      </c>
      <c r="P429" t="s">
        <v>45</v>
      </c>
      <c r="Q429" t="s">
        <v>47</v>
      </c>
      <c r="R429" t="s">
        <v>44</v>
      </c>
      <c r="S429">
        <v>0</v>
      </c>
      <c r="W429" s="3">
        <v>4.6296296296296294E-5</v>
      </c>
      <c r="X429" t="s">
        <v>121</v>
      </c>
      <c r="Y429">
        <v>1</v>
      </c>
      <c r="Z429">
        <v>0</v>
      </c>
      <c r="AA429" t="s">
        <v>49</v>
      </c>
      <c r="AB429">
        <v>0</v>
      </c>
      <c r="AC429" t="s">
        <v>49</v>
      </c>
      <c r="AD429">
        <v>0</v>
      </c>
      <c r="AE429">
        <v>-1</v>
      </c>
      <c r="AF429" t="s">
        <v>50</v>
      </c>
      <c r="AG429" t="s">
        <v>57</v>
      </c>
    </row>
    <row r="430" spans="1:33" x14ac:dyDescent="0.35">
      <c r="A430" s="1">
        <v>44900.206250000003</v>
      </c>
      <c r="B430">
        <v>408797</v>
      </c>
      <c r="C430" t="s">
        <v>818</v>
      </c>
      <c r="D430" t="s">
        <v>819</v>
      </c>
      <c r="E430" s="2">
        <v>39827</v>
      </c>
      <c r="F430" t="str">
        <f>"9780814412718"</f>
        <v>9780814412718</v>
      </c>
      <c r="G430" t="str">
        <f>"9780814410769"</f>
        <v>9780814410769</v>
      </c>
      <c r="H430" t="s">
        <v>60</v>
      </c>
      <c r="I430">
        <v>658.3</v>
      </c>
      <c r="J430" t="s">
        <v>820</v>
      </c>
      <c r="K430" t="s">
        <v>44</v>
      </c>
      <c r="N430" t="s">
        <v>45</v>
      </c>
      <c r="O430" t="s">
        <v>46</v>
      </c>
      <c r="P430" t="s">
        <v>45</v>
      </c>
      <c r="Q430" t="s">
        <v>47</v>
      </c>
      <c r="R430" t="s">
        <v>44</v>
      </c>
      <c r="S430">
        <v>0</v>
      </c>
      <c r="W430" s="3">
        <v>3.4722222222222222E-5</v>
      </c>
      <c r="X430" t="s">
        <v>113</v>
      </c>
      <c r="Y430">
        <v>2</v>
      </c>
      <c r="Z430">
        <v>0</v>
      </c>
      <c r="AA430" t="s">
        <v>49</v>
      </c>
      <c r="AB430">
        <v>0</v>
      </c>
      <c r="AC430" t="s">
        <v>49</v>
      </c>
      <c r="AD430">
        <v>0</v>
      </c>
      <c r="AE430">
        <v>10271828</v>
      </c>
      <c r="AF430" t="s">
        <v>50</v>
      </c>
      <c r="AG430" t="s">
        <v>57</v>
      </c>
    </row>
    <row r="431" spans="1:33" x14ac:dyDescent="0.35">
      <c r="A431" s="1">
        <v>44900.15902777778</v>
      </c>
      <c r="B431">
        <v>3441718</v>
      </c>
      <c r="C431" t="s">
        <v>1185</v>
      </c>
      <c r="D431" t="s">
        <v>1068</v>
      </c>
      <c r="E431" s="2">
        <v>41411</v>
      </c>
      <c r="F431" t="str">
        <f>"9780812204612"</f>
        <v>9780812204612</v>
      </c>
      <c r="G431" t="str">
        <f>"9780812221428"</f>
        <v>9780812221428</v>
      </c>
      <c r="H431" t="s">
        <v>1186</v>
      </c>
      <c r="I431" t="s">
        <v>1187</v>
      </c>
      <c r="J431" t="s">
        <v>1188</v>
      </c>
      <c r="K431" t="s">
        <v>44</v>
      </c>
      <c r="N431" t="s">
        <v>45</v>
      </c>
      <c r="O431" t="s">
        <v>46</v>
      </c>
      <c r="P431" t="s">
        <v>45</v>
      </c>
      <c r="Q431" t="s">
        <v>47</v>
      </c>
      <c r="R431" t="s">
        <v>44</v>
      </c>
      <c r="S431">
        <v>0</v>
      </c>
      <c r="W431" s="3">
        <v>5.7870370370370378E-4</v>
      </c>
      <c r="X431" t="s">
        <v>1189</v>
      </c>
      <c r="Y431">
        <v>9</v>
      </c>
      <c r="Z431">
        <v>0</v>
      </c>
      <c r="AA431" t="s">
        <v>49</v>
      </c>
      <c r="AB431">
        <v>0</v>
      </c>
      <c r="AC431" t="s">
        <v>49</v>
      </c>
      <c r="AD431">
        <v>0</v>
      </c>
      <c r="AE431">
        <v>10641553</v>
      </c>
      <c r="AF431" t="s">
        <v>50</v>
      </c>
      <c r="AG431" t="s">
        <v>1190</v>
      </c>
    </row>
    <row r="432" spans="1:33" x14ac:dyDescent="0.35">
      <c r="A432" s="1">
        <v>44900.090277777781</v>
      </c>
      <c r="B432">
        <v>5770090</v>
      </c>
      <c r="C432" t="s">
        <v>813</v>
      </c>
      <c r="D432" t="s">
        <v>814</v>
      </c>
      <c r="E432" s="2">
        <v>42303</v>
      </c>
      <c r="F432" t="str">
        <f>"9789351503866"</f>
        <v>9789351503866</v>
      </c>
      <c r="G432" t="str">
        <f>"9789351503873"</f>
        <v>9789351503873</v>
      </c>
      <c r="H432" t="s">
        <v>60</v>
      </c>
      <c r="I432" t="s">
        <v>815</v>
      </c>
      <c r="J432" t="s">
        <v>816</v>
      </c>
      <c r="K432" t="s">
        <v>44</v>
      </c>
      <c r="N432" t="s">
        <v>45</v>
      </c>
      <c r="O432" t="s">
        <v>46</v>
      </c>
      <c r="P432" t="s">
        <v>45</v>
      </c>
      <c r="Q432" t="s">
        <v>47</v>
      </c>
      <c r="R432" t="s">
        <v>44</v>
      </c>
      <c r="S432">
        <v>0</v>
      </c>
      <c r="W432" s="3">
        <v>2.3148148148148147E-5</v>
      </c>
      <c r="X432" t="s">
        <v>121</v>
      </c>
      <c r="Y432">
        <v>1</v>
      </c>
      <c r="Z432">
        <v>0</v>
      </c>
      <c r="AA432" t="s">
        <v>49</v>
      </c>
      <c r="AB432">
        <v>0</v>
      </c>
      <c r="AC432" t="s">
        <v>49</v>
      </c>
      <c r="AD432">
        <v>0</v>
      </c>
      <c r="AE432">
        <v>-1</v>
      </c>
      <c r="AF432" t="s">
        <v>50</v>
      </c>
      <c r="AG432" t="s">
        <v>57</v>
      </c>
    </row>
    <row r="433" spans="1:33" x14ac:dyDescent="0.35">
      <c r="A433" s="1">
        <v>44900.090277777781</v>
      </c>
      <c r="B433">
        <v>5770090</v>
      </c>
      <c r="C433" t="s">
        <v>813</v>
      </c>
      <c r="D433" t="s">
        <v>814</v>
      </c>
      <c r="E433" s="2">
        <v>42303</v>
      </c>
      <c r="F433" t="str">
        <f>"9789351503866"</f>
        <v>9789351503866</v>
      </c>
      <c r="G433" t="str">
        <f>"9789351503873"</f>
        <v>9789351503873</v>
      </c>
      <c r="H433" t="s">
        <v>60</v>
      </c>
      <c r="I433" t="s">
        <v>815</v>
      </c>
      <c r="J433" t="s">
        <v>816</v>
      </c>
      <c r="K433" t="s">
        <v>44</v>
      </c>
      <c r="N433" t="s">
        <v>45</v>
      </c>
      <c r="O433" t="s">
        <v>46</v>
      </c>
      <c r="P433" t="s">
        <v>45</v>
      </c>
      <c r="Q433" t="s">
        <v>47</v>
      </c>
      <c r="R433" t="s">
        <v>44</v>
      </c>
      <c r="S433">
        <v>0</v>
      </c>
      <c r="W433" s="3">
        <v>0</v>
      </c>
      <c r="X433" t="s">
        <v>49</v>
      </c>
      <c r="Y433">
        <v>0</v>
      </c>
      <c r="Z433">
        <v>0</v>
      </c>
      <c r="AA433" t="s">
        <v>49</v>
      </c>
      <c r="AB433">
        <v>0</v>
      </c>
      <c r="AC433" t="s">
        <v>49</v>
      </c>
      <c r="AD433">
        <v>0</v>
      </c>
      <c r="AE433">
        <v>-1</v>
      </c>
      <c r="AF433" t="s">
        <v>50</v>
      </c>
      <c r="AG433" t="s">
        <v>57</v>
      </c>
    </row>
    <row r="434" spans="1:33" x14ac:dyDescent="0.35">
      <c r="A434" s="1">
        <v>44900.074305555558</v>
      </c>
      <c r="B434">
        <v>1209902</v>
      </c>
      <c r="C434" t="s">
        <v>700</v>
      </c>
      <c r="D434" t="s">
        <v>71</v>
      </c>
      <c r="E434" s="2">
        <v>36312</v>
      </c>
      <c r="F434" t="str">
        <f>"9789812774903"</f>
        <v>9789812774903</v>
      </c>
      <c r="G434" t="str">
        <f>"9789810237813"</f>
        <v>9789810237813</v>
      </c>
      <c r="H434" t="s">
        <v>701</v>
      </c>
      <c r="I434">
        <v>502</v>
      </c>
      <c r="J434" t="s">
        <v>702</v>
      </c>
      <c r="K434" t="s">
        <v>44</v>
      </c>
      <c r="N434" t="s">
        <v>45</v>
      </c>
      <c r="O434" t="s">
        <v>46</v>
      </c>
      <c r="P434" t="s">
        <v>45</v>
      </c>
      <c r="Q434" t="s">
        <v>47</v>
      </c>
      <c r="R434" t="s">
        <v>44</v>
      </c>
      <c r="S434">
        <v>0</v>
      </c>
      <c r="W434" s="3">
        <v>1.4930555555555556E-3</v>
      </c>
      <c r="X434" t="s">
        <v>1191</v>
      </c>
      <c r="Y434">
        <v>8</v>
      </c>
      <c r="Z434">
        <v>0</v>
      </c>
      <c r="AA434" t="s">
        <v>49</v>
      </c>
      <c r="AB434">
        <v>0</v>
      </c>
      <c r="AC434" t="s">
        <v>1192</v>
      </c>
      <c r="AD434">
        <v>1</v>
      </c>
      <c r="AE434">
        <v>10201183</v>
      </c>
      <c r="AF434" t="s">
        <v>50</v>
      </c>
      <c r="AG434" t="s">
        <v>388</v>
      </c>
    </row>
    <row r="435" spans="1:33" x14ac:dyDescent="0.35">
      <c r="A435" s="1">
        <v>44900.070833333331</v>
      </c>
      <c r="B435">
        <v>5975329</v>
      </c>
      <c r="C435" t="s">
        <v>1193</v>
      </c>
      <c r="D435" t="s">
        <v>76</v>
      </c>
      <c r="E435" s="2">
        <v>43789</v>
      </c>
      <c r="F435" t="str">
        <f>"9781351123334"</f>
        <v>9781351123334</v>
      </c>
      <c r="G435" t="str">
        <f>"9780815357988"</f>
        <v>9780815357988</v>
      </c>
      <c r="H435" t="s">
        <v>244</v>
      </c>
      <c r="I435" t="s">
        <v>1194</v>
      </c>
      <c r="J435" t="s">
        <v>1195</v>
      </c>
      <c r="K435" t="s">
        <v>55</v>
      </c>
      <c r="Q435" t="s">
        <v>47</v>
      </c>
      <c r="R435" t="s">
        <v>44</v>
      </c>
      <c r="S435">
        <v>0</v>
      </c>
      <c r="W435" s="3">
        <v>3.0671296296296297E-3</v>
      </c>
      <c r="X435" t="s">
        <v>1196</v>
      </c>
      <c r="Y435">
        <v>16</v>
      </c>
      <c r="Z435">
        <v>0</v>
      </c>
      <c r="AA435" t="s">
        <v>49</v>
      </c>
      <c r="AB435">
        <v>0</v>
      </c>
      <c r="AC435" t="s">
        <v>49</v>
      </c>
      <c r="AD435">
        <v>0</v>
      </c>
      <c r="AE435">
        <v>-1</v>
      </c>
      <c r="AF435" t="s">
        <v>50</v>
      </c>
      <c r="AG435" t="s">
        <v>57</v>
      </c>
    </row>
    <row r="436" spans="1:33" x14ac:dyDescent="0.35">
      <c r="A436" s="1">
        <v>44900.047222222223</v>
      </c>
      <c r="B436">
        <v>253646</v>
      </c>
      <c r="C436" t="s">
        <v>1197</v>
      </c>
      <c r="D436" t="s">
        <v>473</v>
      </c>
      <c r="E436" s="2">
        <v>37599</v>
      </c>
      <c r="F436" t="str">
        <f>"9789047401520"</f>
        <v>9789047401520</v>
      </c>
      <c r="G436" t="str">
        <f>"9789004125810"</f>
        <v>9789004125810</v>
      </c>
      <c r="H436" t="s">
        <v>1046</v>
      </c>
      <c r="I436" t="s">
        <v>1198</v>
      </c>
      <c r="J436" t="s">
        <v>1199</v>
      </c>
      <c r="K436" t="s">
        <v>44</v>
      </c>
      <c r="N436" t="s">
        <v>45</v>
      </c>
      <c r="O436" t="s">
        <v>46</v>
      </c>
      <c r="P436" t="s">
        <v>45</v>
      </c>
      <c r="Q436" t="s">
        <v>47</v>
      </c>
      <c r="R436" t="s">
        <v>44</v>
      </c>
      <c r="S436">
        <v>0</v>
      </c>
      <c r="W436" s="3">
        <v>1.1759259259259259E-2</v>
      </c>
      <c r="X436" t="s">
        <v>1200</v>
      </c>
      <c r="Y436">
        <v>17</v>
      </c>
      <c r="Z436">
        <v>0</v>
      </c>
      <c r="AA436" t="s">
        <v>49</v>
      </c>
      <c r="AB436">
        <v>0</v>
      </c>
      <c r="AC436" t="s">
        <v>49</v>
      </c>
      <c r="AD436">
        <v>0</v>
      </c>
      <c r="AE436">
        <v>10089117</v>
      </c>
      <c r="AF436" t="s">
        <v>50</v>
      </c>
      <c r="AG436" t="s">
        <v>1190</v>
      </c>
    </row>
    <row r="437" spans="1:33" x14ac:dyDescent="0.35">
      <c r="A437" s="1">
        <v>44900.034722222219</v>
      </c>
      <c r="B437">
        <v>3301358</v>
      </c>
      <c r="C437" t="s">
        <v>1201</v>
      </c>
      <c r="D437" t="s">
        <v>1202</v>
      </c>
      <c r="E437" s="2">
        <v>41590</v>
      </c>
      <c r="F437" t="str">
        <f>"9780674726338"</f>
        <v>9780674726338</v>
      </c>
      <c r="G437" t="str">
        <f>"9780674725164"</f>
        <v>9780674725164</v>
      </c>
      <c r="H437" t="s">
        <v>1046</v>
      </c>
      <c r="I437" t="s">
        <v>1203</v>
      </c>
      <c r="J437" t="s">
        <v>1204</v>
      </c>
      <c r="K437" t="s">
        <v>44</v>
      </c>
      <c r="N437" t="s">
        <v>45</v>
      </c>
      <c r="O437" t="s">
        <v>46</v>
      </c>
      <c r="P437" t="s">
        <v>177</v>
      </c>
      <c r="Q437" t="s">
        <v>47</v>
      </c>
      <c r="R437" t="s">
        <v>55</v>
      </c>
      <c r="S437">
        <v>0</v>
      </c>
      <c r="W437" s="3">
        <v>1.2280092592592592E-2</v>
      </c>
      <c r="X437" t="s">
        <v>1205</v>
      </c>
      <c r="Y437">
        <v>35</v>
      </c>
      <c r="Z437">
        <v>0</v>
      </c>
      <c r="AA437" t="s">
        <v>49</v>
      </c>
      <c r="AB437">
        <v>0</v>
      </c>
      <c r="AC437" t="s">
        <v>49</v>
      </c>
      <c r="AD437">
        <v>0</v>
      </c>
      <c r="AE437">
        <v>10791248</v>
      </c>
      <c r="AF437" t="s">
        <v>50</v>
      </c>
      <c r="AG437" t="s">
        <v>1190</v>
      </c>
    </row>
    <row r="438" spans="1:33" x14ac:dyDescent="0.35">
      <c r="A438" s="1">
        <v>44900.03402777778</v>
      </c>
      <c r="B438">
        <v>1611875</v>
      </c>
      <c r="C438" t="s">
        <v>1206</v>
      </c>
      <c r="D438" t="s">
        <v>1207</v>
      </c>
      <c r="E438" s="2">
        <v>41638</v>
      </c>
      <c r="F438" t="str">
        <f>"9781447307099"</f>
        <v>9781447307099</v>
      </c>
      <c r="G438" t="str">
        <f>"9781447307082"</f>
        <v>9781447307082</v>
      </c>
      <c r="H438" t="s">
        <v>1046</v>
      </c>
      <c r="I438">
        <v>362.84071499999999</v>
      </c>
      <c r="J438" t="s">
        <v>1208</v>
      </c>
      <c r="K438" t="s">
        <v>44</v>
      </c>
      <c r="N438" t="s">
        <v>45</v>
      </c>
      <c r="O438" t="s">
        <v>46</v>
      </c>
      <c r="P438" t="s">
        <v>177</v>
      </c>
      <c r="Q438" t="s">
        <v>47</v>
      </c>
      <c r="R438" t="s">
        <v>55</v>
      </c>
      <c r="S438">
        <v>0</v>
      </c>
      <c r="W438" s="3">
        <v>8.1018518518518516E-5</v>
      </c>
      <c r="X438" t="s">
        <v>205</v>
      </c>
      <c r="Y438">
        <v>2</v>
      </c>
      <c r="Z438">
        <v>0</v>
      </c>
      <c r="AA438" t="s">
        <v>49</v>
      </c>
      <c r="AB438">
        <v>0</v>
      </c>
      <c r="AC438" t="s">
        <v>49</v>
      </c>
      <c r="AD438">
        <v>0</v>
      </c>
      <c r="AE438">
        <v>10821764</v>
      </c>
      <c r="AF438" t="s">
        <v>50</v>
      </c>
      <c r="AG438" t="s">
        <v>1190</v>
      </c>
    </row>
    <row r="439" spans="1:33" x14ac:dyDescent="0.35">
      <c r="A439" s="1">
        <v>44900.032638888886</v>
      </c>
      <c r="B439">
        <v>1969978</v>
      </c>
      <c r="C439" t="s">
        <v>809</v>
      </c>
      <c r="D439" t="s">
        <v>810</v>
      </c>
      <c r="E439" s="2">
        <v>42154</v>
      </c>
      <c r="F439" t="str">
        <f>"9781627080804"</f>
        <v>9781627080804</v>
      </c>
      <c r="G439" t="str">
        <f>"9781627080798"</f>
        <v>9781627080798</v>
      </c>
      <c r="H439" t="s">
        <v>811</v>
      </c>
      <c r="K439" t="s">
        <v>44</v>
      </c>
      <c r="N439" t="s">
        <v>45</v>
      </c>
      <c r="O439" t="s">
        <v>46</v>
      </c>
      <c r="P439" t="s">
        <v>45</v>
      </c>
      <c r="Q439" t="s">
        <v>47</v>
      </c>
      <c r="R439" t="s">
        <v>44</v>
      </c>
      <c r="S439">
        <v>0</v>
      </c>
      <c r="W439" s="3">
        <v>9.8148148148148144E-3</v>
      </c>
      <c r="X439" t="s">
        <v>1209</v>
      </c>
      <c r="Y439">
        <v>11</v>
      </c>
      <c r="Z439">
        <v>0</v>
      </c>
      <c r="AA439" t="s">
        <v>49</v>
      </c>
      <c r="AB439">
        <v>0</v>
      </c>
      <c r="AC439" t="s">
        <v>49</v>
      </c>
      <c r="AD439">
        <v>0</v>
      </c>
      <c r="AE439">
        <v>11023556</v>
      </c>
      <c r="AF439" t="s">
        <v>50</v>
      </c>
      <c r="AG439" t="s">
        <v>122</v>
      </c>
    </row>
    <row r="440" spans="1:33" x14ac:dyDescent="0.35">
      <c r="A440" s="1">
        <v>44900.007638888892</v>
      </c>
      <c r="B440">
        <v>1969978</v>
      </c>
      <c r="C440" t="s">
        <v>809</v>
      </c>
      <c r="D440" t="s">
        <v>810</v>
      </c>
      <c r="E440" s="2">
        <v>42154</v>
      </c>
      <c r="F440" t="str">
        <f>"9781627080804"</f>
        <v>9781627080804</v>
      </c>
      <c r="G440" t="str">
        <f>"9781627080798"</f>
        <v>9781627080798</v>
      </c>
      <c r="H440" t="s">
        <v>811</v>
      </c>
      <c r="K440" t="s">
        <v>44</v>
      </c>
      <c r="N440" t="s">
        <v>45</v>
      </c>
      <c r="O440" t="s">
        <v>46</v>
      </c>
      <c r="P440" t="s">
        <v>45</v>
      </c>
      <c r="Q440" t="s">
        <v>47</v>
      </c>
      <c r="R440" t="s">
        <v>44</v>
      </c>
      <c r="S440">
        <v>0</v>
      </c>
      <c r="W440" s="3">
        <v>6.134259259259259E-4</v>
      </c>
      <c r="X440" t="s">
        <v>1210</v>
      </c>
      <c r="Y440">
        <v>9</v>
      </c>
      <c r="Z440">
        <v>0</v>
      </c>
      <c r="AA440" t="s">
        <v>49</v>
      </c>
      <c r="AB440">
        <v>0</v>
      </c>
      <c r="AC440" t="s">
        <v>49</v>
      </c>
      <c r="AD440">
        <v>0</v>
      </c>
      <c r="AE440">
        <v>11023556</v>
      </c>
      <c r="AF440" t="s">
        <v>50</v>
      </c>
      <c r="AG440" t="s">
        <v>122</v>
      </c>
    </row>
    <row r="441" spans="1:33" x14ac:dyDescent="0.35">
      <c r="A441" s="1">
        <v>44899.963888888888</v>
      </c>
      <c r="B441">
        <v>1174136</v>
      </c>
      <c r="C441" t="s">
        <v>1097</v>
      </c>
      <c r="D441" t="s">
        <v>59</v>
      </c>
      <c r="E441" s="2">
        <v>41414</v>
      </c>
      <c r="F441" t="str">
        <f>"9783527649020"</f>
        <v>9783527649020</v>
      </c>
      <c r="G441" t="str">
        <f>"9783527411016"</f>
        <v>9783527411016</v>
      </c>
      <c r="H441" t="s">
        <v>542</v>
      </c>
      <c r="I441">
        <v>621.38152000000002</v>
      </c>
      <c r="J441" t="s">
        <v>1098</v>
      </c>
      <c r="K441" t="s">
        <v>44</v>
      </c>
      <c r="N441" t="s">
        <v>45</v>
      </c>
      <c r="O441" t="s">
        <v>46</v>
      </c>
      <c r="P441" t="s">
        <v>45</v>
      </c>
      <c r="Q441" t="s">
        <v>47</v>
      </c>
      <c r="R441" t="s">
        <v>44</v>
      </c>
      <c r="S441">
        <v>0</v>
      </c>
      <c r="W441" s="3">
        <v>5.3946759259259257E-2</v>
      </c>
      <c r="X441" t="s">
        <v>1211</v>
      </c>
      <c r="Y441">
        <v>19</v>
      </c>
      <c r="Z441">
        <v>0</v>
      </c>
      <c r="AA441" t="s">
        <v>49</v>
      </c>
      <c r="AB441">
        <v>0</v>
      </c>
      <c r="AC441" t="s">
        <v>49</v>
      </c>
      <c r="AD441">
        <v>0</v>
      </c>
      <c r="AE441">
        <v>10691438</v>
      </c>
      <c r="AF441" t="s">
        <v>50</v>
      </c>
      <c r="AG441" t="s">
        <v>388</v>
      </c>
    </row>
    <row r="442" spans="1:33" x14ac:dyDescent="0.35">
      <c r="A442" s="1">
        <v>44899.960416666669</v>
      </c>
      <c r="B442">
        <v>1969978</v>
      </c>
      <c r="C442" t="s">
        <v>809</v>
      </c>
      <c r="D442" t="s">
        <v>810</v>
      </c>
      <c r="E442" s="2">
        <v>42154</v>
      </c>
      <c r="F442" t="str">
        <f>"9781627080804"</f>
        <v>9781627080804</v>
      </c>
      <c r="G442" t="str">
        <f>"9781627080798"</f>
        <v>9781627080798</v>
      </c>
      <c r="H442" t="s">
        <v>811</v>
      </c>
      <c r="K442" t="s">
        <v>44</v>
      </c>
      <c r="N442" t="s">
        <v>45</v>
      </c>
      <c r="O442" t="s">
        <v>46</v>
      </c>
      <c r="P442" t="s">
        <v>45</v>
      </c>
      <c r="Q442" t="s">
        <v>47</v>
      </c>
      <c r="R442" t="s">
        <v>44</v>
      </c>
      <c r="S442">
        <v>0</v>
      </c>
      <c r="W442" s="3">
        <v>2.3611111111111111E-3</v>
      </c>
      <c r="X442" t="s">
        <v>1212</v>
      </c>
      <c r="Y442">
        <v>21</v>
      </c>
      <c r="Z442">
        <v>0</v>
      </c>
      <c r="AA442" t="s">
        <v>49</v>
      </c>
      <c r="AB442">
        <v>0</v>
      </c>
      <c r="AC442" t="s">
        <v>49</v>
      </c>
      <c r="AD442">
        <v>0</v>
      </c>
      <c r="AE442">
        <v>11023556</v>
      </c>
      <c r="AF442" t="s">
        <v>50</v>
      </c>
      <c r="AG442" t="s">
        <v>122</v>
      </c>
    </row>
    <row r="443" spans="1:33" x14ac:dyDescent="0.35">
      <c r="A443" s="1">
        <v>44899.950694444444</v>
      </c>
      <c r="B443">
        <v>328311</v>
      </c>
      <c r="C443" t="s">
        <v>1213</v>
      </c>
      <c r="D443" t="s">
        <v>65</v>
      </c>
      <c r="E443" s="2">
        <v>39409</v>
      </c>
      <c r="F443" t="str">
        <f>"9780080555805"</f>
        <v>9780080555805</v>
      </c>
      <c r="G443" t="str">
        <f>"9780123725851"</f>
        <v>9780123725851</v>
      </c>
      <c r="H443" t="s">
        <v>138</v>
      </c>
      <c r="I443">
        <v>5.8</v>
      </c>
      <c r="J443" t="s">
        <v>1214</v>
      </c>
      <c r="K443" t="s">
        <v>44</v>
      </c>
      <c r="N443" t="s">
        <v>45</v>
      </c>
      <c r="O443" t="s">
        <v>46</v>
      </c>
      <c r="P443" t="s">
        <v>45</v>
      </c>
      <c r="Q443" t="s">
        <v>47</v>
      </c>
      <c r="R443" t="s">
        <v>44</v>
      </c>
      <c r="S443">
        <v>0</v>
      </c>
      <c r="W443" s="3">
        <v>1.0532407407407407E-3</v>
      </c>
      <c r="X443" t="s">
        <v>1215</v>
      </c>
      <c r="Y443">
        <v>17</v>
      </c>
      <c r="Z443">
        <v>0</v>
      </c>
      <c r="AA443" t="s">
        <v>49</v>
      </c>
      <c r="AB443">
        <v>0</v>
      </c>
      <c r="AC443" t="s">
        <v>49</v>
      </c>
      <c r="AD443">
        <v>0</v>
      </c>
      <c r="AE443">
        <v>10204371</v>
      </c>
      <c r="AF443" t="s">
        <v>50</v>
      </c>
      <c r="AG443" t="s">
        <v>1216</v>
      </c>
    </row>
    <row r="444" spans="1:33" x14ac:dyDescent="0.35">
      <c r="A444" s="1">
        <v>44899.95</v>
      </c>
      <c r="B444">
        <v>5157550</v>
      </c>
      <c r="C444" t="s">
        <v>1217</v>
      </c>
      <c r="D444" t="s">
        <v>115</v>
      </c>
      <c r="E444" s="2">
        <v>43367</v>
      </c>
      <c r="F444" t="str">
        <f>"9783110545210"</f>
        <v>9783110545210</v>
      </c>
      <c r="G444" t="str">
        <f>"9783110543735"</f>
        <v>9783110543735</v>
      </c>
      <c r="H444" t="s">
        <v>1040</v>
      </c>
      <c r="I444">
        <v>547.23</v>
      </c>
      <c r="J444" t="s">
        <v>1218</v>
      </c>
      <c r="K444" t="s">
        <v>44</v>
      </c>
      <c r="N444" t="s">
        <v>45</v>
      </c>
      <c r="O444" t="s">
        <v>46</v>
      </c>
      <c r="P444" t="s">
        <v>45</v>
      </c>
      <c r="Q444" t="s">
        <v>47</v>
      </c>
      <c r="R444" t="s">
        <v>44</v>
      </c>
      <c r="S444">
        <v>0</v>
      </c>
      <c r="W444" s="3">
        <v>5.7870370370370366E-5</v>
      </c>
      <c r="X444" t="s">
        <v>121</v>
      </c>
      <c r="Y444">
        <v>1</v>
      </c>
      <c r="Z444">
        <v>0</v>
      </c>
      <c r="AA444" t="s">
        <v>49</v>
      </c>
      <c r="AB444">
        <v>0</v>
      </c>
      <c r="AC444" t="s">
        <v>49</v>
      </c>
      <c r="AD444">
        <v>0</v>
      </c>
      <c r="AE444">
        <v>-1</v>
      </c>
      <c r="AF444" t="s">
        <v>50</v>
      </c>
      <c r="AG444" t="s">
        <v>388</v>
      </c>
    </row>
    <row r="445" spans="1:33" x14ac:dyDescent="0.35">
      <c r="A445" s="1">
        <v>44899.92291666667</v>
      </c>
      <c r="B445">
        <v>6000791</v>
      </c>
      <c r="C445" t="s">
        <v>1219</v>
      </c>
      <c r="D445" t="s">
        <v>614</v>
      </c>
      <c r="E445" s="2">
        <v>43847</v>
      </c>
      <c r="F445" t="str">
        <f>"9789811515477"</f>
        <v>9789811515477</v>
      </c>
      <c r="G445" t="str">
        <f>"9789811515460"</f>
        <v>9789811515460</v>
      </c>
      <c r="H445" t="s">
        <v>1220</v>
      </c>
      <c r="I445">
        <v>615.19010000000003</v>
      </c>
      <c r="J445" t="s">
        <v>720</v>
      </c>
      <c r="K445" t="s">
        <v>55</v>
      </c>
      <c r="Q445" t="s">
        <v>47</v>
      </c>
      <c r="R445" t="s">
        <v>44</v>
      </c>
      <c r="S445">
        <v>0</v>
      </c>
      <c r="W445" s="3">
        <v>2.4074074074074076E-3</v>
      </c>
      <c r="X445" t="s">
        <v>1221</v>
      </c>
      <c r="Y445">
        <v>2</v>
      </c>
      <c r="Z445">
        <v>0</v>
      </c>
      <c r="AA445" t="s">
        <v>49</v>
      </c>
      <c r="AB445">
        <v>0</v>
      </c>
      <c r="AC445" t="s">
        <v>49</v>
      </c>
      <c r="AD445">
        <v>0</v>
      </c>
      <c r="AE445">
        <v>-1</v>
      </c>
      <c r="AF445" t="s">
        <v>50</v>
      </c>
      <c r="AG445" t="s">
        <v>57</v>
      </c>
    </row>
    <row r="446" spans="1:33" x14ac:dyDescent="0.35">
      <c r="A446" s="1">
        <v>44899.921527777777</v>
      </c>
      <c r="B446">
        <v>6852854</v>
      </c>
      <c r="C446" t="s">
        <v>943</v>
      </c>
      <c r="D446" t="s">
        <v>944</v>
      </c>
      <c r="E446" s="2">
        <v>44595</v>
      </c>
      <c r="F446" t="str">
        <f>"9780861543212"</f>
        <v>9780861543212</v>
      </c>
      <c r="G446" t="str">
        <f>""</f>
        <v/>
      </c>
      <c r="H446" t="s">
        <v>945</v>
      </c>
      <c r="I446">
        <v>681.11309000000006</v>
      </c>
      <c r="J446" t="s">
        <v>946</v>
      </c>
      <c r="K446" t="s">
        <v>55</v>
      </c>
      <c r="Q446" t="s">
        <v>47</v>
      </c>
      <c r="R446" t="s">
        <v>44</v>
      </c>
      <c r="S446">
        <v>0</v>
      </c>
      <c r="W446" s="3">
        <v>9.0046296296296298E-3</v>
      </c>
      <c r="X446" t="s">
        <v>1222</v>
      </c>
      <c r="Y446">
        <v>2</v>
      </c>
      <c r="Z446">
        <v>0</v>
      </c>
      <c r="AA446" t="s">
        <v>49</v>
      </c>
      <c r="AB446">
        <v>0</v>
      </c>
      <c r="AC446" t="s">
        <v>49</v>
      </c>
      <c r="AD446">
        <v>0</v>
      </c>
      <c r="AE446">
        <v>-1</v>
      </c>
      <c r="AF446" t="s">
        <v>50</v>
      </c>
      <c r="AG446" t="s">
        <v>57</v>
      </c>
    </row>
    <row r="447" spans="1:33" x14ac:dyDescent="0.35">
      <c r="A447" s="1">
        <v>44899.92083333333</v>
      </c>
      <c r="B447">
        <v>3042585</v>
      </c>
      <c r="C447" t="s">
        <v>1223</v>
      </c>
      <c r="D447" t="s">
        <v>1224</v>
      </c>
      <c r="E447" s="2">
        <v>30286</v>
      </c>
      <c r="F447" t="str">
        <f>"9783110845082"</f>
        <v>9783110845082</v>
      </c>
      <c r="G447" t="str">
        <f>"9783110088922"</f>
        <v>9783110088922</v>
      </c>
      <c r="H447" t="s">
        <v>1225</v>
      </c>
      <c r="I447">
        <v>574.19285000000002</v>
      </c>
      <c r="J447" t="s">
        <v>1226</v>
      </c>
      <c r="K447" t="s">
        <v>44</v>
      </c>
      <c r="N447" t="s">
        <v>45</v>
      </c>
      <c r="O447" t="s">
        <v>46</v>
      </c>
      <c r="P447" t="s">
        <v>45</v>
      </c>
      <c r="Q447" t="s">
        <v>47</v>
      </c>
      <c r="R447" t="s">
        <v>44</v>
      </c>
      <c r="S447">
        <v>0</v>
      </c>
      <c r="W447" s="3">
        <v>3.4722222222222222E-5</v>
      </c>
      <c r="X447" t="s">
        <v>121</v>
      </c>
      <c r="Y447">
        <v>1</v>
      </c>
      <c r="Z447">
        <v>0</v>
      </c>
      <c r="AA447" t="s">
        <v>49</v>
      </c>
      <c r="AB447">
        <v>0</v>
      </c>
      <c r="AC447" t="s">
        <v>49</v>
      </c>
      <c r="AD447">
        <v>0</v>
      </c>
      <c r="AE447">
        <v>10599567</v>
      </c>
      <c r="AF447" t="s">
        <v>50</v>
      </c>
      <c r="AG447" t="s">
        <v>57</v>
      </c>
    </row>
    <row r="448" spans="1:33" x14ac:dyDescent="0.35">
      <c r="A448" s="1">
        <v>44899.897222222222</v>
      </c>
      <c r="B448">
        <v>6420860</v>
      </c>
      <c r="C448" t="s">
        <v>1227</v>
      </c>
      <c r="D448" t="s">
        <v>105</v>
      </c>
      <c r="E448" s="2">
        <v>44170</v>
      </c>
      <c r="F448" t="str">
        <f>"9783030618483"</f>
        <v>9783030618483</v>
      </c>
      <c r="G448" t="str">
        <f>"9783030618476"</f>
        <v>9783030618476</v>
      </c>
      <c r="H448" t="s">
        <v>1228</v>
      </c>
      <c r="I448">
        <v>624.16999999999996</v>
      </c>
      <c r="J448" t="s">
        <v>107</v>
      </c>
      <c r="K448" t="s">
        <v>55</v>
      </c>
      <c r="N448" t="s">
        <v>293</v>
      </c>
      <c r="P448" t="s">
        <v>80</v>
      </c>
      <c r="Q448" t="s">
        <v>47</v>
      </c>
      <c r="R448" t="s">
        <v>44</v>
      </c>
      <c r="S448">
        <v>1</v>
      </c>
      <c r="T448">
        <v>90</v>
      </c>
      <c r="U448" s="1">
        <v>44899.897222222222</v>
      </c>
      <c r="V448" s="1">
        <v>44989.897222222222</v>
      </c>
      <c r="W448" s="3">
        <v>0</v>
      </c>
      <c r="X448" t="s">
        <v>49</v>
      </c>
      <c r="Y448">
        <v>0</v>
      </c>
      <c r="Z448">
        <v>0</v>
      </c>
      <c r="AA448" t="s">
        <v>49</v>
      </c>
      <c r="AB448">
        <v>0</v>
      </c>
      <c r="AC448" t="s">
        <v>49</v>
      </c>
      <c r="AD448">
        <v>0</v>
      </c>
      <c r="AE448">
        <v>-1</v>
      </c>
      <c r="AF448" t="s">
        <v>63</v>
      </c>
      <c r="AG448" t="s">
        <v>388</v>
      </c>
    </row>
    <row r="449" spans="1:33" x14ac:dyDescent="0.35">
      <c r="A449" s="1">
        <v>44899.895138888889</v>
      </c>
      <c r="B449">
        <v>958178</v>
      </c>
      <c r="C449" t="s">
        <v>1229</v>
      </c>
      <c r="D449" t="s">
        <v>76</v>
      </c>
      <c r="E449" s="2">
        <v>40966</v>
      </c>
      <c r="F449" t="str">
        <f>"9780203124963"</f>
        <v>9780203124963</v>
      </c>
      <c r="G449" t="str">
        <f>"9780415502634"</f>
        <v>9780415502634</v>
      </c>
      <c r="H449" t="s">
        <v>1230</v>
      </c>
      <c r="I449" t="s">
        <v>1231</v>
      </c>
      <c r="J449" t="s">
        <v>1232</v>
      </c>
      <c r="K449" t="s">
        <v>44</v>
      </c>
      <c r="N449" t="s">
        <v>45</v>
      </c>
      <c r="O449" t="s">
        <v>46</v>
      </c>
      <c r="P449" t="s">
        <v>45</v>
      </c>
      <c r="Q449" t="s">
        <v>47</v>
      </c>
      <c r="R449" t="s">
        <v>44</v>
      </c>
      <c r="S449">
        <v>0</v>
      </c>
      <c r="W449" s="3">
        <v>9.3981481481481485E-3</v>
      </c>
      <c r="X449" t="s">
        <v>1233</v>
      </c>
      <c r="Y449">
        <v>43</v>
      </c>
      <c r="Z449">
        <v>3</v>
      </c>
      <c r="AA449" t="s">
        <v>1234</v>
      </c>
      <c r="AB449">
        <v>40</v>
      </c>
      <c r="AC449" t="s">
        <v>49</v>
      </c>
      <c r="AD449">
        <v>0</v>
      </c>
      <c r="AE449">
        <v>10558672</v>
      </c>
      <c r="AF449" t="s">
        <v>50</v>
      </c>
      <c r="AG449" t="s">
        <v>1235</v>
      </c>
    </row>
    <row r="450" spans="1:33" x14ac:dyDescent="0.35">
      <c r="A450" s="1">
        <v>44899.861111111109</v>
      </c>
      <c r="B450">
        <v>1209902</v>
      </c>
      <c r="C450" t="s">
        <v>700</v>
      </c>
      <c r="D450" t="s">
        <v>71</v>
      </c>
      <c r="E450" s="2">
        <v>36312</v>
      </c>
      <c r="F450" t="str">
        <f>"9789812774903"</f>
        <v>9789812774903</v>
      </c>
      <c r="G450" t="str">
        <f>"9789810237813"</f>
        <v>9789810237813</v>
      </c>
      <c r="H450" t="s">
        <v>701</v>
      </c>
      <c r="I450">
        <v>502</v>
      </c>
      <c r="J450" t="s">
        <v>702</v>
      </c>
      <c r="K450" t="s">
        <v>44</v>
      </c>
      <c r="N450" t="s">
        <v>45</v>
      </c>
      <c r="O450" t="s">
        <v>46</v>
      </c>
      <c r="P450" t="s">
        <v>45</v>
      </c>
      <c r="Q450" t="s">
        <v>47</v>
      </c>
      <c r="R450" t="s">
        <v>44</v>
      </c>
      <c r="S450">
        <v>0</v>
      </c>
      <c r="W450" s="3">
        <v>4.6296296296296293E-4</v>
      </c>
      <c r="X450" t="s">
        <v>1236</v>
      </c>
      <c r="Y450">
        <v>12</v>
      </c>
      <c r="Z450">
        <v>0</v>
      </c>
      <c r="AA450" t="s">
        <v>49</v>
      </c>
      <c r="AB450">
        <v>0</v>
      </c>
      <c r="AC450" t="s">
        <v>49</v>
      </c>
      <c r="AD450">
        <v>0</v>
      </c>
      <c r="AE450">
        <v>10201183</v>
      </c>
      <c r="AF450" t="s">
        <v>50</v>
      </c>
      <c r="AG450" t="s">
        <v>122</v>
      </c>
    </row>
    <row r="451" spans="1:33" x14ac:dyDescent="0.35">
      <c r="A451" s="1">
        <v>44899.848611111112</v>
      </c>
      <c r="B451">
        <v>6627988</v>
      </c>
      <c r="C451" t="s">
        <v>1237</v>
      </c>
      <c r="D451" t="s">
        <v>65</v>
      </c>
      <c r="E451" s="2">
        <v>44335</v>
      </c>
      <c r="F451" t="str">
        <f>"9780128224427"</f>
        <v>9780128224427</v>
      </c>
      <c r="G451" t="str">
        <f>"9780128224410"</f>
        <v>9780128224410</v>
      </c>
      <c r="H451" t="s">
        <v>1238</v>
      </c>
      <c r="I451">
        <v>621.48310000000004</v>
      </c>
      <c r="J451" t="s">
        <v>1239</v>
      </c>
      <c r="K451" t="s">
        <v>55</v>
      </c>
      <c r="Q451" t="s">
        <v>47</v>
      </c>
      <c r="R451" t="s">
        <v>44</v>
      </c>
      <c r="S451">
        <v>0</v>
      </c>
      <c r="W451" s="3">
        <v>3.9236111111111112E-3</v>
      </c>
      <c r="X451" t="s">
        <v>1240</v>
      </c>
      <c r="Y451">
        <v>11</v>
      </c>
      <c r="Z451">
        <v>0</v>
      </c>
      <c r="AA451" t="s">
        <v>49</v>
      </c>
      <c r="AB451">
        <v>0</v>
      </c>
      <c r="AC451" t="s">
        <v>49</v>
      </c>
      <c r="AD451">
        <v>0</v>
      </c>
      <c r="AE451">
        <v>-1</v>
      </c>
      <c r="AF451" t="s">
        <v>50</v>
      </c>
      <c r="AG451" t="s">
        <v>57</v>
      </c>
    </row>
    <row r="452" spans="1:33" x14ac:dyDescent="0.35">
      <c r="A452" s="1">
        <v>44899.82708333333</v>
      </c>
      <c r="B452">
        <v>1094215</v>
      </c>
      <c r="C452" t="s">
        <v>1241</v>
      </c>
      <c r="D452" t="s">
        <v>1242</v>
      </c>
      <c r="E452" s="2">
        <v>41244</v>
      </c>
      <c r="F452" t="str">
        <f>"9781845646493"</f>
        <v>9781845646493</v>
      </c>
      <c r="G452" t="str">
        <f>"9781845646486"</f>
        <v>9781845646486</v>
      </c>
      <c r="H452" t="s">
        <v>1243</v>
      </c>
      <c r="I452">
        <v>333.91300000000001</v>
      </c>
      <c r="J452" t="s">
        <v>1244</v>
      </c>
      <c r="K452" t="s">
        <v>55</v>
      </c>
      <c r="P452" t="s">
        <v>97</v>
      </c>
      <c r="Q452" t="s">
        <v>47</v>
      </c>
      <c r="R452" t="s">
        <v>44</v>
      </c>
      <c r="S452">
        <v>0</v>
      </c>
      <c r="W452" s="3">
        <v>1.2847222222222223E-3</v>
      </c>
      <c r="X452" t="s">
        <v>1245</v>
      </c>
      <c r="Y452">
        <v>14</v>
      </c>
      <c r="Z452">
        <v>0</v>
      </c>
      <c r="AA452" t="s">
        <v>49</v>
      </c>
      <c r="AB452">
        <v>0</v>
      </c>
      <c r="AC452" t="s">
        <v>49</v>
      </c>
      <c r="AD452">
        <v>0</v>
      </c>
      <c r="AE452">
        <v>-1</v>
      </c>
      <c r="AF452" t="s">
        <v>50</v>
      </c>
      <c r="AG452" t="s">
        <v>388</v>
      </c>
    </row>
    <row r="453" spans="1:33" x14ac:dyDescent="0.35">
      <c r="A453" s="1">
        <v>44899.824999999997</v>
      </c>
      <c r="B453">
        <v>6788116</v>
      </c>
      <c r="C453" t="s">
        <v>64</v>
      </c>
      <c r="D453" t="s">
        <v>65</v>
      </c>
      <c r="E453" s="2">
        <v>44490</v>
      </c>
      <c r="F453" t="str">
        <f>"9780323900058"</f>
        <v>9780323900058</v>
      </c>
      <c r="G453" t="str">
        <f>"9780323897754"</f>
        <v>9780323897754</v>
      </c>
      <c r="H453" t="s">
        <v>66</v>
      </c>
      <c r="I453">
        <v>570.28499999999997</v>
      </c>
      <c r="J453" t="s">
        <v>67</v>
      </c>
      <c r="K453" t="s">
        <v>55</v>
      </c>
      <c r="Q453" t="s">
        <v>47</v>
      </c>
      <c r="R453" t="s">
        <v>44</v>
      </c>
      <c r="S453">
        <v>0</v>
      </c>
      <c r="W453" s="3">
        <v>3.5416666666666665E-3</v>
      </c>
      <c r="X453" t="s">
        <v>1246</v>
      </c>
      <c r="Y453">
        <v>39</v>
      </c>
      <c r="Z453">
        <v>0</v>
      </c>
      <c r="AA453" t="s">
        <v>49</v>
      </c>
      <c r="AB453">
        <v>0</v>
      </c>
      <c r="AC453" t="s">
        <v>49</v>
      </c>
      <c r="AD453">
        <v>0</v>
      </c>
      <c r="AE453">
        <v>-1</v>
      </c>
      <c r="AF453" t="s">
        <v>63</v>
      </c>
      <c r="AG453" t="s">
        <v>741</v>
      </c>
    </row>
    <row r="454" spans="1:33" x14ac:dyDescent="0.35">
      <c r="A454" s="1">
        <v>44899.813888888886</v>
      </c>
      <c r="B454">
        <v>2126757</v>
      </c>
      <c r="C454" t="s">
        <v>1247</v>
      </c>
      <c r="D454" t="s">
        <v>1248</v>
      </c>
      <c r="E454" s="2">
        <v>42219</v>
      </c>
      <c r="F454" t="str">
        <f>"9781498724371"</f>
        <v>9781498724371</v>
      </c>
      <c r="G454" t="str">
        <f>"9781771881166"</f>
        <v>9781771881166</v>
      </c>
      <c r="H454" t="s">
        <v>789</v>
      </c>
      <c r="I454" t="s">
        <v>1249</v>
      </c>
      <c r="J454" t="s">
        <v>1250</v>
      </c>
      <c r="K454" t="s">
        <v>44</v>
      </c>
      <c r="N454" t="s">
        <v>45</v>
      </c>
      <c r="O454" t="s">
        <v>46</v>
      </c>
      <c r="P454" t="s">
        <v>45</v>
      </c>
      <c r="Q454" t="s">
        <v>47</v>
      </c>
      <c r="R454" t="s">
        <v>44</v>
      </c>
      <c r="S454">
        <v>0</v>
      </c>
      <c r="W454" s="3">
        <v>1.3310185185185185E-3</v>
      </c>
      <c r="X454" t="s">
        <v>1251</v>
      </c>
      <c r="Y454">
        <v>18</v>
      </c>
      <c r="Z454">
        <v>0</v>
      </c>
      <c r="AA454" t="s">
        <v>49</v>
      </c>
      <c r="AB454">
        <v>0</v>
      </c>
      <c r="AC454" t="s">
        <v>49</v>
      </c>
      <c r="AD454">
        <v>0</v>
      </c>
      <c r="AE454">
        <v>11080510</v>
      </c>
      <c r="AF454" t="s">
        <v>50</v>
      </c>
      <c r="AG454" t="s">
        <v>388</v>
      </c>
    </row>
    <row r="455" spans="1:33" x14ac:dyDescent="0.35">
      <c r="A455" s="1">
        <v>44899.800694444442</v>
      </c>
      <c r="B455">
        <v>5770090</v>
      </c>
      <c r="C455" t="s">
        <v>813</v>
      </c>
      <c r="D455" t="s">
        <v>814</v>
      </c>
      <c r="E455" s="2">
        <v>42303</v>
      </c>
      <c r="F455" t="str">
        <f>"9789351503866"</f>
        <v>9789351503866</v>
      </c>
      <c r="G455" t="str">
        <f>"9789351503873"</f>
        <v>9789351503873</v>
      </c>
      <c r="H455" t="s">
        <v>60</v>
      </c>
      <c r="I455" t="s">
        <v>815</v>
      </c>
      <c r="J455" t="s">
        <v>816</v>
      </c>
      <c r="K455" t="s">
        <v>44</v>
      </c>
      <c r="N455" t="s">
        <v>45</v>
      </c>
      <c r="O455" t="s">
        <v>46</v>
      </c>
      <c r="P455" t="s">
        <v>45</v>
      </c>
      <c r="Q455" t="s">
        <v>47</v>
      </c>
      <c r="R455" t="s">
        <v>44</v>
      </c>
      <c r="S455">
        <v>0</v>
      </c>
      <c r="W455" s="3">
        <v>1.6666666666666668E-3</v>
      </c>
      <c r="X455" t="s">
        <v>1252</v>
      </c>
      <c r="Y455">
        <v>5</v>
      </c>
      <c r="Z455">
        <v>1</v>
      </c>
      <c r="AA455" t="s">
        <v>1253</v>
      </c>
      <c r="AB455">
        <v>57</v>
      </c>
      <c r="AC455" t="s">
        <v>49</v>
      </c>
      <c r="AD455">
        <v>0</v>
      </c>
      <c r="AE455">
        <v>-1</v>
      </c>
      <c r="AF455" t="s">
        <v>50</v>
      </c>
      <c r="AG455" t="s">
        <v>57</v>
      </c>
    </row>
    <row r="456" spans="1:33" x14ac:dyDescent="0.35">
      <c r="A456" s="1">
        <v>44899.8</v>
      </c>
      <c r="B456">
        <v>408797</v>
      </c>
      <c r="C456" t="s">
        <v>818</v>
      </c>
      <c r="D456" t="s">
        <v>819</v>
      </c>
      <c r="E456" s="2">
        <v>39827</v>
      </c>
      <c r="F456" t="str">
        <f>"9780814412718"</f>
        <v>9780814412718</v>
      </c>
      <c r="G456" t="str">
        <f>"9780814410769"</f>
        <v>9780814410769</v>
      </c>
      <c r="H456" t="s">
        <v>60</v>
      </c>
      <c r="I456">
        <v>658.3</v>
      </c>
      <c r="J456" t="s">
        <v>820</v>
      </c>
      <c r="K456" t="s">
        <v>44</v>
      </c>
      <c r="N456" t="s">
        <v>45</v>
      </c>
      <c r="O456" t="s">
        <v>46</v>
      </c>
      <c r="P456" t="s">
        <v>45</v>
      </c>
      <c r="Q456" t="s">
        <v>47</v>
      </c>
      <c r="R456" t="s">
        <v>44</v>
      </c>
      <c r="S456">
        <v>0</v>
      </c>
      <c r="W456" s="3">
        <v>2.7662037037037034E-3</v>
      </c>
      <c r="X456" t="s">
        <v>196</v>
      </c>
      <c r="Y456">
        <v>2</v>
      </c>
      <c r="Z456">
        <v>0</v>
      </c>
      <c r="AA456" t="s">
        <v>49</v>
      </c>
      <c r="AB456">
        <v>0</v>
      </c>
      <c r="AC456" t="s">
        <v>49</v>
      </c>
      <c r="AD456">
        <v>0</v>
      </c>
      <c r="AE456">
        <v>10271828</v>
      </c>
      <c r="AF456" t="s">
        <v>50</v>
      </c>
      <c r="AG456" t="s">
        <v>57</v>
      </c>
    </row>
    <row r="457" spans="1:33" x14ac:dyDescent="0.35">
      <c r="A457" s="1">
        <v>44899.784722222219</v>
      </c>
      <c r="B457">
        <v>6788116</v>
      </c>
      <c r="C457" t="s">
        <v>64</v>
      </c>
      <c r="D457" t="s">
        <v>65</v>
      </c>
      <c r="E457" s="2">
        <v>44490</v>
      </c>
      <c r="F457" t="str">
        <f>"9780323900058"</f>
        <v>9780323900058</v>
      </c>
      <c r="G457" t="str">
        <f>"9780323897754"</f>
        <v>9780323897754</v>
      </c>
      <c r="H457" t="s">
        <v>66</v>
      </c>
      <c r="I457">
        <v>570.28499999999997</v>
      </c>
      <c r="J457" t="s">
        <v>67</v>
      </c>
      <c r="K457" t="s">
        <v>55</v>
      </c>
      <c r="Q457" t="s">
        <v>47</v>
      </c>
      <c r="R457" t="s">
        <v>44</v>
      </c>
      <c r="S457">
        <v>0</v>
      </c>
      <c r="W457" s="3">
        <v>2.3148148148148147E-5</v>
      </c>
      <c r="X457" t="s">
        <v>1254</v>
      </c>
      <c r="Y457">
        <v>1</v>
      </c>
      <c r="Z457">
        <v>0</v>
      </c>
      <c r="AA457" t="s">
        <v>49</v>
      </c>
      <c r="AB457">
        <v>0</v>
      </c>
      <c r="AC457" t="s">
        <v>49</v>
      </c>
      <c r="AD457">
        <v>0</v>
      </c>
      <c r="AE457">
        <v>-1</v>
      </c>
      <c r="AF457" t="s">
        <v>63</v>
      </c>
      <c r="AG457" t="s">
        <v>741</v>
      </c>
    </row>
    <row r="458" spans="1:33" x14ac:dyDescent="0.35">
      <c r="A458" s="1">
        <v>44899.779861111114</v>
      </c>
      <c r="B458">
        <v>2046401</v>
      </c>
      <c r="C458" t="s">
        <v>1255</v>
      </c>
      <c r="D458" t="s">
        <v>59</v>
      </c>
      <c r="E458" s="2">
        <v>42226</v>
      </c>
      <c r="F458" t="str">
        <f>"9783527650231"</f>
        <v>9783527650231</v>
      </c>
      <c r="G458" t="str">
        <f>"9783527328215"</f>
        <v>9783527328215</v>
      </c>
      <c r="H458" t="s">
        <v>1256</v>
      </c>
      <c r="I458">
        <v>620.11699999999996</v>
      </c>
      <c r="J458" t="s">
        <v>1257</v>
      </c>
      <c r="K458" t="s">
        <v>44</v>
      </c>
      <c r="N458" t="s">
        <v>45</v>
      </c>
      <c r="O458" t="s">
        <v>46</v>
      </c>
      <c r="P458" t="s">
        <v>45</v>
      </c>
      <c r="Q458" t="s">
        <v>47</v>
      </c>
      <c r="R458" t="s">
        <v>44</v>
      </c>
      <c r="S458">
        <v>0</v>
      </c>
      <c r="W458" s="3">
        <v>1.3888888888888889E-4</v>
      </c>
      <c r="X458" t="s">
        <v>1258</v>
      </c>
      <c r="Y458">
        <v>2</v>
      </c>
      <c r="Z458">
        <v>0</v>
      </c>
      <c r="AA458" t="s">
        <v>49</v>
      </c>
      <c r="AB458">
        <v>0</v>
      </c>
      <c r="AC458" t="s">
        <v>49</v>
      </c>
      <c r="AD458">
        <v>0</v>
      </c>
      <c r="AE458">
        <v>11053030</v>
      </c>
      <c r="AF458" t="s">
        <v>50</v>
      </c>
      <c r="AG458" t="s">
        <v>388</v>
      </c>
    </row>
    <row r="459" spans="1:33" x14ac:dyDescent="0.35">
      <c r="A459" s="1">
        <v>44899.773611111108</v>
      </c>
      <c r="B459">
        <v>1969978</v>
      </c>
      <c r="C459" t="s">
        <v>809</v>
      </c>
      <c r="D459" t="s">
        <v>810</v>
      </c>
      <c r="E459" s="2">
        <v>42154</v>
      </c>
      <c r="F459" t="str">
        <f>"9781627080804"</f>
        <v>9781627080804</v>
      </c>
      <c r="G459" t="str">
        <f>"9781627080798"</f>
        <v>9781627080798</v>
      </c>
      <c r="H459" t="s">
        <v>811</v>
      </c>
      <c r="K459" t="s">
        <v>44</v>
      </c>
      <c r="N459" t="s">
        <v>45</v>
      </c>
      <c r="O459" t="s">
        <v>46</v>
      </c>
      <c r="P459" t="s">
        <v>45</v>
      </c>
      <c r="Q459" t="s">
        <v>47</v>
      </c>
      <c r="R459" t="s">
        <v>44</v>
      </c>
      <c r="S459">
        <v>0</v>
      </c>
      <c r="W459" s="3">
        <v>2.199074074074074E-4</v>
      </c>
      <c r="X459" t="s">
        <v>1259</v>
      </c>
      <c r="Y459">
        <v>2</v>
      </c>
      <c r="Z459">
        <v>0</v>
      </c>
      <c r="AA459" t="s">
        <v>49</v>
      </c>
      <c r="AB459">
        <v>0</v>
      </c>
      <c r="AC459" t="s">
        <v>49</v>
      </c>
      <c r="AD459">
        <v>0</v>
      </c>
      <c r="AE459">
        <v>11023556</v>
      </c>
      <c r="AF459" t="s">
        <v>50</v>
      </c>
      <c r="AG459" t="s">
        <v>122</v>
      </c>
    </row>
    <row r="460" spans="1:33" x14ac:dyDescent="0.35">
      <c r="A460" s="1">
        <v>44899.759027777778</v>
      </c>
      <c r="B460">
        <v>6819967</v>
      </c>
      <c r="C460" t="s">
        <v>408</v>
      </c>
      <c r="D460" t="s">
        <v>213</v>
      </c>
      <c r="E460" s="2">
        <v>44529</v>
      </c>
      <c r="F460" t="str">
        <f>"9780323859288"</f>
        <v>9780323859288</v>
      </c>
      <c r="G460" t="str">
        <f>"9780128243442"</f>
        <v>9780128243442</v>
      </c>
      <c r="H460" t="s">
        <v>261</v>
      </c>
      <c r="I460">
        <v>628.41999999999996</v>
      </c>
      <c r="J460" t="s">
        <v>409</v>
      </c>
      <c r="K460" t="s">
        <v>55</v>
      </c>
      <c r="Q460" t="s">
        <v>47</v>
      </c>
      <c r="R460" t="s">
        <v>44</v>
      </c>
      <c r="S460">
        <v>0</v>
      </c>
      <c r="W460" s="3">
        <v>1.0231481481481482E-2</v>
      </c>
      <c r="X460" t="s">
        <v>1260</v>
      </c>
      <c r="Y460">
        <v>53</v>
      </c>
      <c r="Z460">
        <v>0</v>
      </c>
      <c r="AA460" t="s">
        <v>49</v>
      </c>
      <c r="AB460">
        <v>0</v>
      </c>
      <c r="AC460" t="s">
        <v>49</v>
      </c>
      <c r="AD460">
        <v>0</v>
      </c>
      <c r="AE460">
        <v>-1</v>
      </c>
      <c r="AF460" t="s">
        <v>63</v>
      </c>
      <c r="AG460" t="s">
        <v>1160</v>
      </c>
    </row>
    <row r="461" spans="1:33" x14ac:dyDescent="0.35">
      <c r="A461" s="1">
        <v>44899.747916666667</v>
      </c>
      <c r="B461">
        <v>6330767</v>
      </c>
      <c r="C461" t="s">
        <v>1016</v>
      </c>
      <c r="D461" t="s">
        <v>1017</v>
      </c>
      <c r="E461" s="2">
        <v>43774</v>
      </c>
      <c r="F461" t="str">
        <f>"9781642794021"</f>
        <v>9781642794021</v>
      </c>
      <c r="G461" t="str">
        <f>""</f>
        <v/>
      </c>
      <c r="H461" t="s">
        <v>106</v>
      </c>
      <c r="I461">
        <v>6.3010000000000002</v>
      </c>
      <c r="J461" t="s">
        <v>1018</v>
      </c>
      <c r="K461" t="s">
        <v>55</v>
      </c>
      <c r="Q461" t="s">
        <v>47</v>
      </c>
      <c r="R461" t="s">
        <v>44</v>
      </c>
      <c r="S461">
        <v>0</v>
      </c>
      <c r="W461" s="3">
        <v>3.408564814814815E-2</v>
      </c>
      <c r="X461" t="s">
        <v>1261</v>
      </c>
      <c r="Y461">
        <v>16</v>
      </c>
      <c r="Z461">
        <v>0</v>
      </c>
      <c r="AA461" t="s">
        <v>49</v>
      </c>
      <c r="AB461">
        <v>0</v>
      </c>
      <c r="AC461" t="s">
        <v>49</v>
      </c>
      <c r="AD461">
        <v>0</v>
      </c>
      <c r="AE461">
        <v>-1</v>
      </c>
      <c r="AF461" t="s">
        <v>63</v>
      </c>
      <c r="AG461" t="s">
        <v>637</v>
      </c>
    </row>
    <row r="462" spans="1:33" x14ac:dyDescent="0.35">
      <c r="A462" s="1">
        <v>44899.732638888891</v>
      </c>
      <c r="B462">
        <v>6404827</v>
      </c>
      <c r="C462" t="s">
        <v>1262</v>
      </c>
      <c r="D462" t="s">
        <v>65</v>
      </c>
      <c r="E462" s="2">
        <v>44161</v>
      </c>
      <c r="F462" t="str">
        <f>"9780128232484"</f>
        <v>9780128232484</v>
      </c>
      <c r="G462" t="str">
        <f>"9780128217245"</f>
        <v>9780128217245</v>
      </c>
      <c r="H462" t="s">
        <v>538</v>
      </c>
      <c r="I462">
        <v>621.04200000000003</v>
      </c>
      <c r="J462" t="s">
        <v>1263</v>
      </c>
      <c r="K462" t="s">
        <v>55</v>
      </c>
      <c r="Q462" t="s">
        <v>47</v>
      </c>
      <c r="R462" t="s">
        <v>44</v>
      </c>
      <c r="S462">
        <v>0</v>
      </c>
      <c r="W462" s="3">
        <v>5.4398148148148144E-4</v>
      </c>
      <c r="X462" t="s">
        <v>1264</v>
      </c>
      <c r="Y462">
        <v>6</v>
      </c>
      <c r="Z462">
        <v>0</v>
      </c>
      <c r="AA462" t="s">
        <v>49</v>
      </c>
      <c r="AB462">
        <v>0</v>
      </c>
      <c r="AC462" t="s">
        <v>49</v>
      </c>
      <c r="AD462">
        <v>0</v>
      </c>
      <c r="AE462">
        <v>-1</v>
      </c>
      <c r="AF462" t="s">
        <v>50</v>
      </c>
      <c r="AG462" t="s">
        <v>670</v>
      </c>
    </row>
    <row r="463" spans="1:33" x14ac:dyDescent="0.35">
      <c r="A463" s="1">
        <v>44899.726388888892</v>
      </c>
      <c r="B463">
        <v>6940602</v>
      </c>
      <c r="C463" t="s">
        <v>1265</v>
      </c>
      <c r="D463" t="s">
        <v>65</v>
      </c>
      <c r="E463" s="2">
        <v>44669</v>
      </c>
      <c r="F463" t="str">
        <f>"9780323858762"</f>
        <v>9780323858762</v>
      </c>
      <c r="G463" t="str">
        <f>"9780323858731"</f>
        <v>9780323858731</v>
      </c>
      <c r="H463" t="s">
        <v>719</v>
      </c>
      <c r="I463">
        <v>615.6</v>
      </c>
      <c r="J463" t="s">
        <v>1266</v>
      </c>
      <c r="K463" t="s">
        <v>55</v>
      </c>
      <c r="Q463" t="s">
        <v>47</v>
      </c>
      <c r="R463" t="s">
        <v>44</v>
      </c>
      <c r="S463">
        <v>0</v>
      </c>
      <c r="W463" s="3">
        <v>2.0023148148148148E-3</v>
      </c>
      <c r="X463" t="s">
        <v>1267</v>
      </c>
      <c r="Y463">
        <v>23</v>
      </c>
      <c r="Z463">
        <v>0</v>
      </c>
      <c r="AA463" t="s">
        <v>49</v>
      </c>
      <c r="AB463">
        <v>0</v>
      </c>
      <c r="AC463" t="s">
        <v>49</v>
      </c>
      <c r="AD463">
        <v>0</v>
      </c>
      <c r="AE463">
        <v>-1</v>
      </c>
      <c r="AF463" t="s">
        <v>50</v>
      </c>
      <c r="AG463" t="s">
        <v>1160</v>
      </c>
    </row>
    <row r="464" spans="1:33" x14ac:dyDescent="0.35">
      <c r="A464" s="1">
        <v>44899.716666666667</v>
      </c>
      <c r="B464">
        <v>6819967</v>
      </c>
      <c r="C464" t="s">
        <v>408</v>
      </c>
      <c r="D464" t="s">
        <v>213</v>
      </c>
      <c r="E464" s="2">
        <v>44529</v>
      </c>
      <c r="F464" t="str">
        <f>"9780323859288"</f>
        <v>9780323859288</v>
      </c>
      <c r="G464" t="str">
        <f>"9780128243442"</f>
        <v>9780128243442</v>
      </c>
      <c r="H464" t="s">
        <v>261</v>
      </c>
      <c r="I464">
        <v>628.41999999999996</v>
      </c>
      <c r="J464" t="s">
        <v>409</v>
      </c>
      <c r="K464" t="s">
        <v>55</v>
      </c>
      <c r="Q464" t="s">
        <v>47</v>
      </c>
      <c r="R464" t="s">
        <v>44</v>
      </c>
      <c r="S464">
        <v>0</v>
      </c>
      <c r="W464" s="3">
        <v>0</v>
      </c>
      <c r="X464" t="s">
        <v>49</v>
      </c>
      <c r="Y464">
        <v>0</v>
      </c>
      <c r="Z464">
        <v>0</v>
      </c>
      <c r="AA464" t="s">
        <v>49</v>
      </c>
      <c r="AB464">
        <v>0</v>
      </c>
      <c r="AC464" t="s">
        <v>49</v>
      </c>
      <c r="AD464">
        <v>0</v>
      </c>
      <c r="AE464">
        <v>-1</v>
      </c>
      <c r="AF464" t="s">
        <v>63</v>
      </c>
      <c r="AG464" t="s">
        <v>1160</v>
      </c>
    </row>
    <row r="465" spans="1:33" x14ac:dyDescent="0.35">
      <c r="A465" s="1">
        <v>44899.707638888889</v>
      </c>
      <c r="B465">
        <v>1969978</v>
      </c>
      <c r="C465" t="s">
        <v>809</v>
      </c>
      <c r="D465" t="s">
        <v>810</v>
      </c>
      <c r="E465" s="2">
        <v>42154</v>
      </c>
      <c r="F465" t="str">
        <f>"9781627080804"</f>
        <v>9781627080804</v>
      </c>
      <c r="G465" t="str">
        <f>"9781627080798"</f>
        <v>9781627080798</v>
      </c>
      <c r="H465" t="s">
        <v>811</v>
      </c>
      <c r="K465" t="s">
        <v>44</v>
      </c>
      <c r="N465" t="s">
        <v>45</v>
      </c>
      <c r="O465" t="s">
        <v>46</v>
      </c>
      <c r="P465" t="s">
        <v>45</v>
      </c>
      <c r="Q465" t="s">
        <v>47</v>
      </c>
      <c r="R465" t="s">
        <v>44</v>
      </c>
      <c r="S465">
        <v>0</v>
      </c>
      <c r="W465" s="3">
        <v>7.9861111111111105E-4</v>
      </c>
      <c r="X465" t="s">
        <v>1268</v>
      </c>
      <c r="Y465">
        <v>13</v>
      </c>
      <c r="Z465">
        <v>0</v>
      </c>
      <c r="AA465" t="s">
        <v>49</v>
      </c>
      <c r="AB465">
        <v>0</v>
      </c>
      <c r="AC465" t="s">
        <v>49</v>
      </c>
      <c r="AD465">
        <v>0</v>
      </c>
      <c r="AE465">
        <v>11023556</v>
      </c>
      <c r="AF465" t="s">
        <v>50</v>
      </c>
      <c r="AG465" t="s">
        <v>122</v>
      </c>
    </row>
    <row r="466" spans="1:33" x14ac:dyDescent="0.35">
      <c r="A466" s="1">
        <v>44899.695833333331</v>
      </c>
      <c r="B466">
        <v>6579561</v>
      </c>
      <c r="C466" t="s">
        <v>1269</v>
      </c>
      <c r="D466" t="s">
        <v>213</v>
      </c>
      <c r="E466" s="2">
        <v>44403</v>
      </c>
      <c r="F466" t="str">
        <f>"9780128214992"</f>
        <v>9780128214992</v>
      </c>
      <c r="G466" t="str">
        <f>"9780128214961"</f>
        <v>9780128214961</v>
      </c>
      <c r="H466" t="s">
        <v>261</v>
      </c>
      <c r="I466">
        <v>628.29999999999995</v>
      </c>
      <c r="K466" t="s">
        <v>55</v>
      </c>
      <c r="Q466" t="s">
        <v>47</v>
      </c>
      <c r="R466" t="s">
        <v>44</v>
      </c>
      <c r="S466">
        <v>0</v>
      </c>
      <c r="W466" s="3">
        <v>1.1307870370370371E-2</v>
      </c>
      <c r="X466" t="s">
        <v>1270</v>
      </c>
      <c r="Y466">
        <v>25</v>
      </c>
      <c r="Z466">
        <v>0</v>
      </c>
      <c r="AA466" t="s">
        <v>49</v>
      </c>
      <c r="AB466">
        <v>0</v>
      </c>
      <c r="AC466" t="s">
        <v>49</v>
      </c>
      <c r="AD466">
        <v>0</v>
      </c>
      <c r="AE466">
        <v>-1</v>
      </c>
      <c r="AF466" t="s">
        <v>50</v>
      </c>
      <c r="AG466" t="s">
        <v>637</v>
      </c>
    </row>
    <row r="467" spans="1:33" x14ac:dyDescent="0.35">
      <c r="A467" s="1">
        <v>44899.654166666667</v>
      </c>
      <c r="B467">
        <v>1023991</v>
      </c>
      <c r="C467" t="s">
        <v>1271</v>
      </c>
      <c r="D467" t="s">
        <v>150</v>
      </c>
      <c r="E467" s="2">
        <v>36892</v>
      </c>
      <c r="F467" t="str">
        <f>"9781446265710"</f>
        <v>9781446265710</v>
      </c>
      <c r="G467" t="str">
        <f>"9781873942147"</f>
        <v>9781873942147</v>
      </c>
      <c r="H467" t="s">
        <v>1272</v>
      </c>
      <c r="I467">
        <v>155.9042</v>
      </c>
      <c r="J467" t="s">
        <v>1273</v>
      </c>
      <c r="K467" t="s">
        <v>44</v>
      </c>
      <c r="N467" t="s">
        <v>45</v>
      </c>
      <c r="O467" t="s">
        <v>46</v>
      </c>
      <c r="P467" t="s">
        <v>45</v>
      </c>
      <c r="Q467" t="s">
        <v>47</v>
      </c>
      <c r="R467" t="s">
        <v>44</v>
      </c>
      <c r="S467">
        <v>0</v>
      </c>
      <c r="W467" s="3">
        <v>5.9027777777777778E-4</v>
      </c>
      <c r="X467" t="s">
        <v>1274</v>
      </c>
      <c r="Y467">
        <v>7</v>
      </c>
      <c r="Z467">
        <v>0</v>
      </c>
      <c r="AA467" t="s">
        <v>49</v>
      </c>
      <c r="AB467">
        <v>0</v>
      </c>
      <c r="AC467" t="s">
        <v>49</v>
      </c>
      <c r="AD467">
        <v>0</v>
      </c>
      <c r="AE467">
        <v>10567001</v>
      </c>
      <c r="AF467" t="s">
        <v>50</v>
      </c>
      <c r="AG467" t="s">
        <v>779</v>
      </c>
    </row>
    <row r="468" spans="1:33" x14ac:dyDescent="0.35">
      <c r="A468" s="1">
        <v>44899.649305555555</v>
      </c>
      <c r="B468">
        <v>3442075</v>
      </c>
      <c r="C468" t="s">
        <v>1067</v>
      </c>
      <c r="D468" t="s">
        <v>1068</v>
      </c>
      <c r="E468" s="2">
        <v>38972</v>
      </c>
      <c r="F468" t="str">
        <f>"9780812201048"</f>
        <v>9780812201048</v>
      </c>
      <c r="G468" t="str">
        <f>"9780812239447"</f>
        <v>9780812239447</v>
      </c>
      <c r="H468" t="s">
        <v>1069</v>
      </c>
      <c r="I468" t="s">
        <v>1070</v>
      </c>
      <c r="K468" t="s">
        <v>44</v>
      </c>
      <c r="N468" t="s">
        <v>45</v>
      </c>
      <c r="O468" t="s">
        <v>46</v>
      </c>
      <c r="P468" t="s">
        <v>45</v>
      </c>
      <c r="Q468" t="s">
        <v>47</v>
      </c>
      <c r="R468" t="s">
        <v>44</v>
      </c>
      <c r="S468">
        <v>0</v>
      </c>
      <c r="W468" s="3">
        <v>3.4722222222222222E-5</v>
      </c>
      <c r="X468" t="s">
        <v>121</v>
      </c>
      <c r="Y468">
        <v>1</v>
      </c>
      <c r="Z468">
        <v>0</v>
      </c>
      <c r="AA468" t="s">
        <v>49</v>
      </c>
      <c r="AB468">
        <v>0</v>
      </c>
      <c r="AC468" t="s">
        <v>49</v>
      </c>
      <c r="AD468">
        <v>0</v>
      </c>
      <c r="AE468">
        <v>10748452</v>
      </c>
      <c r="AF468" t="s">
        <v>50</v>
      </c>
      <c r="AG468" t="s">
        <v>996</v>
      </c>
    </row>
    <row r="469" spans="1:33" x14ac:dyDescent="0.35">
      <c r="A469" s="1">
        <v>44899.649305555555</v>
      </c>
      <c r="B469">
        <v>5188151</v>
      </c>
      <c r="C469" t="s">
        <v>1100</v>
      </c>
      <c r="D469" t="s">
        <v>1101</v>
      </c>
      <c r="E469" s="2">
        <v>42962</v>
      </c>
      <c r="F469" t="str">
        <f>"9781526120540"</f>
        <v>9781526120540</v>
      </c>
      <c r="G469" t="str">
        <f>"9781784994204"</f>
        <v>9781784994204</v>
      </c>
      <c r="H469" t="s">
        <v>1102</v>
      </c>
      <c r="I469">
        <v>794.10922000000005</v>
      </c>
      <c r="J469" t="s">
        <v>1103</v>
      </c>
      <c r="K469" t="s">
        <v>44</v>
      </c>
      <c r="N469" t="s">
        <v>45</v>
      </c>
      <c r="O469" t="s">
        <v>46</v>
      </c>
      <c r="P469" t="s">
        <v>45</v>
      </c>
      <c r="Q469" t="s">
        <v>47</v>
      </c>
      <c r="R469" t="s">
        <v>44</v>
      </c>
      <c r="S469">
        <v>0</v>
      </c>
      <c r="W469" s="3">
        <v>6.9444444444444444E-5</v>
      </c>
      <c r="X469" t="s">
        <v>121</v>
      </c>
      <c r="Y469">
        <v>1</v>
      </c>
      <c r="Z469">
        <v>0</v>
      </c>
      <c r="AA469" t="s">
        <v>49</v>
      </c>
      <c r="AB469">
        <v>0</v>
      </c>
      <c r="AC469" t="s">
        <v>49</v>
      </c>
      <c r="AD469">
        <v>0</v>
      </c>
      <c r="AE469">
        <v>11483818</v>
      </c>
      <c r="AF469" t="s">
        <v>50</v>
      </c>
      <c r="AG469" t="s">
        <v>996</v>
      </c>
    </row>
    <row r="470" spans="1:33" x14ac:dyDescent="0.35">
      <c r="A470" s="1">
        <v>44899.602777777778</v>
      </c>
      <c r="B470">
        <v>6685655</v>
      </c>
      <c r="C470" t="s">
        <v>1275</v>
      </c>
      <c r="D470" t="s">
        <v>76</v>
      </c>
      <c r="E470" s="2">
        <v>44409</v>
      </c>
      <c r="F470" t="str">
        <f>"9781000442564"</f>
        <v>9781000442564</v>
      </c>
      <c r="G470" t="str">
        <f>"9780367408015"</f>
        <v>9780367408015</v>
      </c>
      <c r="H470" t="s">
        <v>1186</v>
      </c>
      <c r="I470">
        <v>306.2</v>
      </c>
      <c r="J470" t="s">
        <v>1276</v>
      </c>
      <c r="K470" t="s">
        <v>55</v>
      </c>
      <c r="Q470" t="s">
        <v>47</v>
      </c>
      <c r="R470" t="s">
        <v>44</v>
      </c>
      <c r="S470">
        <v>0</v>
      </c>
      <c r="W470" s="3">
        <v>0</v>
      </c>
      <c r="X470" t="s">
        <v>49</v>
      </c>
      <c r="Y470">
        <v>0</v>
      </c>
      <c r="Z470">
        <v>0</v>
      </c>
      <c r="AA470" t="s">
        <v>49</v>
      </c>
      <c r="AB470">
        <v>0</v>
      </c>
      <c r="AC470" t="s">
        <v>49</v>
      </c>
      <c r="AD470">
        <v>0</v>
      </c>
      <c r="AE470">
        <v>-1</v>
      </c>
      <c r="AF470" t="s">
        <v>63</v>
      </c>
      <c r="AG470" t="s">
        <v>528</v>
      </c>
    </row>
    <row r="471" spans="1:33" x14ac:dyDescent="0.35">
      <c r="A471" s="1">
        <v>44899.591666666667</v>
      </c>
      <c r="B471">
        <v>433379</v>
      </c>
      <c r="C471" t="s">
        <v>1277</v>
      </c>
      <c r="D471" t="s">
        <v>1278</v>
      </c>
      <c r="E471" s="2">
        <v>38723</v>
      </c>
      <c r="F471" t="str">
        <f>"9781599963990"</f>
        <v>9781599963990</v>
      </c>
      <c r="G471" t="str">
        <f>"9780874259247"</f>
        <v>9780874259247</v>
      </c>
      <c r="H471" t="s">
        <v>60</v>
      </c>
      <c r="I471" t="s">
        <v>1279</v>
      </c>
      <c r="J471" t="s">
        <v>1280</v>
      </c>
      <c r="K471" t="s">
        <v>44</v>
      </c>
      <c r="N471" t="s">
        <v>45</v>
      </c>
      <c r="O471" t="s">
        <v>46</v>
      </c>
      <c r="P471" t="s">
        <v>45</v>
      </c>
      <c r="Q471" t="s">
        <v>47</v>
      </c>
      <c r="R471" t="s">
        <v>44</v>
      </c>
      <c r="S471">
        <v>0</v>
      </c>
      <c r="W471" s="3">
        <v>2.199074074074074E-4</v>
      </c>
      <c r="X471" t="s">
        <v>196</v>
      </c>
      <c r="Y471">
        <v>2</v>
      </c>
      <c r="Z471">
        <v>0</v>
      </c>
      <c r="AA471" t="s">
        <v>49</v>
      </c>
      <c r="AB471">
        <v>0</v>
      </c>
      <c r="AC471" t="s">
        <v>49</v>
      </c>
      <c r="AD471">
        <v>0</v>
      </c>
      <c r="AE471">
        <v>10379766</v>
      </c>
      <c r="AF471" t="s">
        <v>50</v>
      </c>
      <c r="AG471" t="s">
        <v>57</v>
      </c>
    </row>
    <row r="472" spans="1:33" x14ac:dyDescent="0.35">
      <c r="A472" s="1">
        <v>44899.591666666667</v>
      </c>
      <c r="B472">
        <v>4188453</v>
      </c>
      <c r="C472" t="s">
        <v>981</v>
      </c>
      <c r="D472" t="s">
        <v>65</v>
      </c>
      <c r="E472" s="2">
        <v>42333</v>
      </c>
      <c r="F472" t="str">
        <f>"9780081002902"</f>
        <v>9780081002902</v>
      </c>
      <c r="G472" t="str">
        <f>"9780081008799"</f>
        <v>9780081008799</v>
      </c>
      <c r="H472" t="s">
        <v>982</v>
      </c>
      <c r="I472">
        <v>621.44000000000005</v>
      </c>
      <c r="J472" t="s">
        <v>983</v>
      </c>
      <c r="K472" t="s">
        <v>55</v>
      </c>
      <c r="P472" t="s">
        <v>97</v>
      </c>
      <c r="Q472" t="s">
        <v>47</v>
      </c>
      <c r="R472" t="s">
        <v>44</v>
      </c>
      <c r="S472">
        <v>0</v>
      </c>
      <c r="W472" s="3">
        <v>1.273148148148148E-4</v>
      </c>
      <c r="X472" t="s">
        <v>121</v>
      </c>
      <c r="Y472">
        <v>1</v>
      </c>
      <c r="Z472">
        <v>0</v>
      </c>
      <c r="AA472" t="s">
        <v>49</v>
      </c>
      <c r="AB472">
        <v>0</v>
      </c>
      <c r="AC472" t="s">
        <v>49</v>
      </c>
      <c r="AD472">
        <v>0</v>
      </c>
      <c r="AE472">
        <v>11128946</v>
      </c>
      <c r="AF472" t="s">
        <v>50</v>
      </c>
      <c r="AG472" t="s">
        <v>57</v>
      </c>
    </row>
    <row r="473" spans="1:33" x14ac:dyDescent="0.35">
      <c r="A473" s="1">
        <v>44899.591666666667</v>
      </c>
      <c r="B473">
        <v>997239</v>
      </c>
      <c r="C473" t="s">
        <v>1281</v>
      </c>
      <c r="D473" t="s">
        <v>1282</v>
      </c>
      <c r="E473" s="2">
        <v>34044</v>
      </c>
      <c r="F473" t="str">
        <f>"9781452254067"</f>
        <v>9781452254067</v>
      </c>
      <c r="G473" t="str">
        <f>"9780803947993"</f>
        <v>9780803947993</v>
      </c>
      <c r="H473" t="s">
        <v>1046</v>
      </c>
      <c r="I473">
        <v>361.70679999999999</v>
      </c>
      <c r="J473">
        <v>92043625</v>
      </c>
      <c r="K473" t="s">
        <v>44</v>
      </c>
      <c r="N473" t="s">
        <v>45</v>
      </c>
      <c r="O473" t="s">
        <v>46</v>
      </c>
      <c r="P473" t="s">
        <v>45</v>
      </c>
      <c r="Q473" t="s">
        <v>47</v>
      </c>
      <c r="R473" t="s">
        <v>44</v>
      </c>
      <c r="S473">
        <v>0</v>
      </c>
      <c r="W473" s="3">
        <v>3.2407407407407406E-4</v>
      </c>
      <c r="X473" t="s">
        <v>1283</v>
      </c>
      <c r="Y473">
        <v>3</v>
      </c>
      <c r="Z473">
        <v>0</v>
      </c>
      <c r="AA473" t="s">
        <v>49</v>
      </c>
      <c r="AB473">
        <v>0</v>
      </c>
      <c r="AC473" t="s">
        <v>49</v>
      </c>
      <c r="AD473">
        <v>0</v>
      </c>
      <c r="AE473">
        <v>10593937</v>
      </c>
      <c r="AF473" t="s">
        <v>50</v>
      </c>
      <c r="AG473" t="s">
        <v>57</v>
      </c>
    </row>
    <row r="474" spans="1:33" x14ac:dyDescent="0.35">
      <c r="A474" s="1">
        <v>44899.579861111109</v>
      </c>
      <c r="B474">
        <v>6940602</v>
      </c>
      <c r="C474" t="s">
        <v>1265</v>
      </c>
      <c r="D474" t="s">
        <v>65</v>
      </c>
      <c r="E474" s="2">
        <v>44669</v>
      </c>
      <c r="F474" t="str">
        <f>"9780323858762"</f>
        <v>9780323858762</v>
      </c>
      <c r="G474" t="str">
        <f>"9780323858731"</f>
        <v>9780323858731</v>
      </c>
      <c r="H474" t="s">
        <v>719</v>
      </c>
      <c r="I474">
        <v>615.6</v>
      </c>
      <c r="J474" t="s">
        <v>1266</v>
      </c>
      <c r="K474" t="s">
        <v>55</v>
      </c>
      <c r="Q474" t="s">
        <v>47</v>
      </c>
      <c r="R474" t="s">
        <v>44</v>
      </c>
      <c r="S474">
        <v>0</v>
      </c>
      <c r="W474" s="3">
        <v>3.4722222222222222E-5</v>
      </c>
      <c r="X474" t="s">
        <v>121</v>
      </c>
      <c r="Y474">
        <v>1</v>
      </c>
      <c r="Z474">
        <v>0</v>
      </c>
      <c r="AA474" t="s">
        <v>49</v>
      </c>
      <c r="AB474">
        <v>0</v>
      </c>
      <c r="AC474" t="s">
        <v>49</v>
      </c>
      <c r="AD474">
        <v>0</v>
      </c>
      <c r="AE474">
        <v>-1</v>
      </c>
      <c r="AF474" t="s">
        <v>50</v>
      </c>
      <c r="AG474" t="s">
        <v>1160</v>
      </c>
    </row>
    <row r="475" spans="1:33" x14ac:dyDescent="0.35">
      <c r="A475" s="1">
        <v>44899.520833333336</v>
      </c>
      <c r="B475">
        <v>1969978</v>
      </c>
      <c r="C475" t="s">
        <v>809</v>
      </c>
      <c r="D475" t="s">
        <v>810</v>
      </c>
      <c r="E475" s="2">
        <v>42154</v>
      </c>
      <c r="F475" t="str">
        <f>"9781627080804"</f>
        <v>9781627080804</v>
      </c>
      <c r="G475" t="str">
        <f>"9781627080798"</f>
        <v>9781627080798</v>
      </c>
      <c r="H475" t="s">
        <v>811</v>
      </c>
      <c r="K475" t="s">
        <v>44</v>
      </c>
      <c r="N475" t="s">
        <v>45</v>
      </c>
      <c r="O475" t="s">
        <v>46</v>
      </c>
      <c r="P475" t="s">
        <v>45</v>
      </c>
      <c r="Q475" t="s">
        <v>47</v>
      </c>
      <c r="R475" t="s">
        <v>44</v>
      </c>
      <c r="S475">
        <v>0</v>
      </c>
      <c r="W475" s="3">
        <v>8.9120370370370362E-4</v>
      </c>
      <c r="X475" t="s">
        <v>1284</v>
      </c>
      <c r="Y475">
        <v>9</v>
      </c>
      <c r="Z475">
        <v>0</v>
      </c>
      <c r="AA475" t="s">
        <v>49</v>
      </c>
      <c r="AB475">
        <v>0</v>
      </c>
      <c r="AC475" t="s">
        <v>49</v>
      </c>
      <c r="AD475">
        <v>0</v>
      </c>
      <c r="AE475">
        <v>11023556</v>
      </c>
      <c r="AF475" t="s">
        <v>50</v>
      </c>
      <c r="AG475" t="s">
        <v>122</v>
      </c>
    </row>
    <row r="476" spans="1:33" x14ac:dyDescent="0.35">
      <c r="A476" s="1">
        <v>44899.51458333333</v>
      </c>
      <c r="B476">
        <v>1636035</v>
      </c>
      <c r="C476" t="s">
        <v>1285</v>
      </c>
      <c r="D476" t="s">
        <v>65</v>
      </c>
      <c r="E476" s="2">
        <v>41739</v>
      </c>
      <c r="F476" t="str">
        <f>"9780123977922"</f>
        <v>9780123977922</v>
      </c>
      <c r="G476" t="str">
        <f>"9780123971951"</f>
        <v>9780123971951</v>
      </c>
      <c r="H476" t="s">
        <v>1286</v>
      </c>
      <c r="I476">
        <v>621.40219999999999</v>
      </c>
      <c r="J476" t="s">
        <v>1287</v>
      </c>
      <c r="K476" t="s">
        <v>44</v>
      </c>
      <c r="N476" t="s">
        <v>45</v>
      </c>
      <c r="O476" t="s">
        <v>46</v>
      </c>
      <c r="P476" t="s">
        <v>45</v>
      </c>
      <c r="Q476" t="s">
        <v>47</v>
      </c>
      <c r="R476" t="s">
        <v>44</v>
      </c>
      <c r="S476">
        <v>0</v>
      </c>
      <c r="W476" s="3">
        <v>2.0358796296296295E-2</v>
      </c>
      <c r="X476" t="s">
        <v>1288</v>
      </c>
      <c r="Y476">
        <v>7</v>
      </c>
      <c r="Z476">
        <v>0</v>
      </c>
      <c r="AA476" t="s">
        <v>49</v>
      </c>
      <c r="AB476">
        <v>0</v>
      </c>
      <c r="AC476" t="s">
        <v>49</v>
      </c>
      <c r="AD476">
        <v>0</v>
      </c>
      <c r="AE476">
        <v>10839260</v>
      </c>
      <c r="AF476" t="s">
        <v>50</v>
      </c>
      <c r="AG476" t="s">
        <v>637</v>
      </c>
    </row>
    <row r="477" spans="1:33" x14ac:dyDescent="0.35">
      <c r="A477" s="1">
        <v>44899.512499999997</v>
      </c>
      <c r="B477">
        <v>6940602</v>
      </c>
      <c r="C477" t="s">
        <v>1265</v>
      </c>
      <c r="D477" t="s">
        <v>65</v>
      </c>
      <c r="E477" s="2">
        <v>44669</v>
      </c>
      <c r="F477" t="str">
        <f>"9780323858762"</f>
        <v>9780323858762</v>
      </c>
      <c r="G477" t="str">
        <f>"9780323858731"</f>
        <v>9780323858731</v>
      </c>
      <c r="H477" t="s">
        <v>719</v>
      </c>
      <c r="I477">
        <v>615.6</v>
      </c>
      <c r="J477" t="s">
        <v>1266</v>
      </c>
      <c r="K477" t="s">
        <v>55</v>
      </c>
      <c r="Q477" t="s">
        <v>47</v>
      </c>
      <c r="R477" t="s">
        <v>44</v>
      </c>
      <c r="S477">
        <v>0</v>
      </c>
      <c r="W477" s="3">
        <v>5.7870370370370366E-5</v>
      </c>
      <c r="X477" t="s">
        <v>121</v>
      </c>
      <c r="Y477">
        <v>1</v>
      </c>
      <c r="Z477">
        <v>0</v>
      </c>
      <c r="AA477" t="s">
        <v>49</v>
      </c>
      <c r="AB477">
        <v>0</v>
      </c>
      <c r="AC477" t="s">
        <v>49</v>
      </c>
      <c r="AD477">
        <v>0</v>
      </c>
      <c r="AE477">
        <v>-1</v>
      </c>
      <c r="AF477" t="s">
        <v>50</v>
      </c>
      <c r="AG477" t="s">
        <v>1160</v>
      </c>
    </row>
    <row r="478" spans="1:33" x14ac:dyDescent="0.35">
      <c r="A478" s="1">
        <v>44899.320138888892</v>
      </c>
      <c r="B478">
        <v>281981</v>
      </c>
      <c r="C478" t="s">
        <v>1289</v>
      </c>
      <c r="D478" t="s">
        <v>65</v>
      </c>
      <c r="E478" s="2">
        <v>39045</v>
      </c>
      <c r="F478" t="str">
        <f>"9780080467030"</f>
        <v>9780080467030</v>
      </c>
      <c r="G478" t="str">
        <f>"9780750681629"</f>
        <v>9780750681629</v>
      </c>
      <c r="H478" t="s">
        <v>542</v>
      </c>
      <c r="I478" t="s">
        <v>1290</v>
      </c>
      <c r="J478" t="s">
        <v>1291</v>
      </c>
      <c r="K478" t="s">
        <v>44</v>
      </c>
      <c r="N478" t="s">
        <v>45</v>
      </c>
      <c r="O478" t="s">
        <v>46</v>
      </c>
      <c r="P478" t="s">
        <v>45</v>
      </c>
      <c r="Q478" t="s">
        <v>47</v>
      </c>
      <c r="R478" t="s">
        <v>44</v>
      </c>
      <c r="S478">
        <v>0</v>
      </c>
      <c r="W478" s="3">
        <v>4.6296296296296294E-5</v>
      </c>
      <c r="X478" t="s">
        <v>121</v>
      </c>
      <c r="Y478">
        <v>1</v>
      </c>
      <c r="Z478">
        <v>0</v>
      </c>
      <c r="AA478" t="s">
        <v>49</v>
      </c>
      <c r="AB478">
        <v>0</v>
      </c>
      <c r="AC478" t="s">
        <v>49</v>
      </c>
      <c r="AD478">
        <v>0</v>
      </c>
      <c r="AE478">
        <v>10155869</v>
      </c>
      <c r="AF478" t="s">
        <v>50</v>
      </c>
      <c r="AG478" t="s">
        <v>122</v>
      </c>
    </row>
    <row r="479" spans="1:33" x14ac:dyDescent="0.35">
      <c r="A479" s="1">
        <v>44899.097222222219</v>
      </c>
      <c r="B479">
        <v>1969978</v>
      </c>
      <c r="C479" t="s">
        <v>809</v>
      </c>
      <c r="D479" t="s">
        <v>810</v>
      </c>
      <c r="E479" s="2">
        <v>42154</v>
      </c>
      <c r="F479" t="str">
        <f>"9781627080804"</f>
        <v>9781627080804</v>
      </c>
      <c r="G479" t="str">
        <f>"9781627080798"</f>
        <v>9781627080798</v>
      </c>
      <c r="H479" t="s">
        <v>811</v>
      </c>
      <c r="K479" t="s">
        <v>44</v>
      </c>
      <c r="N479" t="s">
        <v>45</v>
      </c>
      <c r="O479" t="s">
        <v>46</v>
      </c>
      <c r="P479" t="s">
        <v>45</v>
      </c>
      <c r="Q479" t="s">
        <v>47</v>
      </c>
      <c r="R479" t="s">
        <v>44</v>
      </c>
      <c r="S479">
        <v>0</v>
      </c>
      <c r="W479" s="3">
        <v>4.9629629629629635E-2</v>
      </c>
      <c r="X479" t="s">
        <v>1292</v>
      </c>
      <c r="Y479">
        <v>69</v>
      </c>
      <c r="Z479">
        <v>1</v>
      </c>
      <c r="AA479" t="s">
        <v>1293</v>
      </c>
      <c r="AB479">
        <v>24</v>
      </c>
      <c r="AC479" t="s">
        <v>49</v>
      </c>
      <c r="AD479">
        <v>0</v>
      </c>
      <c r="AE479">
        <v>11023556</v>
      </c>
      <c r="AF479" t="s">
        <v>50</v>
      </c>
      <c r="AG479" t="s">
        <v>122</v>
      </c>
    </row>
    <row r="480" spans="1:33" x14ac:dyDescent="0.35">
      <c r="A480" s="1">
        <v>44899.043055555558</v>
      </c>
      <c r="B480">
        <v>1969978</v>
      </c>
      <c r="C480" t="s">
        <v>809</v>
      </c>
      <c r="D480" t="s">
        <v>810</v>
      </c>
      <c r="E480" s="2">
        <v>42154</v>
      </c>
      <c r="F480" t="str">
        <f>"9781627080804"</f>
        <v>9781627080804</v>
      </c>
      <c r="G480" t="str">
        <f>"9781627080798"</f>
        <v>9781627080798</v>
      </c>
      <c r="H480" t="s">
        <v>811</v>
      </c>
      <c r="K480" t="s">
        <v>44</v>
      </c>
      <c r="N480" t="s">
        <v>45</v>
      </c>
      <c r="O480" t="s">
        <v>46</v>
      </c>
      <c r="P480" t="s">
        <v>45</v>
      </c>
      <c r="Q480" t="s">
        <v>47</v>
      </c>
      <c r="R480" t="s">
        <v>44</v>
      </c>
      <c r="S480">
        <v>0</v>
      </c>
      <c r="W480" s="3">
        <v>2.9282407407407412E-3</v>
      </c>
      <c r="X480" t="s">
        <v>1294</v>
      </c>
      <c r="Y480">
        <v>4</v>
      </c>
      <c r="Z480">
        <v>0</v>
      </c>
      <c r="AA480" t="s">
        <v>49</v>
      </c>
      <c r="AB480">
        <v>0</v>
      </c>
      <c r="AC480" t="s">
        <v>49</v>
      </c>
      <c r="AD480">
        <v>0</v>
      </c>
      <c r="AE480">
        <v>11023556</v>
      </c>
      <c r="AF480" t="s">
        <v>50</v>
      </c>
      <c r="AG480" t="s">
        <v>122</v>
      </c>
    </row>
    <row r="481" spans="1:33" x14ac:dyDescent="0.35">
      <c r="A481" s="1">
        <v>44899.01666666667</v>
      </c>
      <c r="B481">
        <v>281981</v>
      </c>
      <c r="C481" t="s">
        <v>1289</v>
      </c>
      <c r="D481" t="s">
        <v>65</v>
      </c>
      <c r="E481" s="2">
        <v>39045</v>
      </c>
      <c r="F481" t="str">
        <f>"9780080467030"</f>
        <v>9780080467030</v>
      </c>
      <c r="G481" t="str">
        <f>"9780750681629"</f>
        <v>9780750681629</v>
      </c>
      <c r="H481" t="s">
        <v>542</v>
      </c>
      <c r="I481" t="s">
        <v>1290</v>
      </c>
      <c r="J481" t="s">
        <v>1291</v>
      </c>
      <c r="K481" t="s">
        <v>44</v>
      </c>
      <c r="N481" t="s">
        <v>45</v>
      </c>
      <c r="O481" t="s">
        <v>46</v>
      </c>
      <c r="P481" t="s">
        <v>45</v>
      </c>
      <c r="Q481" t="s">
        <v>47</v>
      </c>
      <c r="R481" t="s">
        <v>44</v>
      </c>
      <c r="S481">
        <v>0</v>
      </c>
      <c r="W481" s="3">
        <v>1.9097222222222222E-3</v>
      </c>
      <c r="X481" t="s">
        <v>1295</v>
      </c>
      <c r="Y481">
        <v>7</v>
      </c>
      <c r="Z481">
        <v>0</v>
      </c>
      <c r="AA481" t="s">
        <v>49</v>
      </c>
      <c r="AB481">
        <v>0</v>
      </c>
      <c r="AC481" t="s">
        <v>49</v>
      </c>
      <c r="AD481">
        <v>0</v>
      </c>
      <c r="AE481">
        <v>10155869</v>
      </c>
      <c r="AF481" t="s">
        <v>50</v>
      </c>
      <c r="AG481" t="s">
        <v>122</v>
      </c>
    </row>
    <row r="482" spans="1:33" x14ac:dyDescent="0.35">
      <c r="A482" s="1">
        <v>44898.974305555559</v>
      </c>
      <c r="B482">
        <v>4188453</v>
      </c>
      <c r="C482" t="s">
        <v>981</v>
      </c>
      <c r="D482" t="s">
        <v>65</v>
      </c>
      <c r="E482" s="2">
        <v>42333</v>
      </c>
      <c r="F482" t="str">
        <f>"9780081002902"</f>
        <v>9780081002902</v>
      </c>
      <c r="G482" t="str">
        <f>"9780081008799"</f>
        <v>9780081008799</v>
      </c>
      <c r="H482" t="s">
        <v>982</v>
      </c>
      <c r="I482">
        <v>621.44000000000005</v>
      </c>
      <c r="J482" t="s">
        <v>983</v>
      </c>
      <c r="K482" t="s">
        <v>55</v>
      </c>
      <c r="P482" t="s">
        <v>97</v>
      </c>
      <c r="Q482" t="s">
        <v>47</v>
      </c>
      <c r="R482" t="s">
        <v>44</v>
      </c>
      <c r="S482">
        <v>0</v>
      </c>
      <c r="W482" s="3">
        <v>4.8842592592592592E-3</v>
      </c>
      <c r="X482" t="s">
        <v>1296</v>
      </c>
      <c r="Y482">
        <v>16</v>
      </c>
      <c r="Z482">
        <v>0</v>
      </c>
      <c r="AA482" t="s">
        <v>49</v>
      </c>
      <c r="AB482">
        <v>0</v>
      </c>
      <c r="AC482" t="s">
        <v>49</v>
      </c>
      <c r="AD482">
        <v>0</v>
      </c>
      <c r="AE482">
        <v>11128946</v>
      </c>
      <c r="AF482" t="s">
        <v>50</v>
      </c>
      <c r="AG482" t="s">
        <v>388</v>
      </c>
    </row>
    <row r="483" spans="1:33" x14ac:dyDescent="0.35">
      <c r="A483" s="1">
        <v>44898.957638888889</v>
      </c>
      <c r="B483">
        <v>1969978</v>
      </c>
      <c r="C483" t="s">
        <v>809</v>
      </c>
      <c r="D483" t="s">
        <v>810</v>
      </c>
      <c r="E483" s="2">
        <v>42154</v>
      </c>
      <c r="F483" t="str">
        <f>"9781627080804"</f>
        <v>9781627080804</v>
      </c>
      <c r="G483" t="str">
        <f>"9781627080798"</f>
        <v>9781627080798</v>
      </c>
      <c r="H483" t="s">
        <v>811</v>
      </c>
      <c r="K483" t="s">
        <v>44</v>
      </c>
      <c r="N483" t="s">
        <v>45</v>
      </c>
      <c r="O483" t="s">
        <v>46</v>
      </c>
      <c r="P483" t="s">
        <v>45</v>
      </c>
      <c r="Q483" t="s">
        <v>47</v>
      </c>
      <c r="R483" t="s">
        <v>44</v>
      </c>
      <c r="S483">
        <v>0</v>
      </c>
      <c r="W483" s="3">
        <v>2.8819444444444444E-3</v>
      </c>
      <c r="X483" t="s">
        <v>1297</v>
      </c>
      <c r="Y483">
        <v>50</v>
      </c>
      <c r="Z483">
        <v>0</v>
      </c>
      <c r="AA483" t="s">
        <v>49</v>
      </c>
      <c r="AB483">
        <v>0</v>
      </c>
      <c r="AC483" t="s">
        <v>49</v>
      </c>
      <c r="AD483">
        <v>0</v>
      </c>
      <c r="AE483">
        <v>11023556</v>
      </c>
      <c r="AF483" t="s">
        <v>50</v>
      </c>
      <c r="AG483" t="s">
        <v>122</v>
      </c>
    </row>
    <row r="484" spans="1:33" x14ac:dyDescent="0.35">
      <c r="A484" s="1">
        <v>44898.95208333333</v>
      </c>
      <c r="B484">
        <v>6606751</v>
      </c>
      <c r="C484" t="s">
        <v>1298</v>
      </c>
      <c r="D484" t="s">
        <v>59</v>
      </c>
      <c r="E484" s="2">
        <v>44298</v>
      </c>
      <c r="F484" t="str">
        <f>"9781119693673"</f>
        <v>9781119693673</v>
      </c>
      <c r="G484" t="str">
        <f>"9781119693611"</f>
        <v>9781119693611</v>
      </c>
      <c r="H484" t="s">
        <v>1299</v>
      </c>
      <c r="I484">
        <v>363.73939999999999</v>
      </c>
      <c r="J484" t="s">
        <v>1300</v>
      </c>
      <c r="K484" t="s">
        <v>55</v>
      </c>
      <c r="Q484" t="s">
        <v>47</v>
      </c>
      <c r="R484" t="s">
        <v>44</v>
      </c>
      <c r="S484">
        <v>0</v>
      </c>
      <c r="W484" s="3">
        <v>9.4907407407407408E-4</v>
      </c>
      <c r="X484" t="s">
        <v>1301</v>
      </c>
      <c r="Y484">
        <v>5</v>
      </c>
      <c r="Z484">
        <v>0</v>
      </c>
      <c r="AA484" t="s">
        <v>49</v>
      </c>
      <c r="AB484">
        <v>0</v>
      </c>
      <c r="AC484" t="s">
        <v>49</v>
      </c>
      <c r="AD484">
        <v>0</v>
      </c>
      <c r="AE484">
        <v>-1</v>
      </c>
      <c r="AF484" t="s">
        <v>50</v>
      </c>
      <c r="AG484" t="s">
        <v>57</v>
      </c>
    </row>
    <row r="485" spans="1:33" x14ac:dyDescent="0.35">
      <c r="A485" s="1">
        <v>44898.947222222225</v>
      </c>
      <c r="B485">
        <v>4188453</v>
      </c>
      <c r="C485" t="s">
        <v>981</v>
      </c>
      <c r="D485" t="s">
        <v>65</v>
      </c>
      <c r="E485" s="2">
        <v>42333</v>
      </c>
      <c r="F485" t="str">
        <f>"9780081002902"</f>
        <v>9780081002902</v>
      </c>
      <c r="G485" t="str">
        <f>"9780081008799"</f>
        <v>9780081008799</v>
      </c>
      <c r="H485" t="s">
        <v>982</v>
      </c>
      <c r="I485">
        <v>621.44000000000005</v>
      </c>
      <c r="J485" t="s">
        <v>983</v>
      </c>
      <c r="K485" t="s">
        <v>55</v>
      </c>
      <c r="P485" t="s">
        <v>97</v>
      </c>
      <c r="Q485" t="s">
        <v>47</v>
      </c>
      <c r="R485" t="s">
        <v>44</v>
      </c>
      <c r="S485">
        <v>0</v>
      </c>
      <c r="W485" s="3">
        <v>3.8194444444444446E-4</v>
      </c>
      <c r="X485" t="s">
        <v>121</v>
      </c>
      <c r="Y485">
        <v>1</v>
      </c>
      <c r="Z485">
        <v>0</v>
      </c>
      <c r="AA485" t="s">
        <v>49</v>
      </c>
      <c r="AB485">
        <v>0</v>
      </c>
      <c r="AC485" t="s">
        <v>49</v>
      </c>
      <c r="AD485">
        <v>0</v>
      </c>
      <c r="AE485">
        <v>11128946</v>
      </c>
      <c r="AF485" t="s">
        <v>50</v>
      </c>
      <c r="AG485" t="s">
        <v>388</v>
      </c>
    </row>
    <row r="486" spans="1:33" x14ac:dyDescent="0.35">
      <c r="A486" s="1">
        <v>44898.90625</v>
      </c>
      <c r="B486">
        <v>6484277</v>
      </c>
      <c r="C486" t="s">
        <v>1302</v>
      </c>
      <c r="D486" t="s">
        <v>213</v>
      </c>
      <c r="E486" s="2">
        <v>44252</v>
      </c>
      <c r="F486" t="str">
        <f>"9780128231906"</f>
        <v>9780128231906</v>
      </c>
      <c r="G486" t="str">
        <f>"9780128210376"</f>
        <v>9780128210376</v>
      </c>
      <c r="H486" t="s">
        <v>1238</v>
      </c>
      <c r="I486">
        <v>621.44000000000005</v>
      </c>
      <c r="J486" t="s">
        <v>1303</v>
      </c>
      <c r="K486" t="s">
        <v>55</v>
      </c>
      <c r="Q486" t="s">
        <v>47</v>
      </c>
      <c r="R486" t="s">
        <v>44</v>
      </c>
      <c r="S486">
        <v>0</v>
      </c>
      <c r="W486" s="3">
        <v>6.828703703703704E-3</v>
      </c>
      <c r="X486" t="s">
        <v>1304</v>
      </c>
      <c r="Y486">
        <v>3</v>
      </c>
      <c r="Z486">
        <v>0</v>
      </c>
      <c r="AA486" t="s">
        <v>49</v>
      </c>
      <c r="AB486">
        <v>0</v>
      </c>
      <c r="AC486" t="s">
        <v>49</v>
      </c>
      <c r="AD486">
        <v>0</v>
      </c>
      <c r="AE486">
        <v>-1</v>
      </c>
      <c r="AF486" t="s">
        <v>50</v>
      </c>
      <c r="AG486" t="s">
        <v>388</v>
      </c>
    </row>
    <row r="487" spans="1:33" x14ac:dyDescent="0.35">
      <c r="A487" s="1">
        <v>44898.863888888889</v>
      </c>
      <c r="B487">
        <v>1132029</v>
      </c>
      <c r="C487" t="s">
        <v>1305</v>
      </c>
      <c r="D487" t="s">
        <v>1224</v>
      </c>
      <c r="E487" s="2">
        <v>41296</v>
      </c>
      <c r="F487" t="str">
        <f>"9783110238150"</f>
        <v>9783110238150</v>
      </c>
      <c r="G487" t="str">
        <f>"9783110238143"</f>
        <v>9783110238143</v>
      </c>
      <c r="H487" t="s">
        <v>1306</v>
      </c>
      <c r="I487">
        <v>302.22199999999998</v>
      </c>
      <c r="J487" t="s">
        <v>1307</v>
      </c>
      <c r="K487" t="s">
        <v>44</v>
      </c>
      <c r="N487" t="s">
        <v>45</v>
      </c>
      <c r="O487" t="s">
        <v>46</v>
      </c>
      <c r="P487" t="s">
        <v>45</v>
      </c>
      <c r="Q487" t="s">
        <v>47</v>
      </c>
      <c r="R487" t="s">
        <v>44</v>
      </c>
      <c r="S487">
        <v>0</v>
      </c>
      <c r="W487" s="3">
        <v>3.4722222222222222E-5</v>
      </c>
      <c r="X487" t="s">
        <v>1308</v>
      </c>
      <c r="Y487">
        <v>1</v>
      </c>
      <c r="Z487">
        <v>0</v>
      </c>
      <c r="AA487" t="s">
        <v>49</v>
      </c>
      <c r="AB487">
        <v>0</v>
      </c>
      <c r="AC487" t="s">
        <v>49</v>
      </c>
      <c r="AD487">
        <v>0</v>
      </c>
      <c r="AE487">
        <v>10662035</v>
      </c>
      <c r="AF487" t="s">
        <v>50</v>
      </c>
      <c r="AG487" t="s">
        <v>1309</v>
      </c>
    </row>
    <row r="488" spans="1:33" x14ac:dyDescent="0.35">
      <c r="A488" s="1">
        <v>44898.849305555559</v>
      </c>
      <c r="B488">
        <v>6040171</v>
      </c>
      <c r="C488" t="s">
        <v>1310</v>
      </c>
      <c r="D488" t="s">
        <v>59</v>
      </c>
      <c r="E488" s="2">
        <v>43948</v>
      </c>
      <c r="F488" t="str">
        <f>"9781119432203"</f>
        <v>9781119432203</v>
      </c>
      <c r="G488" t="str">
        <f>"9781119432197"</f>
        <v>9781119432197</v>
      </c>
      <c r="H488" t="s">
        <v>789</v>
      </c>
      <c r="I488">
        <v>632.95000000000005</v>
      </c>
      <c r="J488" t="s">
        <v>1311</v>
      </c>
      <c r="K488" t="s">
        <v>44</v>
      </c>
      <c r="N488" t="s">
        <v>45</v>
      </c>
      <c r="O488" t="s">
        <v>46</v>
      </c>
      <c r="P488" t="s">
        <v>45</v>
      </c>
      <c r="Q488" t="s">
        <v>47</v>
      </c>
      <c r="R488" t="s">
        <v>44</v>
      </c>
      <c r="S488">
        <v>0</v>
      </c>
      <c r="W488" s="3">
        <v>9.6990740740740735E-3</v>
      </c>
      <c r="X488" t="s">
        <v>1312</v>
      </c>
      <c r="Y488">
        <v>20</v>
      </c>
      <c r="Z488">
        <v>1</v>
      </c>
      <c r="AA488" t="s">
        <v>1313</v>
      </c>
      <c r="AB488">
        <v>1</v>
      </c>
      <c r="AC488" t="s">
        <v>49</v>
      </c>
      <c r="AD488">
        <v>0</v>
      </c>
      <c r="AE488">
        <v>-1</v>
      </c>
      <c r="AF488" t="s">
        <v>50</v>
      </c>
      <c r="AG488" t="s">
        <v>388</v>
      </c>
    </row>
    <row r="489" spans="1:33" x14ac:dyDescent="0.35">
      <c r="A489" s="1">
        <v>44898.847916666666</v>
      </c>
      <c r="B489">
        <v>7103898</v>
      </c>
      <c r="C489" t="s">
        <v>1314</v>
      </c>
      <c r="D489" t="s">
        <v>1315</v>
      </c>
      <c r="E489" s="2">
        <v>41439</v>
      </c>
      <c r="F489" t="str">
        <f>"9781118629796"</f>
        <v>9781118629796</v>
      </c>
      <c r="G489" t="str">
        <f>"9781119991427"</f>
        <v>9781119991427</v>
      </c>
      <c r="H489" t="s">
        <v>1316</v>
      </c>
      <c r="K489" t="s">
        <v>44</v>
      </c>
      <c r="N489" t="s">
        <v>45</v>
      </c>
      <c r="O489" t="s">
        <v>46</v>
      </c>
      <c r="P489" t="s">
        <v>45</v>
      </c>
      <c r="Q489" t="s">
        <v>47</v>
      </c>
      <c r="R489" t="s">
        <v>44</v>
      </c>
      <c r="S489">
        <v>0</v>
      </c>
      <c r="W489" s="3">
        <v>9.2939814814814812E-3</v>
      </c>
      <c r="X489" t="s">
        <v>1317</v>
      </c>
      <c r="Y489">
        <v>5</v>
      </c>
      <c r="Z489">
        <v>0</v>
      </c>
      <c r="AA489" t="s">
        <v>49</v>
      </c>
      <c r="AB489">
        <v>0</v>
      </c>
      <c r="AC489" t="s">
        <v>49</v>
      </c>
      <c r="AD489">
        <v>0</v>
      </c>
      <c r="AE489">
        <v>-1</v>
      </c>
      <c r="AF489" t="s">
        <v>50</v>
      </c>
      <c r="AG489" t="s">
        <v>388</v>
      </c>
    </row>
    <row r="490" spans="1:33" x14ac:dyDescent="0.35">
      <c r="A490" s="1">
        <v>44898.84375</v>
      </c>
      <c r="B490">
        <v>6154605</v>
      </c>
      <c r="C490" t="s">
        <v>1318</v>
      </c>
      <c r="D490" t="s">
        <v>965</v>
      </c>
      <c r="E490" s="2">
        <v>43949</v>
      </c>
      <c r="F490" t="str">
        <f>"9781462542871"</f>
        <v>9781462542871</v>
      </c>
      <c r="G490" t="str">
        <f>"9781462542840"</f>
        <v>9781462542840</v>
      </c>
      <c r="H490" t="s">
        <v>147</v>
      </c>
      <c r="I490">
        <v>616.85262</v>
      </c>
      <c r="J490" t="s">
        <v>1319</v>
      </c>
      <c r="K490" t="s">
        <v>55</v>
      </c>
      <c r="Q490" t="s">
        <v>47</v>
      </c>
      <c r="R490" t="s">
        <v>44</v>
      </c>
      <c r="S490">
        <v>0</v>
      </c>
      <c r="W490" s="3">
        <v>2.5914351851851855E-2</v>
      </c>
      <c r="X490" t="s">
        <v>1320</v>
      </c>
      <c r="Y490">
        <v>15</v>
      </c>
      <c r="Z490">
        <v>0</v>
      </c>
      <c r="AA490" t="s">
        <v>49</v>
      </c>
      <c r="AB490">
        <v>0</v>
      </c>
      <c r="AC490" t="s">
        <v>49</v>
      </c>
      <c r="AD490">
        <v>0</v>
      </c>
      <c r="AE490">
        <v>-1</v>
      </c>
      <c r="AF490" t="s">
        <v>63</v>
      </c>
      <c r="AG490" t="s">
        <v>57</v>
      </c>
    </row>
    <row r="491" spans="1:33" x14ac:dyDescent="0.35">
      <c r="A491" s="1">
        <v>44898.82916666667</v>
      </c>
      <c r="B491">
        <v>4013135</v>
      </c>
      <c r="C491" t="s">
        <v>1321</v>
      </c>
      <c r="D491" t="s">
        <v>1322</v>
      </c>
      <c r="E491" s="2">
        <v>42290</v>
      </c>
      <c r="F491" t="str">
        <f>"9781613128183"</f>
        <v>9781613128183</v>
      </c>
      <c r="G491" t="str">
        <f>"9781419717963"</f>
        <v>9781419717963</v>
      </c>
      <c r="H491" t="s">
        <v>1046</v>
      </c>
      <c r="I491">
        <v>391.63</v>
      </c>
      <c r="J491" t="s">
        <v>1323</v>
      </c>
      <c r="K491" t="s">
        <v>44</v>
      </c>
      <c r="N491" t="s">
        <v>45</v>
      </c>
      <c r="O491" t="s">
        <v>46</v>
      </c>
      <c r="P491" t="s">
        <v>45</v>
      </c>
      <c r="Q491" t="s">
        <v>47</v>
      </c>
      <c r="R491" t="s">
        <v>44</v>
      </c>
      <c r="S491">
        <v>0</v>
      </c>
      <c r="W491" s="3">
        <v>2.4247685185185181E-2</v>
      </c>
      <c r="X491" t="s">
        <v>1324</v>
      </c>
      <c r="Y491">
        <v>51</v>
      </c>
      <c r="Z491">
        <v>0</v>
      </c>
      <c r="AA491" t="s">
        <v>49</v>
      </c>
      <c r="AB491">
        <v>0</v>
      </c>
      <c r="AC491" t="s">
        <v>49</v>
      </c>
      <c r="AD491">
        <v>0</v>
      </c>
      <c r="AE491">
        <v>11131154</v>
      </c>
      <c r="AF491" t="s">
        <v>50</v>
      </c>
      <c r="AG491" t="s">
        <v>630</v>
      </c>
    </row>
    <row r="492" spans="1:33" x14ac:dyDescent="0.35">
      <c r="A492" s="1">
        <v>44898.824305555558</v>
      </c>
      <c r="B492">
        <v>436783</v>
      </c>
      <c r="C492" t="s">
        <v>1325</v>
      </c>
      <c r="D492" t="s">
        <v>497</v>
      </c>
      <c r="E492" s="2">
        <v>37910</v>
      </c>
      <c r="F492" t="str">
        <f>"9780826435293"</f>
        <v>9780826435293</v>
      </c>
      <c r="G492" t="str">
        <f>"9780826472083"</f>
        <v>9780826472083</v>
      </c>
      <c r="H492" t="s">
        <v>658</v>
      </c>
      <c r="I492">
        <v>780.82</v>
      </c>
      <c r="J492" t="s">
        <v>1326</v>
      </c>
      <c r="K492" t="s">
        <v>44</v>
      </c>
      <c r="N492" t="s">
        <v>45</v>
      </c>
      <c r="O492" t="s">
        <v>46</v>
      </c>
      <c r="P492" t="s">
        <v>45</v>
      </c>
      <c r="Q492" t="s">
        <v>47</v>
      </c>
      <c r="R492" t="s">
        <v>44</v>
      </c>
      <c r="S492">
        <v>0</v>
      </c>
      <c r="W492" s="3">
        <v>1.0185185185185186E-3</v>
      </c>
      <c r="X492" t="s">
        <v>1327</v>
      </c>
      <c r="Y492">
        <v>9</v>
      </c>
      <c r="Z492">
        <v>0</v>
      </c>
      <c r="AA492" t="s">
        <v>49</v>
      </c>
      <c r="AB492">
        <v>0</v>
      </c>
      <c r="AC492" t="s">
        <v>49</v>
      </c>
      <c r="AD492">
        <v>0</v>
      </c>
      <c r="AE492">
        <v>-1</v>
      </c>
      <c r="AF492" t="s">
        <v>50</v>
      </c>
      <c r="AG492" t="s">
        <v>630</v>
      </c>
    </row>
    <row r="493" spans="1:33" x14ac:dyDescent="0.35">
      <c r="A493" s="1">
        <v>44898.822916666664</v>
      </c>
      <c r="B493">
        <v>6425080</v>
      </c>
      <c r="C493" t="s">
        <v>1328</v>
      </c>
      <c r="D493" t="s">
        <v>507</v>
      </c>
      <c r="E493" s="2">
        <v>44131</v>
      </c>
      <c r="F493" t="str">
        <f>"9781474469999"</f>
        <v>9781474469999</v>
      </c>
      <c r="G493" t="str">
        <f>"9781474469982"</f>
        <v>9781474469982</v>
      </c>
      <c r="H493" t="s">
        <v>1329</v>
      </c>
      <c r="I493">
        <v>52.082090450000003</v>
      </c>
      <c r="J493" t="s">
        <v>1330</v>
      </c>
      <c r="K493" t="s">
        <v>55</v>
      </c>
      <c r="Q493" t="s">
        <v>47</v>
      </c>
      <c r="R493" t="s">
        <v>44</v>
      </c>
      <c r="S493">
        <v>0</v>
      </c>
      <c r="W493" s="3">
        <v>4.8611111111111104E-4</v>
      </c>
      <c r="X493" t="s">
        <v>1331</v>
      </c>
      <c r="Y493">
        <v>6</v>
      </c>
      <c r="Z493">
        <v>0</v>
      </c>
      <c r="AA493" t="s">
        <v>49</v>
      </c>
      <c r="AB493">
        <v>0</v>
      </c>
      <c r="AC493" t="s">
        <v>49</v>
      </c>
      <c r="AD493">
        <v>0</v>
      </c>
      <c r="AE493">
        <v>-1</v>
      </c>
      <c r="AF493" t="s">
        <v>50</v>
      </c>
      <c r="AG493" t="s">
        <v>630</v>
      </c>
    </row>
    <row r="494" spans="1:33" x14ac:dyDescent="0.35">
      <c r="A494" s="1">
        <v>44898.817361111112</v>
      </c>
      <c r="B494">
        <v>7103898</v>
      </c>
      <c r="C494" t="s">
        <v>1314</v>
      </c>
      <c r="D494" t="s">
        <v>1315</v>
      </c>
      <c r="E494" s="2">
        <v>41439</v>
      </c>
      <c r="F494" t="str">
        <f>"9781118629796"</f>
        <v>9781118629796</v>
      </c>
      <c r="G494" t="str">
        <f>"9781119991427"</f>
        <v>9781119991427</v>
      </c>
      <c r="H494" t="s">
        <v>1316</v>
      </c>
      <c r="K494" t="s">
        <v>44</v>
      </c>
      <c r="N494" t="s">
        <v>45</v>
      </c>
      <c r="O494" t="s">
        <v>46</v>
      </c>
      <c r="P494" t="s">
        <v>45</v>
      </c>
      <c r="Q494" t="s">
        <v>47</v>
      </c>
      <c r="R494" t="s">
        <v>44</v>
      </c>
      <c r="S494">
        <v>0</v>
      </c>
      <c r="W494" s="3">
        <v>6.875E-3</v>
      </c>
      <c r="X494" t="s">
        <v>1332</v>
      </c>
      <c r="Y494">
        <v>14</v>
      </c>
      <c r="Z494">
        <v>0</v>
      </c>
      <c r="AA494" t="s">
        <v>49</v>
      </c>
      <c r="AB494">
        <v>0</v>
      </c>
      <c r="AC494" t="s">
        <v>49</v>
      </c>
      <c r="AD494">
        <v>0</v>
      </c>
      <c r="AE494">
        <v>-1</v>
      </c>
      <c r="AF494" t="s">
        <v>50</v>
      </c>
      <c r="AG494" t="s">
        <v>388</v>
      </c>
    </row>
    <row r="495" spans="1:33" x14ac:dyDescent="0.35">
      <c r="A495" s="1">
        <v>44898.799305555556</v>
      </c>
      <c r="B495">
        <v>279494</v>
      </c>
      <c r="C495" t="s">
        <v>1333</v>
      </c>
      <c r="D495" t="s">
        <v>125</v>
      </c>
      <c r="E495" s="2">
        <v>37280</v>
      </c>
      <c r="F495" t="str">
        <f>"9780198032953"</f>
        <v>9780198032953</v>
      </c>
      <c r="G495" t="str">
        <f>"9780195144208"</f>
        <v>9780195144208</v>
      </c>
      <c r="H495" t="s">
        <v>667</v>
      </c>
      <c r="I495" t="s">
        <v>1334</v>
      </c>
      <c r="J495" t="s">
        <v>1335</v>
      </c>
      <c r="K495" t="s">
        <v>44</v>
      </c>
      <c r="N495" t="s">
        <v>45</v>
      </c>
      <c r="O495" t="s">
        <v>46</v>
      </c>
      <c r="P495" t="s">
        <v>45</v>
      </c>
      <c r="Q495" t="s">
        <v>47</v>
      </c>
      <c r="R495" t="s">
        <v>44</v>
      </c>
      <c r="S495">
        <v>0</v>
      </c>
      <c r="W495" s="3">
        <v>1.5624999999999999E-3</v>
      </c>
      <c r="X495" t="s">
        <v>1336</v>
      </c>
      <c r="Y495">
        <v>7</v>
      </c>
      <c r="Z495">
        <v>0</v>
      </c>
      <c r="AA495" t="s">
        <v>49</v>
      </c>
      <c r="AB495">
        <v>0</v>
      </c>
      <c r="AC495" t="s">
        <v>49</v>
      </c>
      <c r="AD495">
        <v>0</v>
      </c>
      <c r="AE495">
        <v>11303309</v>
      </c>
      <c r="AF495" t="s">
        <v>50</v>
      </c>
      <c r="AG495" t="s">
        <v>388</v>
      </c>
    </row>
    <row r="496" spans="1:33" x14ac:dyDescent="0.35">
      <c r="A496" s="1">
        <v>44898.736805555556</v>
      </c>
      <c r="B496">
        <v>625297</v>
      </c>
      <c r="C496" t="s">
        <v>1337</v>
      </c>
      <c r="D496" t="s">
        <v>329</v>
      </c>
      <c r="E496" s="2">
        <v>40527</v>
      </c>
      <c r="F496" t="str">
        <f>"9781437744620"</f>
        <v>9781437744620</v>
      </c>
      <c r="G496" t="str">
        <f>"9781437744613"</f>
        <v>9781437744613</v>
      </c>
      <c r="H496" t="s">
        <v>1338</v>
      </c>
      <c r="I496">
        <v>668.3</v>
      </c>
      <c r="J496" t="s">
        <v>1339</v>
      </c>
      <c r="K496" t="s">
        <v>44</v>
      </c>
      <c r="N496" t="s">
        <v>45</v>
      </c>
      <c r="O496" t="s">
        <v>46</v>
      </c>
      <c r="P496" t="s">
        <v>45</v>
      </c>
      <c r="Q496" t="s">
        <v>47</v>
      </c>
      <c r="R496" t="s">
        <v>44</v>
      </c>
      <c r="S496">
        <v>0</v>
      </c>
      <c r="W496" s="3">
        <v>2.5810185185185185E-3</v>
      </c>
      <c r="X496" t="s">
        <v>1340</v>
      </c>
      <c r="Y496">
        <v>8</v>
      </c>
      <c r="Z496">
        <v>0</v>
      </c>
      <c r="AA496" t="s">
        <v>49</v>
      </c>
      <c r="AB496">
        <v>0</v>
      </c>
      <c r="AC496" t="s">
        <v>1341</v>
      </c>
      <c r="AD496">
        <v>2</v>
      </c>
      <c r="AE496">
        <v>10447950</v>
      </c>
      <c r="AF496" t="s">
        <v>50</v>
      </c>
      <c r="AG496" t="s">
        <v>57</v>
      </c>
    </row>
    <row r="497" spans="1:33" x14ac:dyDescent="0.35">
      <c r="A497" s="1">
        <v>44898.734027777777</v>
      </c>
      <c r="B497">
        <v>4043044</v>
      </c>
      <c r="C497" t="s">
        <v>1342</v>
      </c>
      <c r="D497" t="s">
        <v>59</v>
      </c>
      <c r="E497" s="2">
        <v>42219</v>
      </c>
      <c r="F497" t="str">
        <f>"9781119117704"</f>
        <v>9781119117704</v>
      </c>
      <c r="G497" t="str">
        <f>"9781119117575"</f>
        <v>9781119117575</v>
      </c>
      <c r="H497" t="s">
        <v>513</v>
      </c>
      <c r="I497" t="s">
        <v>1343</v>
      </c>
      <c r="J497" t="s">
        <v>1344</v>
      </c>
      <c r="K497" t="s">
        <v>44</v>
      </c>
      <c r="N497" t="s">
        <v>45</v>
      </c>
      <c r="O497" t="s">
        <v>46</v>
      </c>
      <c r="P497" t="s">
        <v>45</v>
      </c>
      <c r="Q497" t="s">
        <v>47</v>
      </c>
      <c r="R497" t="s">
        <v>44</v>
      </c>
      <c r="S497">
        <v>0</v>
      </c>
      <c r="W497" s="3">
        <v>1.4467592592592594E-3</v>
      </c>
      <c r="X497" t="s">
        <v>1345</v>
      </c>
      <c r="Y497">
        <v>15</v>
      </c>
      <c r="Z497">
        <v>1</v>
      </c>
      <c r="AA497" t="s">
        <v>1346</v>
      </c>
      <c r="AB497">
        <v>4</v>
      </c>
      <c r="AC497" t="s">
        <v>49</v>
      </c>
      <c r="AD497">
        <v>0</v>
      </c>
      <c r="AE497">
        <v>11088031</v>
      </c>
      <c r="AF497" t="s">
        <v>50</v>
      </c>
      <c r="AG497" t="s">
        <v>57</v>
      </c>
    </row>
    <row r="498" spans="1:33" x14ac:dyDescent="0.35">
      <c r="A498" s="1">
        <v>44898.728472222225</v>
      </c>
      <c r="B498">
        <v>5989043</v>
      </c>
      <c r="C498" t="s">
        <v>1347</v>
      </c>
      <c r="D498" t="s">
        <v>1348</v>
      </c>
      <c r="E498" s="2">
        <v>43815</v>
      </c>
      <c r="F498" t="str">
        <f>"9783658288273"</f>
        <v>9783658288273</v>
      </c>
      <c r="G498" t="str">
        <f>"9783658288266"</f>
        <v>9783658288266</v>
      </c>
      <c r="H498" t="s">
        <v>1349</v>
      </c>
      <c r="I498">
        <v>616.85270000000003</v>
      </c>
      <c r="J498" t="s">
        <v>1350</v>
      </c>
      <c r="K498" t="s">
        <v>55</v>
      </c>
      <c r="Q498" t="s">
        <v>47</v>
      </c>
      <c r="R498" t="s">
        <v>44</v>
      </c>
      <c r="S498">
        <v>0</v>
      </c>
      <c r="W498" s="3">
        <v>4.9768518518518521E-4</v>
      </c>
      <c r="X498" t="s">
        <v>1351</v>
      </c>
      <c r="Y498">
        <v>9</v>
      </c>
      <c r="Z498">
        <v>0</v>
      </c>
      <c r="AA498" t="s">
        <v>49</v>
      </c>
      <c r="AB498">
        <v>0</v>
      </c>
      <c r="AC498" t="s">
        <v>49</v>
      </c>
      <c r="AD498">
        <v>0</v>
      </c>
      <c r="AE498">
        <v>-1</v>
      </c>
      <c r="AF498" t="s">
        <v>50</v>
      </c>
      <c r="AG498" t="s">
        <v>388</v>
      </c>
    </row>
    <row r="499" spans="1:33" x14ac:dyDescent="0.35">
      <c r="A499" s="1">
        <v>44898.722916666666</v>
      </c>
      <c r="B499">
        <v>6484277</v>
      </c>
      <c r="C499" t="s">
        <v>1302</v>
      </c>
      <c r="D499" t="s">
        <v>213</v>
      </c>
      <c r="E499" s="2">
        <v>44252</v>
      </c>
      <c r="F499" t="str">
        <f>"9780128231906"</f>
        <v>9780128231906</v>
      </c>
      <c r="G499" t="str">
        <f>"9780128210376"</f>
        <v>9780128210376</v>
      </c>
      <c r="H499" t="s">
        <v>1238</v>
      </c>
      <c r="I499">
        <v>621.44000000000005</v>
      </c>
      <c r="J499" t="s">
        <v>1303</v>
      </c>
      <c r="K499" t="s">
        <v>55</v>
      </c>
      <c r="Q499" t="s">
        <v>47</v>
      </c>
      <c r="R499" t="s">
        <v>44</v>
      </c>
      <c r="S499">
        <v>0</v>
      </c>
      <c r="W499" s="3">
        <v>1.8090277777777778E-2</v>
      </c>
      <c r="X499" t="s">
        <v>1352</v>
      </c>
      <c r="Y499">
        <v>4</v>
      </c>
      <c r="Z499">
        <v>0</v>
      </c>
      <c r="AA499" t="s">
        <v>49</v>
      </c>
      <c r="AB499">
        <v>0</v>
      </c>
      <c r="AC499" t="s">
        <v>49</v>
      </c>
      <c r="AD499">
        <v>0</v>
      </c>
      <c r="AE499">
        <v>-1</v>
      </c>
      <c r="AF499" t="s">
        <v>50</v>
      </c>
      <c r="AG499" t="s">
        <v>388</v>
      </c>
    </row>
    <row r="500" spans="1:33" x14ac:dyDescent="0.35">
      <c r="A500" s="1">
        <v>44898.720833333333</v>
      </c>
      <c r="B500">
        <v>6788116</v>
      </c>
      <c r="C500" t="s">
        <v>64</v>
      </c>
      <c r="D500" t="s">
        <v>65</v>
      </c>
      <c r="E500" s="2">
        <v>44490</v>
      </c>
      <c r="F500" t="str">
        <f>"9780323900058"</f>
        <v>9780323900058</v>
      </c>
      <c r="G500" t="str">
        <f>"9780323897754"</f>
        <v>9780323897754</v>
      </c>
      <c r="H500" t="s">
        <v>66</v>
      </c>
      <c r="I500">
        <v>570.28499999999997</v>
      </c>
      <c r="J500" t="s">
        <v>67</v>
      </c>
      <c r="K500" t="s">
        <v>55</v>
      </c>
      <c r="Q500" t="s">
        <v>47</v>
      </c>
      <c r="R500" t="s">
        <v>44</v>
      </c>
      <c r="S500">
        <v>0</v>
      </c>
      <c r="W500" s="3">
        <v>2.685185185185185E-3</v>
      </c>
      <c r="X500" t="s">
        <v>1353</v>
      </c>
      <c r="Y500">
        <v>25</v>
      </c>
      <c r="Z500">
        <v>0</v>
      </c>
      <c r="AA500" t="s">
        <v>49</v>
      </c>
      <c r="AB500">
        <v>0</v>
      </c>
      <c r="AC500" t="s">
        <v>49</v>
      </c>
      <c r="AD500">
        <v>0</v>
      </c>
      <c r="AE500">
        <v>-1</v>
      </c>
      <c r="AF500" t="s">
        <v>63</v>
      </c>
      <c r="AG500" t="s">
        <v>741</v>
      </c>
    </row>
    <row r="501" spans="1:33" x14ac:dyDescent="0.35">
      <c r="A501" s="1">
        <v>44898.560416666667</v>
      </c>
      <c r="B501">
        <v>28983913</v>
      </c>
      <c r="C501" t="s">
        <v>1089</v>
      </c>
      <c r="D501" t="s">
        <v>1090</v>
      </c>
      <c r="E501" s="2">
        <v>44245</v>
      </c>
      <c r="F501" t="str">
        <f>"9780768099430"</f>
        <v>9780768099430</v>
      </c>
      <c r="G501" t="str">
        <f>"9780768099423"</f>
        <v>9780768099423</v>
      </c>
      <c r="H501" t="s">
        <v>639</v>
      </c>
      <c r="K501" t="s">
        <v>44</v>
      </c>
      <c r="N501" t="s">
        <v>45</v>
      </c>
      <c r="O501" t="s">
        <v>46</v>
      </c>
      <c r="P501" t="s">
        <v>45</v>
      </c>
      <c r="Q501" t="s">
        <v>47</v>
      </c>
      <c r="R501" t="s">
        <v>44</v>
      </c>
      <c r="S501">
        <v>0</v>
      </c>
      <c r="W501" s="3">
        <v>9.9537037037037042E-4</v>
      </c>
      <c r="X501" t="s">
        <v>1354</v>
      </c>
      <c r="Y501">
        <v>21</v>
      </c>
      <c r="Z501">
        <v>0</v>
      </c>
      <c r="AA501" t="s">
        <v>49</v>
      </c>
      <c r="AB501">
        <v>0</v>
      </c>
      <c r="AC501" t="s">
        <v>49</v>
      </c>
      <c r="AD501">
        <v>0</v>
      </c>
      <c r="AE501">
        <v>-1</v>
      </c>
      <c r="AF501" t="s">
        <v>50</v>
      </c>
      <c r="AG501" t="s">
        <v>1355</v>
      </c>
    </row>
    <row r="502" spans="1:33" x14ac:dyDescent="0.35">
      <c r="A502" s="1">
        <v>44898.490277777775</v>
      </c>
      <c r="B502">
        <v>945186</v>
      </c>
      <c r="C502" t="s">
        <v>1356</v>
      </c>
      <c r="D502" t="s">
        <v>59</v>
      </c>
      <c r="E502" s="2">
        <v>41197</v>
      </c>
      <c r="F502" t="str">
        <f>"9783527654338"</f>
        <v>9783527654338</v>
      </c>
      <c r="G502" t="str">
        <f>"9783527330157"</f>
        <v>9783527330157</v>
      </c>
      <c r="H502" t="s">
        <v>1220</v>
      </c>
      <c r="I502">
        <v>615.19000000000005</v>
      </c>
      <c r="J502" t="s">
        <v>1357</v>
      </c>
      <c r="K502" t="s">
        <v>44</v>
      </c>
      <c r="N502" t="s">
        <v>45</v>
      </c>
      <c r="O502" t="s">
        <v>46</v>
      </c>
      <c r="P502" t="s">
        <v>45</v>
      </c>
      <c r="Q502" t="s">
        <v>47</v>
      </c>
      <c r="R502" t="s">
        <v>44</v>
      </c>
      <c r="S502">
        <v>0</v>
      </c>
      <c r="W502" s="3">
        <v>9.1435185185185185E-4</v>
      </c>
      <c r="X502" t="s">
        <v>1358</v>
      </c>
      <c r="Y502">
        <v>11</v>
      </c>
      <c r="Z502">
        <v>0</v>
      </c>
      <c r="AA502" t="s">
        <v>49</v>
      </c>
      <c r="AB502">
        <v>0</v>
      </c>
      <c r="AC502" t="s">
        <v>49</v>
      </c>
      <c r="AD502">
        <v>0</v>
      </c>
      <c r="AE502">
        <v>10575526</v>
      </c>
      <c r="AF502" t="s">
        <v>50</v>
      </c>
      <c r="AG502" t="s">
        <v>388</v>
      </c>
    </row>
    <row r="503" spans="1:33" x14ac:dyDescent="0.35">
      <c r="A503" s="1">
        <v>44898.354166666664</v>
      </c>
      <c r="B503">
        <v>279494</v>
      </c>
      <c r="C503" t="s">
        <v>1333</v>
      </c>
      <c r="D503" t="s">
        <v>125</v>
      </c>
      <c r="E503" s="2">
        <v>37280</v>
      </c>
      <c r="F503" t="str">
        <f>"9780198032953"</f>
        <v>9780198032953</v>
      </c>
      <c r="G503" t="str">
        <f>"9780195144208"</f>
        <v>9780195144208</v>
      </c>
      <c r="H503" t="s">
        <v>667</v>
      </c>
      <c r="I503" t="s">
        <v>1334</v>
      </c>
      <c r="J503" t="s">
        <v>1335</v>
      </c>
      <c r="K503" t="s">
        <v>44</v>
      </c>
      <c r="N503" t="s">
        <v>45</v>
      </c>
      <c r="O503" t="s">
        <v>46</v>
      </c>
      <c r="P503" t="s">
        <v>45</v>
      </c>
      <c r="Q503" t="s">
        <v>47</v>
      </c>
      <c r="R503" t="s">
        <v>44</v>
      </c>
      <c r="S503">
        <v>0</v>
      </c>
      <c r="W503" s="3">
        <v>3.0081018518518521E-2</v>
      </c>
      <c r="X503" t="s">
        <v>1359</v>
      </c>
      <c r="Y503">
        <v>15</v>
      </c>
      <c r="Z503">
        <v>0</v>
      </c>
      <c r="AA503" t="s">
        <v>49</v>
      </c>
      <c r="AB503">
        <v>0</v>
      </c>
      <c r="AC503" t="s">
        <v>49</v>
      </c>
      <c r="AD503">
        <v>0</v>
      </c>
      <c r="AE503">
        <v>11303309</v>
      </c>
      <c r="AF503" t="s">
        <v>50</v>
      </c>
      <c r="AG503" t="s">
        <v>1360</v>
      </c>
    </row>
    <row r="504" spans="1:33" x14ac:dyDescent="0.35">
      <c r="A504" s="1">
        <v>44898.347916666666</v>
      </c>
      <c r="B504">
        <v>279494</v>
      </c>
      <c r="C504" t="s">
        <v>1333</v>
      </c>
      <c r="D504" t="s">
        <v>125</v>
      </c>
      <c r="E504" s="2">
        <v>37280</v>
      </c>
      <c r="F504" t="str">
        <f>"9780198032953"</f>
        <v>9780198032953</v>
      </c>
      <c r="G504" t="str">
        <f>"9780195144208"</f>
        <v>9780195144208</v>
      </c>
      <c r="H504" t="s">
        <v>667</v>
      </c>
      <c r="I504" t="s">
        <v>1334</v>
      </c>
      <c r="J504" t="s">
        <v>1335</v>
      </c>
      <c r="K504" t="s">
        <v>44</v>
      </c>
      <c r="N504" t="s">
        <v>45</v>
      </c>
      <c r="O504" t="s">
        <v>46</v>
      </c>
      <c r="P504" t="s">
        <v>45</v>
      </c>
      <c r="Q504" t="s">
        <v>47</v>
      </c>
      <c r="R504" t="s">
        <v>44</v>
      </c>
      <c r="S504">
        <v>0</v>
      </c>
      <c r="W504" s="3">
        <v>4.6296296296296294E-5</v>
      </c>
      <c r="X504" t="s">
        <v>121</v>
      </c>
      <c r="Y504">
        <v>1</v>
      </c>
      <c r="Z504">
        <v>0</v>
      </c>
      <c r="AA504" t="s">
        <v>49</v>
      </c>
      <c r="AB504">
        <v>0</v>
      </c>
      <c r="AC504" t="s">
        <v>49</v>
      </c>
      <c r="AD504">
        <v>0</v>
      </c>
      <c r="AE504">
        <v>11303309</v>
      </c>
      <c r="AF504" t="s">
        <v>50</v>
      </c>
      <c r="AG504" t="s">
        <v>670</v>
      </c>
    </row>
    <row r="505" spans="1:33" x14ac:dyDescent="0.35">
      <c r="A505" s="1">
        <v>44898.269444444442</v>
      </c>
      <c r="B505">
        <v>286669</v>
      </c>
      <c r="C505" t="s">
        <v>1361</v>
      </c>
      <c r="D505" t="s">
        <v>213</v>
      </c>
      <c r="E505" s="2">
        <v>37869</v>
      </c>
      <c r="F505" t="str">
        <f>"9780080469959"</f>
        <v>9780080469959</v>
      </c>
      <c r="G505" t="str">
        <f>"9780750647090"</f>
        <v>9780750647090</v>
      </c>
      <c r="H505" t="s">
        <v>1362</v>
      </c>
      <c r="I505">
        <v>670.72</v>
      </c>
      <c r="J505" t="s">
        <v>1363</v>
      </c>
      <c r="K505" t="s">
        <v>44</v>
      </c>
      <c r="N505" t="s">
        <v>45</v>
      </c>
      <c r="O505" t="s">
        <v>46</v>
      </c>
      <c r="P505" t="s">
        <v>45</v>
      </c>
      <c r="Q505" t="s">
        <v>47</v>
      </c>
      <c r="R505" t="s">
        <v>44</v>
      </c>
      <c r="S505">
        <v>0</v>
      </c>
      <c r="W505" s="3">
        <v>3.4722222222222222E-5</v>
      </c>
      <c r="X505" t="s">
        <v>121</v>
      </c>
      <c r="Y505">
        <v>1</v>
      </c>
      <c r="Z505">
        <v>0</v>
      </c>
      <c r="AA505" t="s">
        <v>49</v>
      </c>
      <c r="AB505">
        <v>0</v>
      </c>
      <c r="AC505" t="s">
        <v>49</v>
      </c>
      <c r="AD505">
        <v>0</v>
      </c>
      <c r="AE505">
        <v>10166962</v>
      </c>
      <c r="AF505" t="s">
        <v>50</v>
      </c>
      <c r="AG505" t="s">
        <v>388</v>
      </c>
    </row>
    <row r="506" spans="1:33" x14ac:dyDescent="0.35">
      <c r="A506" s="1">
        <v>44898.074305555558</v>
      </c>
      <c r="B506">
        <v>6404827</v>
      </c>
      <c r="C506" t="s">
        <v>1262</v>
      </c>
      <c r="D506" t="s">
        <v>65</v>
      </c>
      <c r="E506" s="2">
        <v>44161</v>
      </c>
      <c r="F506" t="str">
        <f>"9780128232484"</f>
        <v>9780128232484</v>
      </c>
      <c r="G506" t="str">
        <f>"9780128217245"</f>
        <v>9780128217245</v>
      </c>
      <c r="H506" t="s">
        <v>538</v>
      </c>
      <c r="I506">
        <v>621.04200000000003</v>
      </c>
      <c r="J506" t="s">
        <v>1263</v>
      </c>
      <c r="K506" t="s">
        <v>55</v>
      </c>
      <c r="Q506" t="s">
        <v>47</v>
      </c>
      <c r="R506" t="s">
        <v>44</v>
      </c>
      <c r="S506">
        <v>0</v>
      </c>
      <c r="W506" s="3">
        <v>5.4398148148148144E-4</v>
      </c>
      <c r="X506" t="s">
        <v>1364</v>
      </c>
      <c r="Y506">
        <v>8</v>
      </c>
      <c r="Z506">
        <v>0</v>
      </c>
      <c r="AA506" t="s">
        <v>49</v>
      </c>
      <c r="AB506">
        <v>0</v>
      </c>
      <c r="AC506" t="s">
        <v>49</v>
      </c>
      <c r="AD506">
        <v>0</v>
      </c>
      <c r="AE506">
        <v>-1</v>
      </c>
      <c r="AF506" t="s">
        <v>50</v>
      </c>
      <c r="AG506" t="s">
        <v>670</v>
      </c>
    </row>
    <row r="507" spans="1:33" x14ac:dyDescent="0.35">
      <c r="A507" s="1">
        <v>44897.973611111112</v>
      </c>
      <c r="B507">
        <v>1583656</v>
      </c>
      <c r="C507" t="s">
        <v>1365</v>
      </c>
      <c r="D507" t="s">
        <v>65</v>
      </c>
      <c r="E507" s="2">
        <v>41053</v>
      </c>
      <c r="F507" t="str">
        <f>"9780857095640"</f>
        <v>9780857095640</v>
      </c>
      <c r="G507" t="str">
        <f>"9780857090690"</f>
        <v>9780857090690</v>
      </c>
      <c r="H507" t="s">
        <v>1366</v>
      </c>
      <c r="I507">
        <v>677.5</v>
      </c>
      <c r="J507" t="s">
        <v>1367</v>
      </c>
      <c r="K507" t="s">
        <v>44</v>
      </c>
      <c r="N507" t="s">
        <v>45</v>
      </c>
      <c r="O507" t="s">
        <v>46</v>
      </c>
      <c r="P507" t="s">
        <v>45</v>
      </c>
      <c r="Q507" t="s">
        <v>47</v>
      </c>
      <c r="R507" t="s">
        <v>44</v>
      </c>
      <c r="S507">
        <v>0</v>
      </c>
      <c r="W507" s="3">
        <v>7.0601851851851847E-4</v>
      </c>
      <c r="X507" t="s">
        <v>1368</v>
      </c>
      <c r="Y507">
        <v>3</v>
      </c>
      <c r="Z507">
        <v>0</v>
      </c>
      <c r="AA507" t="s">
        <v>49</v>
      </c>
      <c r="AB507">
        <v>0</v>
      </c>
      <c r="AC507" t="s">
        <v>1369</v>
      </c>
      <c r="AD507">
        <v>1</v>
      </c>
      <c r="AE507">
        <v>10641518</v>
      </c>
      <c r="AF507" t="s">
        <v>50</v>
      </c>
      <c r="AG507" t="s">
        <v>388</v>
      </c>
    </row>
    <row r="508" spans="1:33" x14ac:dyDescent="0.35">
      <c r="A508" s="1">
        <v>44897.941666666666</v>
      </c>
      <c r="B508">
        <v>1583656</v>
      </c>
      <c r="C508" t="s">
        <v>1365</v>
      </c>
      <c r="D508" t="s">
        <v>65</v>
      </c>
      <c r="E508" s="2">
        <v>41053</v>
      </c>
      <c r="F508" t="str">
        <f>"9780857095640"</f>
        <v>9780857095640</v>
      </c>
      <c r="G508" t="str">
        <f>"9780857090690"</f>
        <v>9780857090690</v>
      </c>
      <c r="H508" t="s">
        <v>1366</v>
      </c>
      <c r="I508">
        <v>677.5</v>
      </c>
      <c r="J508" t="s">
        <v>1367</v>
      </c>
      <c r="K508" t="s">
        <v>44</v>
      </c>
      <c r="N508" t="s">
        <v>45</v>
      </c>
      <c r="O508" t="s">
        <v>46</v>
      </c>
      <c r="P508" t="s">
        <v>45</v>
      </c>
      <c r="Q508" t="s">
        <v>47</v>
      </c>
      <c r="R508" t="s">
        <v>44</v>
      </c>
      <c r="S508">
        <v>0</v>
      </c>
      <c r="W508" s="3">
        <v>3.1134259259259257E-3</v>
      </c>
      <c r="X508" t="s">
        <v>1370</v>
      </c>
      <c r="Y508">
        <v>11</v>
      </c>
      <c r="Z508">
        <v>0</v>
      </c>
      <c r="AA508" t="s">
        <v>49</v>
      </c>
      <c r="AB508">
        <v>0</v>
      </c>
      <c r="AC508" t="s">
        <v>1371</v>
      </c>
      <c r="AD508">
        <v>3</v>
      </c>
      <c r="AE508">
        <v>10641518</v>
      </c>
      <c r="AF508" t="s">
        <v>50</v>
      </c>
      <c r="AG508" t="s">
        <v>388</v>
      </c>
    </row>
    <row r="509" spans="1:33" x14ac:dyDescent="0.35">
      <c r="A509" s="1">
        <v>44897.863194444442</v>
      </c>
      <c r="B509">
        <v>1583656</v>
      </c>
      <c r="C509" t="s">
        <v>1365</v>
      </c>
      <c r="D509" t="s">
        <v>65</v>
      </c>
      <c r="E509" s="2">
        <v>41053</v>
      </c>
      <c r="F509" t="str">
        <f>"9780857095640"</f>
        <v>9780857095640</v>
      </c>
      <c r="G509" t="str">
        <f>"9780857090690"</f>
        <v>9780857090690</v>
      </c>
      <c r="H509" t="s">
        <v>1366</v>
      </c>
      <c r="I509">
        <v>677.5</v>
      </c>
      <c r="J509" t="s">
        <v>1367</v>
      </c>
      <c r="K509" t="s">
        <v>44</v>
      </c>
      <c r="N509" t="s">
        <v>45</v>
      </c>
      <c r="O509" t="s">
        <v>46</v>
      </c>
      <c r="P509" t="s">
        <v>45</v>
      </c>
      <c r="Q509" t="s">
        <v>47</v>
      </c>
      <c r="R509" t="s">
        <v>44</v>
      </c>
      <c r="S509">
        <v>0</v>
      </c>
      <c r="W509" s="3">
        <v>1.1203703703703704E-2</v>
      </c>
      <c r="X509" t="s">
        <v>1372</v>
      </c>
      <c r="Y509">
        <v>30</v>
      </c>
      <c r="Z509">
        <v>0</v>
      </c>
      <c r="AA509" t="s">
        <v>49</v>
      </c>
      <c r="AB509">
        <v>0</v>
      </c>
      <c r="AC509" t="s">
        <v>49</v>
      </c>
      <c r="AD509">
        <v>0</v>
      </c>
      <c r="AE509">
        <v>10641518</v>
      </c>
      <c r="AF509" t="s">
        <v>50</v>
      </c>
      <c r="AG509" t="s">
        <v>388</v>
      </c>
    </row>
    <row r="510" spans="1:33" x14ac:dyDescent="0.35">
      <c r="A510" s="1">
        <v>44897.861805555556</v>
      </c>
      <c r="B510">
        <v>887131</v>
      </c>
      <c r="C510" t="s">
        <v>1373</v>
      </c>
      <c r="D510" t="s">
        <v>1224</v>
      </c>
      <c r="E510" s="2">
        <v>40983</v>
      </c>
      <c r="F510" t="str">
        <f>"9783110253399"</f>
        <v>9783110253399</v>
      </c>
      <c r="G510" t="str">
        <f>"9783110253023"</f>
        <v>9783110253023</v>
      </c>
      <c r="H510" t="s">
        <v>1374</v>
      </c>
      <c r="I510" t="s">
        <v>434</v>
      </c>
      <c r="J510" t="s">
        <v>1375</v>
      </c>
      <c r="K510" t="s">
        <v>44</v>
      </c>
      <c r="N510" t="s">
        <v>45</v>
      </c>
      <c r="O510" t="s">
        <v>46</v>
      </c>
      <c r="P510" t="s">
        <v>45</v>
      </c>
      <c r="Q510" t="s">
        <v>47</v>
      </c>
      <c r="R510" t="s">
        <v>44</v>
      </c>
      <c r="S510">
        <v>0</v>
      </c>
      <c r="W510" s="3">
        <v>1.0613425925925927E-2</v>
      </c>
      <c r="X510" t="s">
        <v>1376</v>
      </c>
      <c r="Y510">
        <v>40</v>
      </c>
      <c r="Z510">
        <v>0</v>
      </c>
      <c r="AA510" t="s">
        <v>49</v>
      </c>
      <c r="AB510">
        <v>0</v>
      </c>
      <c r="AC510" t="s">
        <v>49</v>
      </c>
      <c r="AD510">
        <v>0</v>
      </c>
      <c r="AE510">
        <v>10554726</v>
      </c>
      <c r="AF510" t="s">
        <v>50</v>
      </c>
      <c r="AG510" t="s">
        <v>57</v>
      </c>
    </row>
    <row r="511" spans="1:33" x14ac:dyDescent="0.35">
      <c r="A511" s="1">
        <v>44897.839583333334</v>
      </c>
      <c r="B511">
        <v>875843</v>
      </c>
      <c r="C511" t="s">
        <v>1377</v>
      </c>
      <c r="D511" t="s">
        <v>59</v>
      </c>
      <c r="E511" s="2">
        <v>41134</v>
      </c>
      <c r="F511" t="str">
        <f>"9781118332856"</f>
        <v>9781118332856</v>
      </c>
      <c r="G511" t="str">
        <f>"9780470902936"</f>
        <v>9780470902936</v>
      </c>
      <c r="H511" t="s">
        <v>1378</v>
      </c>
      <c r="I511">
        <v>621.40219999999999</v>
      </c>
      <c r="J511" t="s">
        <v>1379</v>
      </c>
      <c r="K511" t="s">
        <v>44</v>
      </c>
      <c r="N511" t="s">
        <v>45</v>
      </c>
      <c r="O511" t="s">
        <v>46</v>
      </c>
      <c r="P511" t="s">
        <v>45</v>
      </c>
      <c r="Q511" t="s">
        <v>47</v>
      </c>
      <c r="R511" t="s">
        <v>44</v>
      </c>
      <c r="S511">
        <v>0</v>
      </c>
      <c r="W511" s="3">
        <v>2.2002314814814818E-2</v>
      </c>
      <c r="X511" t="s">
        <v>1380</v>
      </c>
      <c r="Y511">
        <v>56</v>
      </c>
      <c r="Z511">
        <v>0</v>
      </c>
      <c r="AA511" t="s">
        <v>49</v>
      </c>
      <c r="AB511">
        <v>0</v>
      </c>
      <c r="AC511" t="s">
        <v>49</v>
      </c>
      <c r="AD511">
        <v>0</v>
      </c>
      <c r="AE511">
        <v>10593121</v>
      </c>
      <c r="AF511" t="s">
        <v>50</v>
      </c>
      <c r="AG511" t="s">
        <v>57</v>
      </c>
    </row>
    <row r="512" spans="1:33" x14ac:dyDescent="0.35">
      <c r="A512" s="1">
        <v>44897.789583333331</v>
      </c>
      <c r="B512">
        <v>279494</v>
      </c>
      <c r="C512" t="s">
        <v>1333</v>
      </c>
      <c r="D512" t="s">
        <v>125</v>
      </c>
      <c r="E512" s="2">
        <v>37280</v>
      </c>
      <c r="F512" t="str">
        <f>"9780198032953"</f>
        <v>9780198032953</v>
      </c>
      <c r="G512" t="str">
        <f>"9780195144208"</f>
        <v>9780195144208</v>
      </c>
      <c r="H512" t="s">
        <v>667</v>
      </c>
      <c r="I512" t="s">
        <v>1334</v>
      </c>
      <c r="J512" t="s">
        <v>1335</v>
      </c>
      <c r="K512" t="s">
        <v>44</v>
      </c>
      <c r="N512" t="s">
        <v>45</v>
      </c>
      <c r="O512" t="s">
        <v>46</v>
      </c>
      <c r="P512" t="s">
        <v>45</v>
      </c>
      <c r="Q512" t="s">
        <v>47</v>
      </c>
      <c r="R512" t="s">
        <v>44</v>
      </c>
      <c r="S512">
        <v>0</v>
      </c>
      <c r="W512" s="3">
        <v>8.3101851851851861E-3</v>
      </c>
      <c r="X512" t="s">
        <v>1381</v>
      </c>
      <c r="Y512">
        <v>8</v>
      </c>
      <c r="Z512">
        <v>0</v>
      </c>
      <c r="AA512" t="s">
        <v>49</v>
      </c>
      <c r="AB512">
        <v>0</v>
      </c>
      <c r="AC512" t="s">
        <v>1382</v>
      </c>
      <c r="AD512">
        <v>1</v>
      </c>
      <c r="AE512">
        <v>11303309</v>
      </c>
      <c r="AF512" t="s">
        <v>50</v>
      </c>
      <c r="AG512" t="s">
        <v>1360</v>
      </c>
    </row>
    <row r="513" spans="1:33" x14ac:dyDescent="0.35">
      <c r="A513" s="1">
        <v>44897.765277777777</v>
      </c>
      <c r="B513">
        <v>875843</v>
      </c>
      <c r="C513" t="s">
        <v>1377</v>
      </c>
      <c r="D513" t="s">
        <v>59</v>
      </c>
      <c r="E513" s="2">
        <v>41134</v>
      </c>
      <c r="F513" t="str">
        <f>"9781118332856"</f>
        <v>9781118332856</v>
      </c>
      <c r="G513" t="str">
        <f>"9780470902936"</f>
        <v>9780470902936</v>
      </c>
      <c r="H513" t="s">
        <v>1378</v>
      </c>
      <c r="I513">
        <v>621.40219999999999</v>
      </c>
      <c r="J513" t="s">
        <v>1379</v>
      </c>
      <c r="K513" t="s">
        <v>44</v>
      </c>
      <c r="N513" t="s">
        <v>45</v>
      </c>
      <c r="O513" t="s">
        <v>46</v>
      </c>
      <c r="P513" t="s">
        <v>45</v>
      </c>
      <c r="Q513" t="s">
        <v>47</v>
      </c>
      <c r="R513" t="s">
        <v>44</v>
      </c>
      <c r="S513">
        <v>0</v>
      </c>
      <c r="W513" s="3">
        <v>3.6597222222222225E-2</v>
      </c>
      <c r="X513" t="s">
        <v>1383</v>
      </c>
      <c r="Y513">
        <v>17</v>
      </c>
      <c r="Z513">
        <v>0</v>
      </c>
      <c r="AA513" t="s">
        <v>49</v>
      </c>
      <c r="AB513">
        <v>0</v>
      </c>
      <c r="AC513" t="s">
        <v>49</v>
      </c>
      <c r="AD513">
        <v>0</v>
      </c>
      <c r="AE513">
        <v>10593121</v>
      </c>
      <c r="AF513" t="s">
        <v>50</v>
      </c>
      <c r="AG513" t="s">
        <v>57</v>
      </c>
    </row>
    <row r="514" spans="1:33" x14ac:dyDescent="0.35">
      <c r="A514" s="1">
        <v>44897.724305555559</v>
      </c>
      <c r="B514">
        <v>279494</v>
      </c>
      <c r="C514" t="s">
        <v>1333</v>
      </c>
      <c r="D514" t="s">
        <v>125</v>
      </c>
      <c r="E514" s="2">
        <v>37280</v>
      </c>
      <c r="F514" t="str">
        <f>"9780198032953"</f>
        <v>9780198032953</v>
      </c>
      <c r="G514" t="str">
        <f>"9780195144208"</f>
        <v>9780195144208</v>
      </c>
      <c r="H514" t="s">
        <v>667</v>
      </c>
      <c r="I514" t="s">
        <v>1334</v>
      </c>
      <c r="J514" t="s">
        <v>1335</v>
      </c>
      <c r="K514" t="s">
        <v>44</v>
      </c>
      <c r="N514" t="s">
        <v>45</v>
      </c>
      <c r="O514" t="s">
        <v>46</v>
      </c>
      <c r="P514" t="s">
        <v>45</v>
      </c>
      <c r="Q514" t="s">
        <v>47</v>
      </c>
      <c r="R514" t="s">
        <v>44</v>
      </c>
      <c r="S514">
        <v>0</v>
      </c>
      <c r="W514" s="3">
        <v>3.0439814814814821E-3</v>
      </c>
      <c r="X514" t="s">
        <v>1384</v>
      </c>
      <c r="Y514">
        <v>10</v>
      </c>
      <c r="Z514">
        <v>0</v>
      </c>
      <c r="AA514" t="s">
        <v>49</v>
      </c>
      <c r="AB514">
        <v>0</v>
      </c>
      <c r="AC514" t="s">
        <v>49</v>
      </c>
      <c r="AD514">
        <v>0</v>
      </c>
      <c r="AE514">
        <v>11303309</v>
      </c>
      <c r="AF514" t="s">
        <v>50</v>
      </c>
      <c r="AG514" t="s">
        <v>523</v>
      </c>
    </row>
    <row r="515" spans="1:33" x14ac:dyDescent="0.35">
      <c r="A515" s="1">
        <v>44897.713888888888</v>
      </c>
      <c r="B515">
        <v>887131</v>
      </c>
      <c r="C515" t="s">
        <v>1373</v>
      </c>
      <c r="D515" t="s">
        <v>1224</v>
      </c>
      <c r="E515" s="2">
        <v>40983</v>
      </c>
      <c r="F515" t="str">
        <f>"9783110253399"</f>
        <v>9783110253399</v>
      </c>
      <c r="G515" t="str">
        <f>"9783110253023"</f>
        <v>9783110253023</v>
      </c>
      <c r="H515" t="s">
        <v>1374</v>
      </c>
      <c r="I515" t="s">
        <v>434</v>
      </c>
      <c r="J515" t="s">
        <v>1375</v>
      </c>
      <c r="K515" t="s">
        <v>44</v>
      </c>
      <c r="N515" t="s">
        <v>45</v>
      </c>
      <c r="O515" t="s">
        <v>46</v>
      </c>
      <c r="P515" t="s">
        <v>45</v>
      </c>
      <c r="Q515" t="s">
        <v>47</v>
      </c>
      <c r="R515" t="s">
        <v>44</v>
      </c>
      <c r="S515">
        <v>0</v>
      </c>
      <c r="W515" s="3">
        <v>3.4722222222222222E-5</v>
      </c>
      <c r="X515" t="s">
        <v>113</v>
      </c>
      <c r="Y515">
        <v>2</v>
      </c>
      <c r="Z515">
        <v>0</v>
      </c>
      <c r="AA515" t="s">
        <v>49</v>
      </c>
      <c r="AB515">
        <v>0</v>
      </c>
      <c r="AC515" t="s">
        <v>49</v>
      </c>
      <c r="AD515">
        <v>0</v>
      </c>
      <c r="AE515">
        <v>10554726</v>
      </c>
      <c r="AF515" t="s">
        <v>50</v>
      </c>
      <c r="AG515" t="s">
        <v>57</v>
      </c>
    </row>
    <row r="516" spans="1:33" x14ac:dyDescent="0.35">
      <c r="A516" s="1">
        <v>44897.713194444441</v>
      </c>
      <c r="B516">
        <v>279494</v>
      </c>
      <c r="C516" t="s">
        <v>1333</v>
      </c>
      <c r="D516" t="s">
        <v>125</v>
      </c>
      <c r="E516" s="2">
        <v>37280</v>
      </c>
      <c r="F516" t="str">
        <f>"9780198032953"</f>
        <v>9780198032953</v>
      </c>
      <c r="G516" t="str">
        <f>"9780195144208"</f>
        <v>9780195144208</v>
      </c>
      <c r="H516" t="s">
        <v>667</v>
      </c>
      <c r="I516" t="s">
        <v>1334</v>
      </c>
      <c r="J516" t="s">
        <v>1335</v>
      </c>
      <c r="K516" t="s">
        <v>44</v>
      </c>
      <c r="N516" t="s">
        <v>45</v>
      </c>
      <c r="O516" t="s">
        <v>46</v>
      </c>
      <c r="P516" t="s">
        <v>45</v>
      </c>
      <c r="Q516" t="s">
        <v>47</v>
      </c>
      <c r="R516" t="s">
        <v>44</v>
      </c>
      <c r="S516">
        <v>0</v>
      </c>
      <c r="W516" s="3">
        <v>1.0289351851851852E-2</v>
      </c>
      <c r="X516" t="s">
        <v>1385</v>
      </c>
      <c r="Y516">
        <v>27</v>
      </c>
      <c r="Z516">
        <v>0</v>
      </c>
      <c r="AA516" t="s">
        <v>49</v>
      </c>
      <c r="AB516">
        <v>0</v>
      </c>
      <c r="AC516" t="s">
        <v>49</v>
      </c>
      <c r="AD516">
        <v>0</v>
      </c>
      <c r="AE516">
        <v>11303309</v>
      </c>
      <c r="AF516" t="s">
        <v>50</v>
      </c>
      <c r="AG516" t="s">
        <v>1360</v>
      </c>
    </row>
    <row r="517" spans="1:33" x14ac:dyDescent="0.35">
      <c r="A517" s="1">
        <v>44897.706250000003</v>
      </c>
      <c r="B517">
        <v>875843</v>
      </c>
      <c r="C517" t="s">
        <v>1377</v>
      </c>
      <c r="D517" t="s">
        <v>59</v>
      </c>
      <c r="E517" s="2">
        <v>41134</v>
      </c>
      <c r="F517" t="str">
        <f>"9781118332856"</f>
        <v>9781118332856</v>
      </c>
      <c r="G517" t="str">
        <f>"9780470902936"</f>
        <v>9780470902936</v>
      </c>
      <c r="H517" t="s">
        <v>1378</v>
      </c>
      <c r="I517">
        <v>621.40219999999999</v>
      </c>
      <c r="J517" t="s">
        <v>1379</v>
      </c>
      <c r="K517" t="s">
        <v>44</v>
      </c>
      <c r="N517" t="s">
        <v>45</v>
      </c>
      <c r="O517" t="s">
        <v>46</v>
      </c>
      <c r="P517" t="s">
        <v>45</v>
      </c>
      <c r="Q517" t="s">
        <v>47</v>
      </c>
      <c r="R517" t="s">
        <v>44</v>
      </c>
      <c r="S517">
        <v>0</v>
      </c>
      <c r="W517" s="3">
        <v>1.0995370370370371E-3</v>
      </c>
      <c r="X517" t="s">
        <v>1386</v>
      </c>
      <c r="Y517">
        <v>7</v>
      </c>
      <c r="Z517">
        <v>0</v>
      </c>
      <c r="AA517" t="s">
        <v>49</v>
      </c>
      <c r="AB517">
        <v>0</v>
      </c>
      <c r="AC517" t="s">
        <v>49</v>
      </c>
      <c r="AD517">
        <v>0</v>
      </c>
      <c r="AE517">
        <v>10593121</v>
      </c>
      <c r="AF517" t="s">
        <v>50</v>
      </c>
      <c r="AG517" t="s">
        <v>57</v>
      </c>
    </row>
    <row r="518" spans="1:33" x14ac:dyDescent="0.35">
      <c r="A518" s="1">
        <v>44897.628472222219</v>
      </c>
      <c r="B518">
        <v>5824874</v>
      </c>
      <c r="C518" t="s">
        <v>124</v>
      </c>
      <c r="D518" t="s">
        <v>125</v>
      </c>
      <c r="E518" s="2">
        <v>43672</v>
      </c>
      <c r="F518" t="str">
        <f>"9780192568052"</f>
        <v>9780192568052</v>
      </c>
      <c r="G518" t="str">
        <f>"9780198832102"</f>
        <v>9780198832102</v>
      </c>
      <c r="H518" t="s">
        <v>126</v>
      </c>
      <c r="I518">
        <v>621.03</v>
      </c>
      <c r="J518" t="s">
        <v>127</v>
      </c>
      <c r="K518" t="s">
        <v>55</v>
      </c>
      <c r="Q518" t="s">
        <v>47</v>
      </c>
      <c r="R518" t="s">
        <v>44</v>
      </c>
      <c r="S518">
        <v>0</v>
      </c>
      <c r="W518" s="3">
        <v>7.407407407407407E-4</v>
      </c>
      <c r="X518" t="s">
        <v>1387</v>
      </c>
      <c r="Y518">
        <v>6</v>
      </c>
      <c r="Z518">
        <v>0</v>
      </c>
      <c r="AA518" t="s">
        <v>49</v>
      </c>
      <c r="AB518">
        <v>0</v>
      </c>
      <c r="AC518" t="s">
        <v>49</v>
      </c>
      <c r="AD518">
        <v>0</v>
      </c>
      <c r="AE518">
        <v>-1</v>
      </c>
      <c r="AF518" t="s">
        <v>50</v>
      </c>
      <c r="AG518" t="s">
        <v>388</v>
      </c>
    </row>
    <row r="519" spans="1:33" x14ac:dyDescent="0.35">
      <c r="A519" s="1">
        <v>44897.554166666669</v>
      </c>
      <c r="B519">
        <v>5964416</v>
      </c>
      <c r="C519" t="s">
        <v>280</v>
      </c>
      <c r="D519" t="s">
        <v>59</v>
      </c>
      <c r="E519" s="2">
        <v>43788</v>
      </c>
      <c r="F519" t="str">
        <f>"9781119405351"</f>
        <v>9781119405351</v>
      </c>
      <c r="G519" t="str">
        <f>"9781119405375"</f>
        <v>9781119405375</v>
      </c>
      <c r="H519" t="s">
        <v>286</v>
      </c>
      <c r="I519" t="s">
        <v>282</v>
      </c>
      <c r="J519" t="s">
        <v>287</v>
      </c>
      <c r="K519" t="s">
        <v>55</v>
      </c>
      <c r="Q519" t="s">
        <v>47</v>
      </c>
      <c r="R519" t="s">
        <v>44</v>
      </c>
      <c r="S519">
        <v>0</v>
      </c>
      <c r="W519" s="3">
        <v>7.291666666666667E-4</v>
      </c>
      <c r="X519" t="s">
        <v>1388</v>
      </c>
      <c r="Y519">
        <v>10</v>
      </c>
      <c r="Z519">
        <v>0</v>
      </c>
      <c r="AA519" t="s">
        <v>49</v>
      </c>
      <c r="AB519">
        <v>0</v>
      </c>
      <c r="AC519" t="s">
        <v>49</v>
      </c>
      <c r="AD519">
        <v>0</v>
      </c>
      <c r="AE519">
        <v>-1</v>
      </c>
      <c r="AF519" t="s">
        <v>50</v>
      </c>
      <c r="AG519" t="s">
        <v>388</v>
      </c>
    </row>
    <row r="520" spans="1:33" x14ac:dyDescent="0.35">
      <c r="A520" s="1">
        <v>44897.494444444441</v>
      </c>
      <c r="B520">
        <v>3318877</v>
      </c>
      <c r="C520" t="s">
        <v>1389</v>
      </c>
      <c r="D520" t="s">
        <v>1390</v>
      </c>
      <c r="E520" s="2">
        <v>42109</v>
      </c>
      <c r="F520" t="str">
        <f>"9781421416274"</f>
        <v>9781421416274</v>
      </c>
      <c r="G520" t="str">
        <f>"9781421416250"</f>
        <v>9781421416250</v>
      </c>
      <c r="H520" t="s">
        <v>90</v>
      </c>
      <c r="I520" t="s">
        <v>1391</v>
      </c>
      <c r="K520" t="s">
        <v>44</v>
      </c>
      <c r="N520" t="s">
        <v>45</v>
      </c>
      <c r="O520" t="s">
        <v>46</v>
      </c>
      <c r="P520" t="s">
        <v>45</v>
      </c>
      <c r="Q520" t="s">
        <v>47</v>
      </c>
      <c r="R520" t="s">
        <v>44</v>
      </c>
      <c r="S520">
        <v>0</v>
      </c>
      <c r="W520" s="3">
        <v>4.6296296296296294E-5</v>
      </c>
      <c r="X520" t="s">
        <v>121</v>
      </c>
      <c r="Y520">
        <v>1</v>
      </c>
      <c r="Z520">
        <v>0</v>
      </c>
      <c r="AA520" t="s">
        <v>49</v>
      </c>
      <c r="AB520">
        <v>0</v>
      </c>
      <c r="AC520" t="s">
        <v>49</v>
      </c>
      <c r="AD520">
        <v>0</v>
      </c>
      <c r="AE520">
        <v>11030149</v>
      </c>
      <c r="AF520" t="s">
        <v>50</v>
      </c>
      <c r="AG520" t="s">
        <v>388</v>
      </c>
    </row>
    <row r="521" spans="1:33" x14ac:dyDescent="0.35">
      <c r="A521" s="1">
        <v>44897.491666666669</v>
      </c>
      <c r="B521">
        <v>566711</v>
      </c>
      <c r="C521" t="s">
        <v>1392</v>
      </c>
      <c r="D521" t="s">
        <v>76</v>
      </c>
      <c r="E521" s="2">
        <v>40350</v>
      </c>
      <c r="F521" t="str">
        <f>"9780080961200"</f>
        <v>9780080961200</v>
      </c>
      <c r="G521" t="str">
        <f>"9781856177146"</f>
        <v>9781856177146</v>
      </c>
      <c r="H521" t="s">
        <v>1393</v>
      </c>
      <c r="I521">
        <v>647.06799999999998</v>
      </c>
      <c r="J521" t="s">
        <v>1394</v>
      </c>
      <c r="K521" t="s">
        <v>44</v>
      </c>
      <c r="N521" t="s">
        <v>45</v>
      </c>
      <c r="O521" t="s">
        <v>46</v>
      </c>
      <c r="P521" t="s">
        <v>45</v>
      </c>
      <c r="Q521" t="s">
        <v>47</v>
      </c>
      <c r="R521" t="s">
        <v>44</v>
      </c>
      <c r="S521">
        <v>0</v>
      </c>
      <c r="W521" s="3">
        <v>5.7870370370370366E-5</v>
      </c>
      <c r="X521" t="s">
        <v>121</v>
      </c>
      <c r="Y521">
        <v>1</v>
      </c>
      <c r="Z521">
        <v>0</v>
      </c>
      <c r="AA521" t="s">
        <v>49</v>
      </c>
      <c r="AB521">
        <v>0</v>
      </c>
      <c r="AC521" t="s">
        <v>49</v>
      </c>
      <c r="AD521">
        <v>0</v>
      </c>
      <c r="AE521">
        <v>10404413</v>
      </c>
      <c r="AF521" t="s">
        <v>50</v>
      </c>
      <c r="AG521" t="s">
        <v>388</v>
      </c>
    </row>
    <row r="522" spans="1:33" x14ac:dyDescent="0.35">
      <c r="A522" s="1">
        <v>44897.478472222225</v>
      </c>
      <c r="B522">
        <v>5724702</v>
      </c>
      <c r="C522" t="s">
        <v>1395</v>
      </c>
      <c r="D522" t="s">
        <v>76</v>
      </c>
      <c r="E522" s="2">
        <v>43531</v>
      </c>
      <c r="F522" t="str">
        <f>"9780429019005"</f>
        <v>9780429019005</v>
      </c>
      <c r="G522" t="str">
        <f>"9781138579484"</f>
        <v>9781138579484</v>
      </c>
      <c r="H522" t="s">
        <v>1396</v>
      </c>
      <c r="I522">
        <v>907.2</v>
      </c>
      <c r="J522" t="s">
        <v>1397</v>
      </c>
      <c r="K522" t="s">
        <v>55</v>
      </c>
      <c r="Q522" t="s">
        <v>47</v>
      </c>
      <c r="R522" t="s">
        <v>44</v>
      </c>
      <c r="S522">
        <v>0</v>
      </c>
      <c r="W522" s="3">
        <v>3.4027777777777784E-3</v>
      </c>
      <c r="X522" t="s">
        <v>1398</v>
      </c>
      <c r="Y522">
        <v>14</v>
      </c>
      <c r="Z522">
        <v>0</v>
      </c>
      <c r="AA522" t="s">
        <v>49</v>
      </c>
      <c r="AB522">
        <v>0</v>
      </c>
      <c r="AC522" t="s">
        <v>49</v>
      </c>
      <c r="AD522">
        <v>0</v>
      </c>
      <c r="AE522">
        <v>11658039</v>
      </c>
      <c r="AF522" t="s">
        <v>50</v>
      </c>
      <c r="AG522" t="s">
        <v>637</v>
      </c>
    </row>
    <row r="523" spans="1:33" x14ac:dyDescent="0.35">
      <c r="A523" s="1">
        <v>44897.442361111112</v>
      </c>
      <c r="B523">
        <v>5883384</v>
      </c>
      <c r="C523" t="s">
        <v>1399</v>
      </c>
      <c r="D523" t="s">
        <v>76</v>
      </c>
      <c r="E523" s="2">
        <v>43718</v>
      </c>
      <c r="F523" t="str">
        <f>"9781000617405"</f>
        <v>9781000617405</v>
      </c>
      <c r="G523" t="str">
        <f>"9780367255916"</f>
        <v>9780367255916</v>
      </c>
      <c r="H523" t="s">
        <v>60</v>
      </c>
      <c r="I523">
        <v>658.40120000000002</v>
      </c>
      <c r="J523" t="s">
        <v>1400</v>
      </c>
      <c r="K523" t="s">
        <v>55</v>
      </c>
      <c r="Q523" t="s">
        <v>47</v>
      </c>
      <c r="R523" t="s">
        <v>44</v>
      </c>
      <c r="S523">
        <v>0</v>
      </c>
      <c r="W523" s="3">
        <v>1.9560185185185184E-3</v>
      </c>
      <c r="X523" t="s">
        <v>1401</v>
      </c>
      <c r="Y523">
        <v>15</v>
      </c>
      <c r="Z523">
        <v>0</v>
      </c>
      <c r="AA523" t="s">
        <v>49</v>
      </c>
      <c r="AB523">
        <v>0</v>
      </c>
      <c r="AC523" t="s">
        <v>49</v>
      </c>
      <c r="AD523">
        <v>0</v>
      </c>
      <c r="AE523">
        <v>-1</v>
      </c>
      <c r="AF523" t="s">
        <v>50</v>
      </c>
      <c r="AG523" t="s">
        <v>388</v>
      </c>
    </row>
    <row r="524" spans="1:33" x14ac:dyDescent="0.35">
      <c r="A524" s="1">
        <v>44897.39166666667</v>
      </c>
      <c r="B524">
        <v>5560173</v>
      </c>
      <c r="C524" t="s">
        <v>656</v>
      </c>
      <c r="D524" t="s">
        <v>657</v>
      </c>
      <c r="E524" s="2">
        <v>43391</v>
      </c>
      <c r="F524" t="str">
        <f>"9781476632681"</f>
        <v>9781476632681</v>
      </c>
      <c r="G524" t="str">
        <f>"9781476673851"</f>
        <v>9781476673851</v>
      </c>
      <c r="H524" t="s">
        <v>658</v>
      </c>
      <c r="I524">
        <v>739.27820750000001</v>
      </c>
      <c r="J524" t="s">
        <v>659</v>
      </c>
      <c r="K524" t="s">
        <v>44</v>
      </c>
      <c r="N524" t="s">
        <v>45</v>
      </c>
      <c r="O524" t="s">
        <v>46</v>
      </c>
      <c r="P524" t="s">
        <v>45</v>
      </c>
      <c r="Q524" t="s">
        <v>47</v>
      </c>
      <c r="R524" t="s">
        <v>44</v>
      </c>
      <c r="S524">
        <v>0</v>
      </c>
      <c r="W524" s="3">
        <v>5.7870370370370366E-5</v>
      </c>
      <c r="X524" t="s">
        <v>121</v>
      </c>
      <c r="Y524">
        <v>1</v>
      </c>
      <c r="Z524">
        <v>0</v>
      </c>
      <c r="AA524" t="s">
        <v>49</v>
      </c>
      <c r="AB524">
        <v>0</v>
      </c>
      <c r="AC524" t="s">
        <v>49</v>
      </c>
      <c r="AD524">
        <v>0</v>
      </c>
      <c r="AE524">
        <v>11625847</v>
      </c>
      <c r="AF524" t="s">
        <v>50</v>
      </c>
      <c r="AG524" t="s">
        <v>388</v>
      </c>
    </row>
    <row r="525" spans="1:33" x14ac:dyDescent="0.35">
      <c r="A525" s="1">
        <v>44897.27847222222</v>
      </c>
      <c r="B525">
        <v>4519633</v>
      </c>
      <c r="C525" t="s">
        <v>1402</v>
      </c>
      <c r="D525" t="s">
        <v>1403</v>
      </c>
      <c r="E525" s="2">
        <v>42520</v>
      </c>
      <c r="F525" t="str">
        <f>"9781631570148"</f>
        <v>9781631570148</v>
      </c>
      <c r="G525" t="str">
        <f>"9781631570131"</f>
        <v>9781631570131</v>
      </c>
      <c r="H525" t="s">
        <v>60</v>
      </c>
      <c r="I525">
        <v>658.3125</v>
      </c>
      <c r="J525" t="s">
        <v>1404</v>
      </c>
      <c r="K525" t="s">
        <v>44</v>
      </c>
      <c r="N525" t="s">
        <v>45</v>
      </c>
      <c r="O525" t="s">
        <v>46</v>
      </c>
      <c r="P525" t="s">
        <v>45</v>
      </c>
      <c r="Q525" t="s">
        <v>47</v>
      </c>
      <c r="R525" t="s">
        <v>44</v>
      </c>
      <c r="S525">
        <v>0</v>
      </c>
      <c r="W525" s="3">
        <v>5.9953703703703697E-3</v>
      </c>
      <c r="X525" t="s">
        <v>1405</v>
      </c>
      <c r="Y525">
        <v>27</v>
      </c>
      <c r="Z525">
        <v>0</v>
      </c>
      <c r="AA525" t="s">
        <v>49</v>
      </c>
      <c r="AB525">
        <v>0</v>
      </c>
      <c r="AC525" t="s">
        <v>1406</v>
      </c>
      <c r="AD525">
        <v>6</v>
      </c>
      <c r="AE525">
        <v>11206552</v>
      </c>
      <c r="AF525" t="s">
        <v>50</v>
      </c>
      <c r="AG525" t="s">
        <v>388</v>
      </c>
    </row>
    <row r="526" spans="1:33" x14ac:dyDescent="0.35">
      <c r="A526" s="1">
        <v>44897.272222222222</v>
      </c>
      <c r="B526">
        <v>279494</v>
      </c>
      <c r="C526" t="s">
        <v>1333</v>
      </c>
      <c r="D526" t="s">
        <v>125</v>
      </c>
      <c r="E526" s="2">
        <v>37280</v>
      </c>
      <c r="F526" t="str">
        <f>"9780198032953"</f>
        <v>9780198032953</v>
      </c>
      <c r="G526" t="str">
        <f>"9780195144208"</f>
        <v>9780195144208</v>
      </c>
      <c r="H526" t="s">
        <v>667</v>
      </c>
      <c r="I526" t="s">
        <v>1334</v>
      </c>
      <c r="J526" t="s">
        <v>1335</v>
      </c>
      <c r="K526" t="s">
        <v>44</v>
      </c>
      <c r="N526" t="s">
        <v>45</v>
      </c>
      <c r="O526" t="s">
        <v>46</v>
      </c>
      <c r="P526" t="s">
        <v>45</v>
      </c>
      <c r="Q526" t="s">
        <v>47</v>
      </c>
      <c r="R526" t="s">
        <v>44</v>
      </c>
      <c r="S526">
        <v>0</v>
      </c>
      <c r="W526" s="3">
        <v>3.9097222222222221E-2</v>
      </c>
      <c r="X526" t="s">
        <v>1407</v>
      </c>
      <c r="Y526">
        <v>20</v>
      </c>
      <c r="Z526">
        <v>0</v>
      </c>
      <c r="AA526" t="s">
        <v>49</v>
      </c>
      <c r="AB526">
        <v>0</v>
      </c>
      <c r="AC526" t="s">
        <v>49</v>
      </c>
      <c r="AD526">
        <v>0</v>
      </c>
      <c r="AE526">
        <v>11303309</v>
      </c>
      <c r="AF526" t="s">
        <v>50</v>
      </c>
      <c r="AG526" t="s">
        <v>1360</v>
      </c>
    </row>
    <row r="527" spans="1:33" x14ac:dyDescent="0.35">
      <c r="A527" s="1">
        <v>44897.249305555553</v>
      </c>
      <c r="B527">
        <v>4519633</v>
      </c>
      <c r="C527" t="s">
        <v>1402</v>
      </c>
      <c r="D527" t="s">
        <v>1403</v>
      </c>
      <c r="E527" s="2">
        <v>42520</v>
      </c>
      <c r="F527" t="str">
        <f>"9781631570148"</f>
        <v>9781631570148</v>
      </c>
      <c r="G527" t="str">
        <f>"9781631570131"</f>
        <v>9781631570131</v>
      </c>
      <c r="H527" t="s">
        <v>60</v>
      </c>
      <c r="I527">
        <v>658.3125</v>
      </c>
      <c r="J527" t="s">
        <v>1404</v>
      </c>
      <c r="K527" t="s">
        <v>44</v>
      </c>
      <c r="N527" t="s">
        <v>45</v>
      </c>
      <c r="O527" t="s">
        <v>46</v>
      </c>
      <c r="P527" t="s">
        <v>45</v>
      </c>
      <c r="Q527" t="s">
        <v>47</v>
      </c>
      <c r="R527" t="s">
        <v>44</v>
      </c>
      <c r="S527">
        <v>0</v>
      </c>
      <c r="W527" s="3">
        <v>1.273148148148148E-4</v>
      </c>
      <c r="X527" t="s">
        <v>1408</v>
      </c>
      <c r="Y527">
        <v>3</v>
      </c>
      <c r="Z527">
        <v>0</v>
      </c>
      <c r="AA527" t="s">
        <v>49</v>
      </c>
      <c r="AB527">
        <v>0</v>
      </c>
      <c r="AC527" t="s">
        <v>49</v>
      </c>
      <c r="AD527">
        <v>0</v>
      </c>
      <c r="AE527">
        <v>11206552</v>
      </c>
      <c r="AF527" t="s">
        <v>50</v>
      </c>
      <c r="AG527" t="s">
        <v>388</v>
      </c>
    </row>
    <row r="528" spans="1:33" x14ac:dyDescent="0.35">
      <c r="A528" s="1">
        <v>44897.199305555558</v>
      </c>
      <c r="B528">
        <v>997239</v>
      </c>
      <c r="C528" t="s">
        <v>1281</v>
      </c>
      <c r="D528" t="s">
        <v>1282</v>
      </c>
      <c r="E528" s="2">
        <v>34044</v>
      </c>
      <c r="F528" t="str">
        <f>"9781452254067"</f>
        <v>9781452254067</v>
      </c>
      <c r="G528" t="str">
        <f>"9780803947993"</f>
        <v>9780803947993</v>
      </c>
      <c r="H528" t="s">
        <v>1046</v>
      </c>
      <c r="I528">
        <v>361.70679999999999</v>
      </c>
      <c r="J528">
        <v>92043625</v>
      </c>
      <c r="K528" t="s">
        <v>44</v>
      </c>
      <c r="N528" t="s">
        <v>45</v>
      </c>
      <c r="O528" t="s">
        <v>46</v>
      </c>
      <c r="P528" t="s">
        <v>45</v>
      </c>
      <c r="Q528" t="s">
        <v>47</v>
      </c>
      <c r="R528" t="s">
        <v>44</v>
      </c>
      <c r="S528">
        <v>0</v>
      </c>
      <c r="W528" s="3">
        <v>1.9085648148148147E-2</v>
      </c>
      <c r="X528" t="s">
        <v>1409</v>
      </c>
      <c r="Y528">
        <v>7</v>
      </c>
      <c r="Z528">
        <v>0</v>
      </c>
      <c r="AA528" t="s">
        <v>49</v>
      </c>
      <c r="AB528">
        <v>0</v>
      </c>
      <c r="AC528" t="s">
        <v>49</v>
      </c>
      <c r="AD528">
        <v>0</v>
      </c>
      <c r="AE528">
        <v>10593937</v>
      </c>
      <c r="AF528" t="s">
        <v>50</v>
      </c>
      <c r="AG528" t="s">
        <v>388</v>
      </c>
    </row>
    <row r="529" spans="1:33" x14ac:dyDescent="0.35">
      <c r="A529" s="1">
        <v>44897.196527777778</v>
      </c>
      <c r="B529">
        <v>996993</v>
      </c>
      <c r="C529" t="s">
        <v>1410</v>
      </c>
      <c r="D529" t="s">
        <v>1282</v>
      </c>
      <c r="E529" s="2">
        <v>36509</v>
      </c>
      <c r="F529" t="str">
        <f>"9781452221809"</f>
        <v>9781452221809</v>
      </c>
      <c r="G529" t="str">
        <f>"9780761913245"</f>
        <v>9780761913245</v>
      </c>
      <c r="H529" t="s">
        <v>60</v>
      </c>
      <c r="I529" t="s">
        <v>1279</v>
      </c>
      <c r="J529" t="s">
        <v>1411</v>
      </c>
      <c r="K529" t="s">
        <v>44</v>
      </c>
      <c r="N529" t="s">
        <v>45</v>
      </c>
      <c r="O529" t="s">
        <v>46</v>
      </c>
      <c r="P529" t="s">
        <v>45</v>
      </c>
      <c r="Q529" t="s">
        <v>47</v>
      </c>
      <c r="R529" t="s">
        <v>44</v>
      </c>
      <c r="S529">
        <v>0</v>
      </c>
      <c r="W529" s="3">
        <v>2.1111111111111108E-2</v>
      </c>
      <c r="X529" t="s">
        <v>1412</v>
      </c>
      <c r="Y529">
        <v>43</v>
      </c>
      <c r="Z529">
        <v>0</v>
      </c>
      <c r="AA529" t="s">
        <v>49</v>
      </c>
      <c r="AB529">
        <v>0</v>
      </c>
      <c r="AC529" t="s">
        <v>1413</v>
      </c>
      <c r="AD529">
        <v>2</v>
      </c>
      <c r="AE529">
        <v>10586489</v>
      </c>
      <c r="AF529" t="s">
        <v>50</v>
      </c>
      <c r="AG529" t="s">
        <v>388</v>
      </c>
    </row>
    <row r="530" spans="1:33" x14ac:dyDescent="0.35">
      <c r="A530" s="1">
        <v>44897.192361111112</v>
      </c>
      <c r="B530">
        <v>433379</v>
      </c>
      <c r="C530" t="s">
        <v>1277</v>
      </c>
      <c r="D530" t="s">
        <v>1278</v>
      </c>
      <c r="E530" s="2">
        <v>38723</v>
      </c>
      <c r="F530" t="str">
        <f>"9781599963990"</f>
        <v>9781599963990</v>
      </c>
      <c r="G530" t="str">
        <f>"9780874259247"</f>
        <v>9780874259247</v>
      </c>
      <c r="H530" t="s">
        <v>60</v>
      </c>
      <c r="I530" t="s">
        <v>1279</v>
      </c>
      <c r="J530" t="s">
        <v>1280</v>
      </c>
      <c r="K530" t="s">
        <v>44</v>
      </c>
      <c r="N530" t="s">
        <v>45</v>
      </c>
      <c r="O530" t="s">
        <v>46</v>
      </c>
      <c r="P530" t="s">
        <v>45</v>
      </c>
      <c r="Q530" t="s">
        <v>47</v>
      </c>
      <c r="R530" t="s">
        <v>44</v>
      </c>
      <c r="S530">
        <v>0</v>
      </c>
      <c r="W530" s="3">
        <v>4.0624999999999993E-3</v>
      </c>
      <c r="X530" t="s">
        <v>1414</v>
      </c>
      <c r="Y530">
        <v>12</v>
      </c>
      <c r="Z530">
        <v>0</v>
      </c>
      <c r="AA530" t="s">
        <v>49</v>
      </c>
      <c r="AB530">
        <v>0</v>
      </c>
      <c r="AC530" t="s">
        <v>49</v>
      </c>
      <c r="AD530">
        <v>0</v>
      </c>
      <c r="AE530">
        <v>10379766</v>
      </c>
      <c r="AF530" t="s">
        <v>50</v>
      </c>
      <c r="AG530" t="s">
        <v>388</v>
      </c>
    </row>
    <row r="531" spans="1:33" x14ac:dyDescent="0.35">
      <c r="A531" s="1">
        <v>44897.123611111114</v>
      </c>
      <c r="B531">
        <v>279494</v>
      </c>
      <c r="C531" t="s">
        <v>1333</v>
      </c>
      <c r="D531" t="s">
        <v>125</v>
      </c>
      <c r="E531" s="2">
        <v>37280</v>
      </c>
      <c r="F531" t="str">
        <f>"9780198032953"</f>
        <v>9780198032953</v>
      </c>
      <c r="G531" t="str">
        <f>"9780195144208"</f>
        <v>9780195144208</v>
      </c>
      <c r="H531" t="s">
        <v>667</v>
      </c>
      <c r="I531" t="s">
        <v>1334</v>
      </c>
      <c r="J531" t="s">
        <v>1335</v>
      </c>
      <c r="K531" t="s">
        <v>44</v>
      </c>
      <c r="N531" t="s">
        <v>45</v>
      </c>
      <c r="O531" t="s">
        <v>46</v>
      </c>
      <c r="P531" t="s">
        <v>45</v>
      </c>
      <c r="Q531" t="s">
        <v>47</v>
      </c>
      <c r="R531" t="s">
        <v>44</v>
      </c>
      <c r="S531">
        <v>0</v>
      </c>
      <c r="W531" s="3">
        <v>2.1979166666666664E-2</v>
      </c>
      <c r="X531" t="s">
        <v>1415</v>
      </c>
      <c r="Y531">
        <v>20</v>
      </c>
      <c r="Z531">
        <v>0</v>
      </c>
      <c r="AA531" t="s">
        <v>49</v>
      </c>
      <c r="AB531">
        <v>0</v>
      </c>
      <c r="AC531" t="s">
        <v>49</v>
      </c>
      <c r="AD531">
        <v>0</v>
      </c>
      <c r="AE531">
        <v>11303309</v>
      </c>
      <c r="AF531" t="s">
        <v>50</v>
      </c>
      <c r="AG531" t="s">
        <v>1360</v>
      </c>
    </row>
    <row r="532" spans="1:33" x14ac:dyDescent="0.35">
      <c r="A532" s="1">
        <v>44897.121527777781</v>
      </c>
      <c r="B532">
        <v>3018001</v>
      </c>
      <c r="C532" t="s">
        <v>1083</v>
      </c>
      <c r="D532" t="s">
        <v>137</v>
      </c>
      <c r="E532" s="2">
        <v>40330</v>
      </c>
      <c r="F532" t="str">
        <f>"9781611223231"</f>
        <v>9781611223231</v>
      </c>
      <c r="G532" t="str">
        <f>"9781608761517"</f>
        <v>9781608761517</v>
      </c>
      <c r="H532" t="s">
        <v>1084</v>
      </c>
      <c r="I532" t="s">
        <v>1085</v>
      </c>
      <c r="J532" t="s">
        <v>1086</v>
      </c>
      <c r="K532" t="s">
        <v>44</v>
      </c>
      <c r="N532" t="s">
        <v>45</v>
      </c>
      <c r="O532" t="s">
        <v>46</v>
      </c>
      <c r="P532" t="s">
        <v>177</v>
      </c>
      <c r="Q532" t="s">
        <v>47</v>
      </c>
      <c r="R532" t="s">
        <v>55</v>
      </c>
      <c r="S532">
        <v>0</v>
      </c>
      <c r="W532" s="3">
        <v>4.0509259259259258E-4</v>
      </c>
      <c r="X532" t="s">
        <v>1416</v>
      </c>
      <c r="Y532">
        <v>7</v>
      </c>
      <c r="Z532">
        <v>0</v>
      </c>
      <c r="AA532" t="s">
        <v>49</v>
      </c>
      <c r="AB532">
        <v>0</v>
      </c>
      <c r="AC532" t="s">
        <v>49</v>
      </c>
      <c r="AD532">
        <v>0</v>
      </c>
      <c r="AE532">
        <v>10658923</v>
      </c>
      <c r="AF532" t="s">
        <v>50</v>
      </c>
      <c r="AG532" t="s">
        <v>122</v>
      </c>
    </row>
    <row r="533" spans="1:33" x14ac:dyDescent="0.35">
      <c r="A533" s="1">
        <v>44897.01458333333</v>
      </c>
      <c r="B533">
        <v>3318877</v>
      </c>
      <c r="C533" t="s">
        <v>1389</v>
      </c>
      <c r="D533" t="s">
        <v>1390</v>
      </c>
      <c r="E533" s="2">
        <v>42109</v>
      </c>
      <c r="F533" t="str">
        <f>"9781421416274"</f>
        <v>9781421416274</v>
      </c>
      <c r="G533" t="str">
        <f>"9781421416250"</f>
        <v>9781421416250</v>
      </c>
      <c r="H533" t="s">
        <v>90</v>
      </c>
      <c r="I533" t="s">
        <v>1391</v>
      </c>
      <c r="K533" t="s">
        <v>44</v>
      </c>
      <c r="N533" t="s">
        <v>45</v>
      </c>
      <c r="O533" t="s">
        <v>46</v>
      </c>
      <c r="P533" t="s">
        <v>45</v>
      </c>
      <c r="Q533" t="s">
        <v>47</v>
      </c>
      <c r="R533" t="s">
        <v>44</v>
      </c>
      <c r="S533">
        <v>0</v>
      </c>
      <c r="W533" s="3">
        <v>2.2002314814814818E-2</v>
      </c>
      <c r="X533" t="s">
        <v>1417</v>
      </c>
      <c r="Y533">
        <v>19</v>
      </c>
      <c r="Z533">
        <v>0</v>
      </c>
      <c r="AA533" t="s">
        <v>49</v>
      </c>
      <c r="AB533">
        <v>0</v>
      </c>
      <c r="AC533" t="s">
        <v>49</v>
      </c>
      <c r="AD533">
        <v>0</v>
      </c>
      <c r="AE533">
        <v>11030149</v>
      </c>
      <c r="AF533" t="s">
        <v>50</v>
      </c>
      <c r="AG533" t="s">
        <v>388</v>
      </c>
    </row>
    <row r="534" spans="1:33" x14ac:dyDescent="0.35">
      <c r="A534" s="1">
        <v>44896.966666666667</v>
      </c>
      <c r="B534">
        <v>3018089</v>
      </c>
      <c r="C534" t="s">
        <v>1418</v>
      </c>
      <c r="D534" t="s">
        <v>137</v>
      </c>
      <c r="E534" s="2">
        <v>40513</v>
      </c>
      <c r="F534" t="str">
        <f>"9781617283345"</f>
        <v>9781617283345</v>
      </c>
      <c r="G534" t="str">
        <f>"9781616689919"</f>
        <v>9781616689919</v>
      </c>
      <c r="H534" t="s">
        <v>77</v>
      </c>
      <c r="I534" t="s">
        <v>1419</v>
      </c>
      <c r="J534" t="s">
        <v>1420</v>
      </c>
      <c r="K534" t="s">
        <v>44</v>
      </c>
      <c r="N534" t="s">
        <v>45</v>
      </c>
      <c r="O534" t="s">
        <v>46</v>
      </c>
      <c r="P534" t="s">
        <v>177</v>
      </c>
      <c r="Q534" t="s">
        <v>47</v>
      </c>
      <c r="R534" t="s">
        <v>55</v>
      </c>
      <c r="S534">
        <v>0</v>
      </c>
      <c r="W534" s="3">
        <v>0</v>
      </c>
      <c r="X534" t="s">
        <v>49</v>
      </c>
      <c r="Y534">
        <v>0</v>
      </c>
      <c r="Z534">
        <v>0</v>
      </c>
      <c r="AA534" t="s">
        <v>49</v>
      </c>
      <c r="AB534">
        <v>0</v>
      </c>
      <c r="AC534" t="s">
        <v>49</v>
      </c>
      <c r="AD534">
        <v>0</v>
      </c>
      <c r="AE534">
        <v>10659011</v>
      </c>
      <c r="AF534" t="s">
        <v>50</v>
      </c>
      <c r="AG534" t="s">
        <v>1309</v>
      </c>
    </row>
    <row r="535" spans="1:33" x14ac:dyDescent="0.35">
      <c r="A535" s="1">
        <v>44896.89166666667</v>
      </c>
      <c r="B535">
        <v>5405690</v>
      </c>
      <c r="C535" t="s">
        <v>1421</v>
      </c>
      <c r="D535" t="s">
        <v>141</v>
      </c>
      <c r="E535" s="2">
        <v>43250</v>
      </c>
      <c r="F535" t="str">
        <f>"9781788830287"</f>
        <v>9781788830287</v>
      </c>
      <c r="G535" t="str">
        <f>""</f>
        <v/>
      </c>
      <c r="H535" t="s">
        <v>1422</v>
      </c>
      <c r="I535">
        <v>4.16</v>
      </c>
      <c r="J535" t="s">
        <v>1423</v>
      </c>
      <c r="K535" t="s">
        <v>44</v>
      </c>
      <c r="N535" t="s">
        <v>45</v>
      </c>
      <c r="O535" t="s">
        <v>46</v>
      </c>
      <c r="P535" t="s">
        <v>177</v>
      </c>
      <c r="Q535" t="s">
        <v>47</v>
      </c>
      <c r="R535" t="s">
        <v>55</v>
      </c>
      <c r="S535">
        <v>0</v>
      </c>
      <c r="W535" s="3">
        <v>5.8912037037037032E-3</v>
      </c>
      <c r="X535" t="s">
        <v>1424</v>
      </c>
      <c r="Y535">
        <v>12</v>
      </c>
      <c r="Z535">
        <v>0</v>
      </c>
      <c r="AA535" t="s">
        <v>49</v>
      </c>
      <c r="AB535">
        <v>0</v>
      </c>
      <c r="AC535" t="s">
        <v>49</v>
      </c>
      <c r="AD535">
        <v>0</v>
      </c>
      <c r="AE535">
        <v>-1</v>
      </c>
      <c r="AF535" t="s">
        <v>50</v>
      </c>
      <c r="AG535" t="s">
        <v>388</v>
      </c>
    </row>
    <row r="536" spans="1:33" x14ac:dyDescent="0.35">
      <c r="A536" s="1">
        <v>44896.843055555553</v>
      </c>
      <c r="B536">
        <v>566711</v>
      </c>
      <c r="C536" t="s">
        <v>1392</v>
      </c>
      <c r="D536" t="s">
        <v>76</v>
      </c>
      <c r="E536" s="2">
        <v>40350</v>
      </c>
      <c r="F536" t="str">
        <f>"9780080961200"</f>
        <v>9780080961200</v>
      </c>
      <c r="G536" t="str">
        <f>"9781856177146"</f>
        <v>9781856177146</v>
      </c>
      <c r="H536" t="s">
        <v>1393</v>
      </c>
      <c r="I536">
        <v>647.06799999999998</v>
      </c>
      <c r="J536" t="s">
        <v>1394</v>
      </c>
      <c r="K536" t="s">
        <v>44</v>
      </c>
      <c r="N536" t="s">
        <v>45</v>
      </c>
      <c r="O536" t="s">
        <v>46</v>
      </c>
      <c r="P536" t="s">
        <v>45</v>
      </c>
      <c r="Q536" t="s">
        <v>47</v>
      </c>
      <c r="R536" t="s">
        <v>44</v>
      </c>
      <c r="S536">
        <v>0</v>
      </c>
      <c r="W536" s="3">
        <v>1.3310185185185185E-3</v>
      </c>
      <c r="X536" t="s">
        <v>1425</v>
      </c>
      <c r="Y536">
        <v>6</v>
      </c>
      <c r="Z536">
        <v>0</v>
      </c>
      <c r="AA536" t="s">
        <v>49</v>
      </c>
      <c r="AB536">
        <v>0</v>
      </c>
      <c r="AC536" t="s">
        <v>49</v>
      </c>
      <c r="AD536">
        <v>0</v>
      </c>
      <c r="AE536">
        <v>10404413</v>
      </c>
      <c r="AF536" t="s">
        <v>50</v>
      </c>
      <c r="AG536" t="s">
        <v>388</v>
      </c>
    </row>
    <row r="537" spans="1:33" x14ac:dyDescent="0.35">
      <c r="A537" s="1">
        <v>44896.698611111111</v>
      </c>
      <c r="B537">
        <v>279494</v>
      </c>
      <c r="C537" t="s">
        <v>1333</v>
      </c>
      <c r="D537" t="s">
        <v>125</v>
      </c>
      <c r="E537" s="2">
        <v>37280</v>
      </c>
      <c r="F537" t="str">
        <f>"9780198032953"</f>
        <v>9780198032953</v>
      </c>
      <c r="G537" t="str">
        <f>"9780195144208"</f>
        <v>9780195144208</v>
      </c>
      <c r="H537" t="s">
        <v>667</v>
      </c>
      <c r="I537" t="s">
        <v>1334</v>
      </c>
      <c r="J537" t="s">
        <v>1335</v>
      </c>
      <c r="K537" t="s">
        <v>44</v>
      </c>
      <c r="N537" t="s">
        <v>45</v>
      </c>
      <c r="O537" t="s">
        <v>46</v>
      </c>
      <c r="P537" t="s">
        <v>45</v>
      </c>
      <c r="Q537" t="s">
        <v>47</v>
      </c>
      <c r="R537" t="s">
        <v>44</v>
      </c>
      <c r="S537">
        <v>0</v>
      </c>
      <c r="W537" s="3">
        <v>2.8194444444444442E-2</v>
      </c>
      <c r="X537" t="s">
        <v>1426</v>
      </c>
      <c r="Y537">
        <v>14</v>
      </c>
      <c r="Z537">
        <v>0</v>
      </c>
      <c r="AA537" t="s">
        <v>49</v>
      </c>
      <c r="AB537">
        <v>0</v>
      </c>
      <c r="AC537" t="s">
        <v>1427</v>
      </c>
      <c r="AD537">
        <v>7</v>
      </c>
      <c r="AE537">
        <v>11303309</v>
      </c>
      <c r="AF537" t="s">
        <v>50</v>
      </c>
      <c r="AG537" t="s">
        <v>388</v>
      </c>
    </row>
    <row r="538" spans="1:33" x14ac:dyDescent="0.35">
      <c r="A538" s="1">
        <v>44896.697222222225</v>
      </c>
      <c r="B538">
        <v>279494</v>
      </c>
      <c r="C538" t="s">
        <v>1333</v>
      </c>
      <c r="D538" t="s">
        <v>125</v>
      </c>
      <c r="E538" s="2">
        <v>37280</v>
      </c>
      <c r="F538" t="str">
        <f>"9780198032953"</f>
        <v>9780198032953</v>
      </c>
      <c r="G538" t="str">
        <f>"9780195144208"</f>
        <v>9780195144208</v>
      </c>
      <c r="H538" t="s">
        <v>667</v>
      </c>
      <c r="I538" t="s">
        <v>1334</v>
      </c>
      <c r="J538" t="s">
        <v>1335</v>
      </c>
      <c r="K538" t="s">
        <v>44</v>
      </c>
      <c r="N538" t="s">
        <v>45</v>
      </c>
      <c r="O538" t="s">
        <v>46</v>
      </c>
      <c r="P538" t="s">
        <v>45</v>
      </c>
      <c r="Q538" t="s">
        <v>47</v>
      </c>
      <c r="R538" t="s">
        <v>44</v>
      </c>
      <c r="S538">
        <v>0</v>
      </c>
      <c r="W538" s="3">
        <v>9.6064814814814815E-3</v>
      </c>
      <c r="X538" t="s">
        <v>1428</v>
      </c>
      <c r="Y538">
        <v>17</v>
      </c>
      <c r="Z538">
        <v>0</v>
      </c>
      <c r="AA538" t="s">
        <v>49</v>
      </c>
      <c r="AB538">
        <v>0</v>
      </c>
      <c r="AC538" t="s">
        <v>49</v>
      </c>
      <c r="AD538">
        <v>0</v>
      </c>
      <c r="AE538">
        <v>11303309</v>
      </c>
      <c r="AF538" t="s">
        <v>50</v>
      </c>
      <c r="AG538" t="s">
        <v>388</v>
      </c>
    </row>
    <row r="539" spans="1:33" x14ac:dyDescent="0.35">
      <c r="A539" s="1">
        <v>44896.686805555553</v>
      </c>
      <c r="B539">
        <v>485633</v>
      </c>
      <c r="C539" t="s">
        <v>1429</v>
      </c>
      <c r="D539" t="s">
        <v>59</v>
      </c>
      <c r="E539" s="2">
        <v>40217</v>
      </c>
      <c r="F539" t="str">
        <f>"9780470593196"</f>
        <v>9780470593196</v>
      </c>
      <c r="G539" t="str">
        <f>"9780470545157"</f>
        <v>9780470545157</v>
      </c>
      <c r="H539" t="s">
        <v>60</v>
      </c>
      <c r="I539" t="s">
        <v>1430</v>
      </c>
      <c r="J539" t="s">
        <v>1431</v>
      </c>
      <c r="K539" t="s">
        <v>44</v>
      </c>
      <c r="N539" t="s">
        <v>45</v>
      </c>
      <c r="O539" t="s">
        <v>46</v>
      </c>
      <c r="P539" t="s">
        <v>45</v>
      </c>
      <c r="Q539" t="s">
        <v>47</v>
      </c>
      <c r="R539" t="s">
        <v>44</v>
      </c>
      <c r="S539">
        <v>0</v>
      </c>
      <c r="W539" s="3">
        <v>7.8935185185185185E-3</v>
      </c>
      <c r="X539" t="s">
        <v>1432</v>
      </c>
      <c r="Y539">
        <v>20</v>
      </c>
      <c r="Z539">
        <v>0</v>
      </c>
      <c r="AA539" t="s">
        <v>49</v>
      </c>
      <c r="AB539">
        <v>0</v>
      </c>
      <c r="AC539" t="s">
        <v>49</v>
      </c>
      <c r="AD539">
        <v>0</v>
      </c>
      <c r="AE539">
        <v>10366542</v>
      </c>
      <c r="AF539" t="s">
        <v>50</v>
      </c>
      <c r="AG539" t="s">
        <v>388</v>
      </c>
    </row>
    <row r="540" spans="1:33" x14ac:dyDescent="0.35">
      <c r="A540" s="1">
        <v>44896.686805555553</v>
      </c>
      <c r="B540">
        <v>821749</v>
      </c>
      <c r="C540" t="s">
        <v>1433</v>
      </c>
      <c r="D540" t="s">
        <v>59</v>
      </c>
      <c r="E540" s="2">
        <v>41030</v>
      </c>
      <c r="F540" t="str">
        <f>"9781118221464"</f>
        <v>9781118221464</v>
      </c>
      <c r="G540" t="str">
        <f>"9780470944547"</f>
        <v>9780470944547</v>
      </c>
      <c r="H540" t="s">
        <v>60</v>
      </c>
      <c r="I540" t="s">
        <v>1430</v>
      </c>
      <c r="J540" t="s">
        <v>1434</v>
      </c>
      <c r="K540" t="s">
        <v>44</v>
      </c>
      <c r="N540" t="s">
        <v>45</v>
      </c>
      <c r="O540" t="s">
        <v>46</v>
      </c>
      <c r="P540" t="s">
        <v>45</v>
      </c>
      <c r="Q540" t="s">
        <v>47</v>
      </c>
      <c r="R540" t="s">
        <v>44</v>
      </c>
      <c r="S540">
        <v>0</v>
      </c>
      <c r="W540" s="3">
        <v>5.8680555555555543E-3</v>
      </c>
      <c r="X540" t="s">
        <v>1435</v>
      </c>
      <c r="Y540">
        <v>15</v>
      </c>
      <c r="Z540">
        <v>0</v>
      </c>
      <c r="AA540" t="s">
        <v>49</v>
      </c>
      <c r="AB540">
        <v>0</v>
      </c>
      <c r="AC540" t="s">
        <v>49</v>
      </c>
      <c r="AD540">
        <v>0</v>
      </c>
      <c r="AE540">
        <v>10560544</v>
      </c>
      <c r="AF540" t="s">
        <v>50</v>
      </c>
      <c r="AG540" t="s">
        <v>388</v>
      </c>
    </row>
    <row r="541" spans="1:33" x14ac:dyDescent="0.35">
      <c r="A541" s="1">
        <v>44896.661805555559</v>
      </c>
      <c r="B541">
        <v>997259</v>
      </c>
      <c r="C541" t="s">
        <v>1436</v>
      </c>
      <c r="D541" t="s">
        <v>1282</v>
      </c>
      <c r="E541" s="2">
        <v>33815</v>
      </c>
      <c r="F541" t="str">
        <f>"9781452246260"</f>
        <v>9781452246260</v>
      </c>
      <c r="G541" t="str">
        <f>"9780803948051"</f>
        <v>9780803948051</v>
      </c>
      <c r="H541" t="s">
        <v>60</v>
      </c>
      <c r="I541">
        <v>658.40120000000002</v>
      </c>
      <c r="J541">
        <v>92017898</v>
      </c>
      <c r="K541" t="s">
        <v>44</v>
      </c>
      <c r="N541" t="s">
        <v>45</v>
      </c>
      <c r="O541" t="s">
        <v>46</v>
      </c>
      <c r="P541" t="s">
        <v>45</v>
      </c>
      <c r="Q541" t="s">
        <v>47</v>
      </c>
      <c r="R541" t="s">
        <v>44</v>
      </c>
      <c r="S541">
        <v>0</v>
      </c>
      <c r="W541" s="3">
        <v>1.462962962962963E-2</v>
      </c>
      <c r="X541" t="s">
        <v>1437</v>
      </c>
      <c r="Y541">
        <v>22</v>
      </c>
      <c r="Z541">
        <v>0</v>
      </c>
      <c r="AA541" t="s">
        <v>49</v>
      </c>
      <c r="AB541">
        <v>0</v>
      </c>
      <c r="AC541" t="s">
        <v>49</v>
      </c>
      <c r="AD541">
        <v>0</v>
      </c>
      <c r="AE541">
        <v>10593945</v>
      </c>
      <c r="AF541" t="s">
        <v>50</v>
      </c>
      <c r="AG541" t="s">
        <v>388</v>
      </c>
    </row>
    <row r="542" spans="1:33" x14ac:dyDescent="0.35">
      <c r="A542" s="1">
        <v>44896.626388888886</v>
      </c>
      <c r="B542">
        <v>3318877</v>
      </c>
      <c r="C542" t="s">
        <v>1389</v>
      </c>
      <c r="D542" t="s">
        <v>1390</v>
      </c>
      <c r="E542" s="2">
        <v>42109</v>
      </c>
      <c r="F542" t="str">
        <f>"9781421416274"</f>
        <v>9781421416274</v>
      </c>
      <c r="G542" t="str">
        <f>"9781421416250"</f>
        <v>9781421416250</v>
      </c>
      <c r="H542" t="s">
        <v>90</v>
      </c>
      <c r="I542" t="s">
        <v>1391</v>
      </c>
      <c r="K542" t="s">
        <v>44</v>
      </c>
      <c r="N542" t="s">
        <v>45</v>
      </c>
      <c r="O542" t="s">
        <v>46</v>
      </c>
      <c r="P542" t="s">
        <v>45</v>
      </c>
      <c r="Q542" t="s">
        <v>47</v>
      </c>
      <c r="R542" t="s">
        <v>44</v>
      </c>
      <c r="S542">
        <v>0</v>
      </c>
      <c r="W542" s="3">
        <v>6.9444444444444444E-5</v>
      </c>
      <c r="X542" t="s">
        <v>121</v>
      </c>
      <c r="Y542">
        <v>1</v>
      </c>
      <c r="Z542">
        <v>0</v>
      </c>
      <c r="AA542" t="s">
        <v>49</v>
      </c>
      <c r="AB542">
        <v>0</v>
      </c>
      <c r="AC542" t="s">
        <v>49</v>
      </c>
      <c r="AD542">
        <v>0</v>
      </c>
      <c r="AE542">
        <v>11030149</v>
      </c>
      <c r="AF542" t="s">
        <v>50</v>
      </c>
      <c r="AG542" t="s">
        <v>388</v>
      </c>
    </row>
    <row r="543" spans="1:33" x14ac:dyDescent="0.35">
      <c r="A543" s="1">
        <v>44896.617361111108</v>
      </c>
      <c r="B543">
        <v>6852854</v>
      </c>
      <c r="C543" t="s">
        <v>943</v>
      </c>
      <c r="D543" t="s">
        <v>944</v>
      </c>
      <c r="E543" s="2">
        <v>44595</v>
      </c>
      <c r="F543" t="str">
        <f>"9780861543212"</f>
        <v>9780861543212</v>
      </c>
      <c r="G543" t="str">
        <f>""</f>
        <v/>
      </c>
      <c r="H543" t="s">
        <v>945</v>
      </c>
      <c r="I543">
        <v>681.11309000000006</v>
      </c>
      <c r="J543" t="s">
        <v>946</v>
      </c>
      <c r="K543" t="s">
        <v>55</v>
      </c>
      <c r="Q543" t="s">
        <v>47</v>
      </c>
      <c r="R543" t="s">
        <v>44</v>
      </c>
      <c r="S543">
        <v>0</v>
      </c>
      <c r="W543" s="3">
        <v>1.3888888888888889E-4</v>
      </c>
      <c r="X543" t="s">
        <v>1222</v>
      </c>
      <c r="Y543">
        <v>2</v>
      </c>
      <c r="Z543">
        <v>0</v>
      </c>
      <c r="AA543" t="s">
        <v>49</v>
      </c>
      <c r="AB543">
        <v>0</v>
      </c>
      <c r="AC543" t="s">
        <v>49</v>
      </c>
      <c r="AD543">
        <v>0</v>
      </c>
      <c r="AE543">
        <v>-1</v>
      </c>
      <c r="AF543" t="s">
        <v>50</v>
      </c>
      <c r="AG543" t="s">
        <v>388</v>
      </c>
    </row>
    <row r="544" spans="1:33" x14ac:dyDescent="0.35">
      <c r="A544" s="1">
        <v>44896.567361111112</v>
      </c>
      <c r="B544">
        <v>4513225</v>
      </c>
      <c r="C544" t="s">
        <v>1438</v>
      </c>
      <c r="D544" t="s">
        <v>1439</v>
      </c>
      <c r="E544" s="2">
        <v>41640</v>
      </c>
      <c r="F544" t="str">
        <f>"9781553393344"</f>
        <v>9781553393344</v>
      </c>
      <c r="G544" t="str">
        <f>"9781553393337"</f>
        <v>9781553393337</v>
      </c>
      <c r="H544" t="s">
        <v>90</v>
      </c>
      <c r="I544">
        <v>378.71300000000002</v>
      </c>
      <c r="J544" t="s">
        <v>1440</v>
      </c>
      <c r="K544" t="s">
        <v>44</v>
      </c>
      <c r="N544" t="s">
        <v>45</v>
      </c>
      <c r="O544" t="s">
        <v>46</v>
      </c>
      <c r="P544" t="s">
        <v>45</v>
      </c>
      <c r="Q544" t="s">
        <v>47</v>
      </c>
      <c r="R544" t="s">
        <v>44</v>
      </c>
      <c r="S544">
        <v>0</v>
      </c>
      <c r="W544" s="3">
        <v>6.3657407407407402E-4</v>
      </c>
      <c r="X544" t="s">
        <v>1441</v>
      </c>
      <c r="Y544">
        <v>5</v>
      </c>
      <c r="Z544">
        <v>0</v>
      </c>
      <c r="AA544" t="s">
        <v>49</v>
      </c>
      <c r="AB544">
        <v>0</v>
      </c>
      <c r="AC544" t="s">
        <v>49</v>
      </c>
      <c r="AD544">
        <v>0</v>
      </c>
      <c r="AE544">
        <v>11253163</v>
      </c>
      <c r="AF544" t="s">
        <v>50</v>
      </c>
      <c r="AG544" t="s">
        <v>388</v>
      </c>
    </row>
    <row r="545" spans="1:33" x14ac:dyDescent="0.35">
      <c r="A545" s="1">
        <v>44896.564583333333</v>
      </c>
      <c r="B545">
        <v>279494</v>
      </c>
      <c r="C545" t="s">
        <v>1333</v>
      </c>
      <c r="D545" t="s">
        <v>125</v>
      </c>
      <c r="E545" s="2">
        <v>37280</v>
      </c>
      <c r="F545" t="str">
        <f>"9780198032953"</f>
        <v>9780198032953</v>
      </c>
      <c r="G545" t="str">
        <f>"9780195144208"</f>
        <v>9780195144208</v>
      </c>
      <c r="H545" t="s">
        <v>667</v>
      </c>
      <c r="I545" t="s">
        <v>1334</v>
      </c>
      <c r="J545" t="s">
        <v>1335</v>
      </c>
      <c r="K545" t="s">
        <v>44</v>
      </c>
      <c r="N545" t="s">
        <v>45</v>
      </c>
      <c r="O545" t="s">
        <v>46</v>
      </c>
      <c r="P545" t="s">
        <v>45</v>
      </c>
      <c r="Q545" t="s">
        <v>47</v>
      </c>
      <c r="R545" t="s">
        <v>44</v>
      </c>
      <c r="S545">
        <v>0</v>
      </c>
      <c r="W545" s="3">
        <v>4.6539351851851853E-2</v>
      </c>
      <c r="X545" t="s">
        <v>1442</v>
      </c>
      <c r="Y545">
        <v>19</v>
      </c>
      <c r="Z545">
        <v>0</v>
      </c>
      <c r="AA545" t="s">
        <v>49</v>
      </c>
      <c r="AB545">
        <v>0</v>
      </c>
      <c r="AC545" t="s">
        <v>49</v>
      </c>
      <c r="AD545">
        <v>0</v>
      </c>
      <c r="AE545">
        <v>11303309</v>
      </c>
      <c r="AF545" t="s">
        <v>50</v>
      </c>
      <c r="AG545" t="s">
        <v>388</v>
      </c>
    </row>
    <row r="546" spans="1:33" x14ac:dyDescent="0.35">
      <c r="A546" s="1">
        <v>44896.547222222223</v>
      </c>
      <c r="B546">
        <v>997259</v>
      </c>
      <c r="C546" t="s">
        <v>1436</v>
      </c>
      <c r="D546" t="s">
        <v>1282</v>
      </c>
      <c r="E546" s="2">
        <v>33815</v>
      </c>
      <c r="F546" t="str">
        <f>"9781452246260"</f>
        <v>9781452246260</v>
      </c>
      <c r="G546" t="str">
        <f>"9780803948051"</f>
        <v>9780803948051</v>
      </c>
      <c r="H546" t="s">
        <v>60</v>
      </c>
      <c r="I546">
        <v>658.40120000000002</v>
      </c>
      <c r="J546">
        <v>92017898</v>
      </c>
      <c r="K546" t="s">
        <v>44</v>
      </c>
      <c r="N546" t="s">
        <v>45</v>
      </c>
      <c r="O546" t="s">
        <v>46</v>
      </c>
      <c r="P546" t="s">
        <v>45</v>
      </c>
      <c r="Q546" t="s">
        <v>47</v>
      </c>
      <c r="R546" t="s">
        <v>44</v>
      </c>
      <c r="S546">
        <v>0</v>
      </c>
      <c r="W546" s="3">
        <v>1.3657407407407409E-3</v>
      </c>
      <c r="X546" t="s">
        <v>1443</v>
      </c>
      <c r="Y546">
        <v>10</v>
      </c>
      <c r="Z546">
        <v>0</v>
      </c>
      <c r="AA546" t="s">
        <v>49</v>
      </c>
      <c r="AB546">
        <v>0</v>
      </c>
      <c r="AC546" t="s">
        <v>49</v>
      </c>
      <c r="AD546">
        <v>0</v>
      </c>
      <c r="AE546">
        <v>10593945</v>
      </c>
      <c r="AF546" t="s">
        <v>50</v>
      </c>
      <c r="AG546" t="s">
        <v>388</v>
      </c>
    </row>
    <row r="547" spans="1:33" x14ac:dyDescent="0.35">
      <c r="A547" s="1">
        <v>44896.530555555553</v>
      </c>
      <c r="B547">
        <v>410423</v>
      </c>
      <c r="C547" t="s">
        <v>1444</v>
      </c>
      <c r="D547" t="s">
        <v>1445</v>
      </c>
      <c r="E547" s="2">
        <v>38625</v>
      </c>
      <c r="F547" t="str">
        <f>"9781742190327"</f>
        <v>9781742190327</v>
      </c>
      <c r="G547" t="str">
        <f>"9781876756567"</f>
        <v>9781876756567</v>
      </c>
      <c r="H547" t="s">
        <v>1069</v>
      </c>
      <c r="I547">
        <v>821.91399999999999</v>
      </c>
      <c r="J547" t="s">
        <v>1446</v>
      </c>
      <c r="K547" t="s">
        <v>44</v>
      </c>
      <c r="N547" t="s">
        <v>45</v>
      </c>
      <c r="O547" t="s">
        <v>46</v>
      </c>
      <c r="P547" t="s">
        <v>45</v>
      </c>
      <c r="Q547" t="s">
        <v>47</v>
      </c>
      <c r="R547" t="s">
        <v>44</v>
      </c>
      <c r="S547">
        <v>0</v>
      </c>
      <c r="W547" s="3">
        <v>8.7037037037037031E-3</v>
      </c>
      <c r="X547" t="s">
        <v>1447</v>
      </c>
      <c r="Y547">
        <v>47</v>
      </c>
      <c r="Z547">
        <v>0</v>
      </c>
      <c r="AA547" t="s">
        <v>49</v>
      </c>
      <c r="AB547">
        <v>0</v>
      </c>
      <c r="AC547" t="s">
        <v>49</v>
      </c>
      <c r="AD547">
        <v>0</v>
      </c>
      <c r="AE547">
        <v>10273676</v>
      </c>
      <c r="AF547" t="s">
        <v>50</v>
      </c>
      <c r="AG547" t="s">
        <v>388</v>
      </c>
    </row>
    <row r="548" spans="1:33" x14ac:dyDescent="0.35">
      <c r="A548" s="1">
        <v>44896.466666666667</v>
      </c>
      <c r="B548">
        <v>1404584</v>
      </c>
      <c r="C548" t="s">
        <v>1448</v>
      </c>
      <c r="D548" t="s">
        <v>59</v>
      </c>
      <c r="E548" s="2">
        <v>41568</v>
      </c>
      <c r="F548" t="str">
        <f>"9781118723074"</f>
        <v>9781118723074</v>
      </c>
      <c r="G548" t="str">
        <f>"9781118078594"</f>
        <v>9781118078594</v>
      </c>
      <c r="H548" t="s">
        <v>290</v>
      </c>
      <c r="I548">
        <v>628.53011000000004</v>
      </c>
      <c r="J548" t="s">
        <v>1449</v>
      </c>
      <c r="K548" t="s">
        <v>44</v>
      </c>
      <c r="N548" t="s">
        <v>45</v>
      </c>
      <c r="O548" t="s">
        <v>46</v>
      </c>
      <c r="P548" t="s">
        <v>45</v>
      </c>
      <c r="Q548" t="s">
        <v>47</v>
      </c>
      <c r="R548" t="s">
        <v>44</v>
      </c>
      <c r="S548">
        <v>0</v>
      </c>
      <c r="W548" s="3">
        <v>5.0578703703703706E-3</v>
      </c>
      <c r="X548" t="s">
        <v>1450</v>
      </c>
      <c r="Y548">
        <v>32</v>
      </c>
      <c r="Z548">
        <v>0</v>
      </c>
      <c r="AA548" t="s">
        <v>49</v>
      </c>
      <c r="AB548">
        <v>0</v>
      </c>
      <c r="AC548" t="s">
        <v>49</v>
      </c>
      <c r="AD548">
        <v>0</v>
      </c>
      <c r="AE548">
        <v>10767595</v>
      </c>
      <c r="AF548" t="s">
        <v>50</v>
      </c>
      <c r="AG548" t="s">
        <v>1451</v>
      </c>
    </row>
    <row r="549" spans="1:33" x14ac:dyDescent="0.35">
      <c r="A549" s="1">
        <v>44896.438194444447</v>
      </c>
      <c r="B549">
        <v>28983913</v>
      </c>
      <c r="C549" t="s">
        <v>1089</v>
      </c>
      <c r="D549" t="s">
        <v>1090</v>
      </c>
      <c r="E549" s="2">
        <v>44245</v>
      </c>
      <c r="F549" t="str">
        <f>"9780768099430"</f>
        <v>9780768099430</v>
      </c>
      <c r="G549" t="str">
        <f>"9780768099423"</f>
        <v>9780768099423</v>
      </c>
      <c r="H549" t="s">
        <v>639</v>
      </c>
      <c r="K549" t="s">
        <v>44</v>
      </c>
      <c r="N549" t="s">
        <v>45</v>
      </c>
      <c r="O549" t="s">
        <v>46</v>
      </c>
      <c r="P549" t="s">
        <v>45</v>
      </c>
      <c r="Q549" t="s">
        <v>47</v>
      </c>
      <c r="R549" t="s">
        <v>44</v>
      </c>
      <c r="S549">
        <v>0</v>
      </c>
      <c r="W549" s="3">
        <v>2.1527777777777778E-3</v>
      </c>
      <c r="X549" t="s">
        <v>1452</v>
      </c>
      <c r="Y549">
        <v>19</v>
      </c>
      <c r="Z549">
        <v>0</v>
      </c>
      <c r="AA549" t="s">
        <v>49</v>
      </c>
      <c r="AB549">
        <v>0</v>
      </c>
      <c r="AC549" t="s">
        <v>49</v>
      </c>
      <c r="AD549">
        <v>0</v>
      </c>
      <c r="AE549">
        <v>-1</v>
      </c>
      <c r="AF549" t="s">
        <v>50</v>
      </c>
      <c r="AG549" t="s">
        <v>1355</v>
      </c>
    </row>
    <row r="550" spans="1:33" x14ac:dyDescent="0.35">
      <c r="A550" s="1">
        <v>44896.40625</v>
      </c>
      <c r="B550">
        <v>775117</v>
      </c>
      <c r="C550" t="s">
        <v>1453</v>
      </c>
      <c r="D550" t="s">
        <v>502</v>
      </c>
      <c r="E550" s="2">
        <v>40780</v>
      </c>
      <c r="F550" t="str">
        <f>"9781139114301"</f>
        <v>9781139114301</v>
      </c>
      <c r="G550" t="str">
        <f>"9780521896214"</f>
        <v>9780521896214</v>
      </c>
      <c r="H550" t="s">
        <v>1454</v>
      </c>
      <c r="I550">
        <v>551.52200000000005</v>
      </c>
      <c r="J550" t="s">
        <v>1455</v>
      </c>
      <c r="K550" t="s">
        <v>44</v>
      </c>
      <c r="N550" t="s">
        <v>45</v>
      </c>
      <c r="O550" t="s">
        <v>46</v>
      </c>
      <c r="P550" t="s">
        <v>45</v>
      </c>
      <c r="Q550" t="s">
        <v>47</v>
      </c>
      <c r="R550" t="s">
        <v>44</v>
      </c>
      <c r="S550">
        <v>0</v>
      </c>
      <c r="W550" s="3">
        <v>3.7268518518518513E-2</v>
      </c>
      <c r="X550" t="s">
        <v>1456</v>
      </c>
      <c r="Y550">
        <v>37</v>
      </c>
      <c r="Z550">
        <v>0</v>
      </c>
      <c r="AA550" t="s">
        <v>49</v>
      </c>
      <c r="AB550">
        <v>0</v>
      </c>
      <c r="AC550" t="s">
        <v>49</v>
      </c>
      <c r="AD550">
        <v>0</v>
      </c>
      <c r="AE550">
        <v>10502735</v>
      </c>
      <c r="AF550" t="s">
        <v>50</v>
      </c>
      <c r="AG550" t="s">
        <v>1451</v>
      </c>
    </row>
    <row r="551" spans="1:33" x14ac:dyDescent="0.35">
      <c r="A551" s="1">
        <v>44896.323611111111</v>
      </c>
      <c r="B551">
        <v>468763</v>
      </c>
      <c r="C551" t="s">
        <v>1457</v>
      </c>
      <c r="D551" t="s">
        <v>1458</v>
      </c>
      <c r="E551" s="2">
        <v>40185</v>
      </c>
      <c r="F551" t="str">
        <f>"9780470561249"</f>
        <v>9780470561249</v>
      </c>
      <c r="G551" t="str">
        <f>"9780471719755"</f>
        <v>9780471719755</v>
      </c>
      <c r="H551" t="s">
        <v>116</v>
      </c>
      <c r="I551" t="s">
        <v>1459</v>
      </c>
      <c r="J551" t="s">
        <v>1460</v>
      </c>
      <c r="K551" t="s">
        <v>44</v>
      </c>
      <c r="N551" t="s">
        <v>45</v>
      </c>
      <c r="O551" t="s">
        <v>46</v>
      </c>
      <c r="P551" t="s">
        <v>45</v>
      </c>
      <c r="Q551" t="s">
        <v>47</v>
      </c>
      <c r="R551" t="s">
        <v>44</v>
      </c>
      <c r="S551">
        <v>0</v>
      </c>
      <c r="W551" s="3">
        <v>3.4722222222222222E-5</v>
      </c>
      <c r="X551" t="s">
        <v>1461</v>
      </c>
      <c r="Y551">
        <v>1</v>
      </c>
      <c r="Z551">
        <v>3</v>
      </c>
      <c r="AA551" t="s">
        <v>1462</v>
      </c>
      <c r="AB551">
        <v>90</v>
      </c>
      <c r="AC551" t="s">
        <v>49</v>
      </c>
      <c r="AD551">
        <v>0</v>
      </c>
      <c r="AE551">
        <v>10355237</v>
      </c>
      <c r="AF551" t="s">
        <v>50</v>
      </c>
      <c r="AG551" t="s">
        <v>388</v>
      </c>
    </row>
    <row r="552" spans="1:33" x14ac:dyDescent="0.35">
      <c r="A552" s="1">
        <v>44896.247916666667</v>
      </c>
      <c r="B552">
        <v>404356</v>
      </c>
      <c r="C552" t="s">
        <v>1463</v>
      </c>
      <c r="D552" t="s">
        <v>65</v>
      </c>
      <c r="E552" s="2">
        <v>35670</v>
      </c>
      <c r="F552" t="str">
        <f>"9780080507200"</f>
        <v>9780080507200</v>
      </c>
      <c r="G552" t="str">
        <f>"9780884152200"</f>
        <v>9780884152200</v>
      </c>
      <c r="H552" t="s">
        <v>116</v>
      </c>
      <c r="I552">
        <v>665.7</v>
      </c>
      <c r="J552" t="s">
        <v>1464</v>
      </c>
      <c r="K552" t="s">
        <v>44</v>
      </c>
      <c r="N552" t="s">
        <v>45</v>
      </c>
      <c r="O552" t="s">
        <v>46</v>
      </c>
      <c r="P552" t="s">
        <v>45</v>
      </c>
      <c r="Q552" t="s">
        <v>47</v>
      </c>
      <c r="R552" t="s">
        <v>44</v>
      </c>
      <c r="S552">
        <v>1</v>
      </c>
      <c r="W552" s="3">
        <v>7.407407407407407E-4</v>
      </c>
      <c r="X552" t="s">
        <v>1465</v>
      </c>
      <c r="Y552">
        <v>5</v>
      </c>
      <c r="Z552">
        <v>1</v>
      </c>
      <c r="AA552" t="s">
        <v>1466</v>
      </c>
      <c r="AB552">
        <v>114</v>
      </c>
      <c r="AC552" t="s">
        <v>49</v>
      </c>
      <c r="AD552">
        <v>0</v>
      </c>
      <c r="AE552">
        <v>10251221</v>
      </c>
      <c r="AF552" t="s">
        <v>63</v>
      </c>
      <c r="AG552" t="s">
        <v>388</v>
      </c>
    </row>
    <row r="553" spans="1:33" x14ac:dyDescent="0.35">
      <c r="A553" s="1">
        <v>44896.079861111109</v>
      </c>
      <c r="B553">
        <v>4688970</v>
      </c>
      <c r="C553" t="s">
        <v>1467</v>
      </c>
      <c r="D553" t="s">
        <v>59</v>
      </c>
      <c r="E553" s="2">
        <v>42619</v>
      </c>
      <c r="F553" t="str">
        <f>"9781119255581"</f>
        <v>9781119255581</v>
      </c>
      <c r="G553" t="str">
        <f>"9781119252399"</f>
        <v>9781119252399</v>
      </c>
      <c r="H553" t="s">
        <v>60</v>
      </c>
      <c r="I553">
        <v>658.40120000000002</v>
      </c>
      <c r="J553" t="s">
        <v>1468</v>
      </c>
      <c r="K553" t="s">
        <v>44</v>
      </c>
      <c r="N553" t="s">
        <v>45</v>
      </c>
      <c r="O553" t="s">
        <v>46</v>
      </c>
      <c r="P553" t="s">
        <v>45</v>
      </c>
      <c r="Q553" t="s">
        <v>47</v>
      </c>
      <c r="R553" t="s">
        <v>44</v>
      </c>
      <c r="S553">
        <v>0</v>
      </c>
      <c r="W553" s="3">
        <v>5.9375000000000009E-3</v>
      </c>
      <c r="X553" t="s">
        <v>1469</v>
      </c>
      <c r="Y553">
        <v>19</v>
      </c>
      <c r="Z553">
        <v>0</v>
      </c>
      <c r="AA553" t="s">
        <v>49</v>
      </c>
      <c r="AB553">
        <v>0</v>
      </c>
      <c r="AC553" t="s">
        <v>49</v>
      </c>
      <c r="AD553">
        <v>0</v>
      </c>
      <c r="AE553">
        <v>11266623</v>
      </c>
      <c r="AF553" t="s">
        <v>50</v>
      </c>
      <c r="AG553" t="s">
        <v>388</v>
      </c>
    </row>
    <row r="554" spans="1:33" x14ac:dyDescent="0.35">
      <c r="A554" s="1">
        <v>44896.022222222222</v>
      </c>
      <c r="B554">
        <v>1143706</v>
      </c>
      <c r="C554" t="s">
        <v>1470</v>
      </c>
      <c r="D554" t="s">
        <v>76</v>
      </c>
      <c r="E554" s="2">
        <v>41253</v>
      </c>
      <c r="F554" t="str">
        <f>"9781136865701"</f>
        <v>9781136865701</v>
      </c>
      <c r="G554" t="str">
        <f>"9780415874663"</f>
        <v>9780415874663</v>
      </c>
      <c r="H554" t="s">
        <v>90</v>
      </c>
      <c r="I554">
        <v>378.101</v>
      </c>
      <c r="J554" t="s">
        <v>1471</v>
      </c>
      <c r="K554" t="s">
        <v>44</v>
      </c>
      <c r="N554" t="s">
        <v>45</v>
      </c>
      <c r="O554" t="s">
        <v>46</v>
      </c>
      <c r="P554" t="s">
        <v>45</v>
      </c>
      <c r="Q554" t="s">
        <v>47</v>
      </c>
      <c r="R554" t="s">
        <v>44</v>
      </c>
      <c r="S554">
        <v>0</v>
      </c>
      <c r="W554" s="3">
        <v>7.5462962962962966E-3</v>
      </c>
      <c r="X554" t="s">
        <v>1472</v>
      </c>
      <c r="Y554">
        <v>18</v>
      </c>
      <c r="Z554">
        <v>0</v>
      </c>
      <c r="AA554" t="s">
        <v>49</v>
      </c>
      <c r="AB554">
        <v>0</v>
      </c>
      <c r="AC554" t="s">
        <v>49</v>
      </c>
      <c r="AD554">
        <v>0</v>
      </c>
      <c r="AE554">
        <v>10672717</v>
      </c>
      <c r="AF554" t="s">
        <v>50</v>
      </c>
      <c r="AG554" t="s">
        <v>388</v>
      </c>
    </row>
    <row r="555" spans="1:33" x14ac:dyDescent="0.35">
      <c r="A555" s="1">
        <v>44895.980555555558</v>
      </c>
      <c r="B555">
        <v>279494</v>
      </c>
      <c r="C555" t="s">
        <v>1333</v>
      </c>
      <c r="D555" t="s">
        <v>125</v>
      </c>
      <c r="E555" s="2">
        <v>37280</v>
      </c>
      <c r="F555" t="str">
        <f>"9780198032953"</f>
        <v>9780198032953</v>
      </c>
      <c r="G555" t="str">
        <f>"9780195144208"</f>
        <v>9780195144208</v>
      </c>
      <c r="H555" t="s">
        <v>667</v>
      </c>
      <c r="I555" t="s">
        <v>1334</v>
      </c>
      <c r="J555" t="s">
        <v>1335</v>
      </c>
      <c r="K555" t="s">
        <v>44</v>
      </c>
      <c r="N555" t="s">
        <v>45</v>
      </c>
      <c r="O555" t="s">
        <v>46</v>
      </c>
      <c r="P555" t="s">
        <v>45</v>
      </c>
      <c r="Q555" t="s">
        <v>47</v>
      </c>
      <c r="R555" t="s">
        <v>44</v>
      </c>
      <c r="S555">
        <v>0</v>
      </c>
      <c r="W555" s="3">
        <v>1.8078703703703704E-2</v>
      </c>
      <c r="X555" t="s">
        <v>1473</v>
      </c>
      <c r="Y555">
        <v>13</v>
      </c>
      <c r="Z555">
        <v>0</v>
      </c>
      <c r="AA555" t="s">
        <v>49</v>
      </c>
      <c r="AB555">
        <v>0</v>
      </c>
      <c r="AC555" t="s">
        <v>49</v>
      </c>
      <c r="AD555">
        <v>0</v>
      </c>
      <c r="AE555">
        <v>11303309</v>
      </c>
      <c r="AF555" t="s">
        <v>50</v>
      </c>
      <c r="AG555" t="s">
        <v>388</v>
      </c>
    </row>
    <row r="556" spans="1:33" x14ac:dyDescent="0.35">
      <c r="A556" s="1">
        <v>44895.931944444441</v>
      </c>
      <c r="B556">
        <v>4396575</v>
      </c>
      <c r="C556" t="s">
        <v>1474</v>
      </c>
      <c r="D556" t="s">
        <v>645</v>
      </c>
      <c r="E556" s="2">
        <v>42278</v>
      </c>
      <c r="F556" t="str">
        <f>"9781438457765"</f>
        <v>9781438457765</v>
      </c>
      <c r="G556" t="str">
        <f>"9781438457758"</f>
        <v>9781438457758</v>
      </c>
      <c r="H556" t="s">
        <v>1046</v>
      </c>
      <c r="I556" t="s">
        <v>1203</v>
      </c>
      <c r="K556" t="s">
        <v>44</v>
      </c>
      <c r="N556" t="s">
        <v>45</v>
      </c>
      <c r="O556" t="s">
        <v>46</v>
      </c>
      <c r="P556" t="s">
        <v>45</v>
      </c>
      <c r="Q556" t="s">
        <v>47</v>
      </c>
      <c r="R556" t="s">
        <v>44</v>
      </c>
      <c r="S556">
        <v>0</v>
      </c>
      <c r="W556" s="3">
        <v>2.0277777777777777E-2</v>
      </c>
      <c r="X556" t="s">
        <v>1475</v>
      </c>
      <c r="Y556">
        <v>11</v>
      </c>
      <c r="Z556">
        <v>0</v>
      </c>
      <c r="AA556" t="s">
        <v>49</v>
      </c>
      <c r="AB556">
        <v>0</v>
      </c>
      <c r="AC556" t="s">
        <v>49</v>
      </c>
      <c r="AD556">
        <v>0</v>
      </c>
      <c r="AE556">
        <v>11155580</v>
      </c>
      <c r="AF556" t="s">
        <v>50</v>
      </c>
      <c r="AG556" t="s">
        <v>1476</v>
      </c>
    </row>
    <row r="557" spans="1:33" x14ac:dyDescent="0.35">
      <c r="A557" s="1">
        <v>44895.929861111108</v>
      </c>
      <c r="B557">
        <v>4737322</v>
      </c>
      <c r="C557" t="s">
        <v>1477</v>
      </c>
      <c r="D557" t="s">
        <v>507</v>
      </c>
      <c r="E557" s="2">
        <v>42247</v>
      </c>
      <c r="F557" t="str">
        <f>"9780748632244"</f>
        <v>9780748632244</v>
      </c>
      <c r="G557" t="str">
        <f>"9780748632763"</f>
        <v>9780748632763</v>
      </c>
      <c r="H557" t="s">
        <v>667</v>
      </c>
      <c r="I557" t="s">
        <v>1478</v>
      </c>
      <c r="J557" t="s">
        <v>1479</v>
      </c>
      <c r="K557" t="s">
        <v>44</v>
      </c>
      <c r="N557" t="s">
        <v>45</v>
      </c>
      <c r="O557" t="s">
        <v>46</v>
      </c>
      <c r="P557" t="s">
        <v>45</v>
      </c>
      <c r="Q557" t="s">
        <v>47</v>
      </c>
      <c r="R557" t="s">
        <v>44</v>
      </c>
      <c r="S557">
        <v>0</v>
      </c>
      <c r="W557" s="3">
        <v>2.2222222222222222E-3</v>
      </c>
      <c r="X557" t="s">
        <v>1480</v>
      </c>
      <c r="Y557">
        <v>12</v>
      </c>
      <c r="Z557">
        <v>0</v>
      </c>
      <c r="AA557" t="s">
        <v>49</v>
      </c>
      <c r="AB557">
        <v>0</v>
      </c>
      <c r="AC557" t="s">
        <v>49</v>
      </c>
      <c r="AD557">
        <v>0</v>
      </c>
      <c r="AE557">
        <v>-1</v>
      </c>
      <c r="AF557" t="s">
        <v>50</v>
      </c>
      <c r="AG557" t="s">
        <v>1476</v>
      </c>
    </row>
    <row r="558" spans="1:33" x14ac:dyDescent="0.35">
      <c r="A558" s="1">
        <v>44895.929166666669</v>
      </c>
      <c r="B558">
        <v>1780931</v>
      </c>
      <c r="C558" t="s">
        <v>1481</v>
      </c>
      <c r="D558" t="s">
        <v>1482</v>
      </c>
      <c r="E558" s="2">
        <v>41835</v>
      </c>
      <c r="F558" t="str">
        <f>"9781558618565"</f>
        <v>9781558618565</v>
      </c>
      <c r="G558" t="str">
        <f>"9781558618558"</f>
        <v>9781558618558</v>
      </c>
      <c r="H558" t="s">
        <v>1046</v>
      </c>
      <c r="I558">
        <v>305.48697091759198</v>
      </c>
      <c r="J558" t="s">
        <v>1483</v>
      </c>
      <c r="K558" t="s">
        <v>44</v>
      </c>
      <c r="N558" t="s">
        <v>45</v>
      </c>
      <c r="O558" t="s">
        <v>46</v>
      </c>
      <c r="P558" t="s">
        <v>45</v>
      </c>
      <c r="Q558" t="s">
        <v>47</v>
      </c>
      <c r="R558" t="s">
        <v>44</v>
      </c>
      <c r="S558">
        <v>0</v>
      </c>
      <c r="W558" s="3">
        <v>2.3379629629629629E-2</v>
      </c>
      <c r="X558" t="s">
        <v>1484</v>
      </c>
      <c r="Y558">
        <v>22</v>
      </c>
      <c r="Z558">
        <v>0</v>
      </c>
      <c r="AA558" t="s">
        <v>49</v>
      </c>
      <c r="AB558">
        <v>0</v>
      </c>
      <c r="AC558" t="s">
        <v>49</v>
      </c>
      <c r="AD558">
        <v>0</v>
      </c>
      <c r="AE558">
        <v>10993187</v>
      </c>
      <c r="AF558" t="s">
        <v>50</v>
      </c>
      <c r="AG558" t="s">
        <v>1476</v>
      </c>
    </row>
    <row r="559" spans="1:33" x14ac:dyDescent="0.35">
      <c r="A559" s="1">
        <v>44895.929166666669</v>
      </c>
      <c r="B559">
        <v>6526734</v>
      </c>
      <c r="C559" t="s">
        <v>1485</v>
      </c>
      <c r="D559" t="s">
        <v>1486</v>
      </c>
      <c r="E559" s="2">
        <v>41479</v>
      </c>
      <c r="F559" t="str">
        <f>"9781626370586"</f>
        <v>9781626370586</v>
      </c>
      <c r="G559" t="str">
        <f>"9781588269096"</f>
        <v>9781588269096</v>
      </c>
      <c r="H559" t="s">
        <v>1046</v>
      </c>
      <c r="I559">
        <v>305.42095599999999</v>
      </c>
      <c r="J559" t="s">
        <v>1487</v>
      </c>
      <c r="K559" t="s">
        <v>44</v>
      </c>
      <c r="N559" t="s">
        <v>45</v>
      </c>
      <c r="O559" t="s">
        <v>46</v>
      </c>
      <c r="P559" t="s">
        <v>45</v>
      </c>
      <c r="Q559" t="s">
        <v>47</v>
      </c>
      <c r="R559" t="s">
        <v>44</v>
      </c>
      <c r="S559">
        <v>0</v>
      </c>
      <c r="W559" s="3">
        <v>6.5972222222222213E-4</v>
      </c>
      <c r="X559" t="s">
        <v>1488</v>
      </c>
      <c r="Y559">
        <v>6</v>
      </c>
      <c r="Z559">
        <v>0</v>
      </c>
      <c r="AA559" t="s">
        <v>49</v>
      </c>
      <c r="AB559">
        <v>0</v>
      </c>
      <c r="AC559" t="s">
        <v>49</v>
      </c>
      <c r="AD559">
        <v>0</v>
      </c>
      <c r="AE559">
        <v>-1</v>
      </c>
      <c r="AF559" t="s">
        <v>50</v>
      </c>
      <c r="AG559" t="s">
        <v>1476</v>
      </c>
    </row>
    <row r="560" spans="1:33" x14ac:dyDescent="0.35">
      <c r="A560" s="1">
        <v>44895.928472222222</v>
      </c>
      <c r="B560">
        <v>367052</v>
      </c>
      <c r="C560" t="s">
        <v>1489</v>
      </c>
      <c r="D560" t="s">
        <v>502</v>
      </c>
      <c r="E560" s="2">
        <v>39737</v>
      </c>
      <c r="F560" t="str">
        <f>"9780511436314"</f>
        <v>9780511436314</v>
      </c>
      <c r="G560" t="str">
        <f>"9780521830447"</f>
        <v>9780521830447</v>
      </c>
      <c r="H560" t="s">
        <v>712</v>
      </c>
      <c r="I560" t="s">
        <v>1490</v>
      </c>
      <c r="J560" t="s">
        <v>1491</v>
      </c>
      <c r="K560" t="s">
        <v>44</v>
      </c>
      <c r="N560" t="s">
        <v>45</v>
      </c>
      <c r="O560" t="s">
        <v>46</v>
      </c>
      <c r="P560" t="s">
        <v>45</v>
      </c>
      <c r="Q560" t="s">
        <v>47</v>
      </c>
      <c r="R560" t="s">
        <v>44</v>
      </c>
      <c r="S560">
        <v>0</v>
      </c>
      <c r="W560" s="3">
        <v>1.3888888888888889E-4</v>
      </c>
      <c r="X560" t="s">
        <v>1492</v>
      </c>
      <c r="Y560">
        <v>4</v>
      </c>
      <c r="Z560">
        <v>0</v>
      </c>
      <c r="AA560" t="s">
        <v>49</v>
      </c>
      <c r="AB560">
        <v>0</v>
      </c>
      <c r="AC560" t="s">
        <v>49</v>
      </c>
      <c r="AD560">
        <v>0</v>
      </c>
      <c r="AE560">
        <v>10257525</v>
      </c>
      <c r="AF560" t="s">
        <v>50</v>
      </c>
      <c r="AG560" t="s">
        <v>1476</v>
      </c>
    </row>
    <row r="561" spans="1:33" x14ac:dyDescent="0.35">
      <c r="A561" s="1">
        <v>44895.911111111112</v>
      </c>
      <c r="B561">
        <v>997259</v>
      </c>
      <c r="C561" t="s">
        <v>1436</v>
      </c>
      <c r="D561" t="s">
        <v>1282</v>
      </c>
      <c r="E561" s="2">
        <v>33815</v>
      </c>
      <c r="F561" t="str">
        <f>"9781452246260"</f>
        <v>9781452246260</v>
      </c>
      <c r="G561" t="str">
        <f>"9780803948051"</f>
        <v>9780803948051</v>
      </c>
      <c r="H561" t="s">
        <v>60</v>
      </c>
      <c r="I561">
        <v>658.40120000000002</v>
      </c>
      <c r="J561">
        <v>92017898</v>
      </c>
      <c r="K561" t="s">
        <v>44</v>
      </c>
      <c r="N561" t="s">
        <v>45</v>
      </c>
      <c r="O561" t="s">
        <v>46</v>
      </c>
      <c r="P561" t="s">
        <v>45</v>
      </c>
      <c r="Q561" t="s">
        <v>47</v>
      </c>
      <c r="R561" t="s">
        <v>44</v>
      </c>
      <c r="S561">
        <v>0</v>
      </c>
      <c r="W561" s="3">
        <v>1.5011574074074075E-2</v>
      </c>
      <c r="X561" t="s">
        <v>1493</v>
      </c>
      <c r="Y561">
        <v>12</v>
      </c>
      <c r="Z561">
        <v>0</v>
      </c>
      <c r="AA561" t="s">
        <v>49</v>
      </c>
      <c r="AB561">
        <v>0</v>
      </c>
      <c r="AC561" t="s">
        <v>49</v>
      </c>
      <c r="AD561">
        <v>0</v>
      </c>
      <c r="AE561">
        <v>10593945</v>
      </c>
      <c r="AF561" t="s">
        <v>50</v>
      </c>
      <c r="AG561" t="s">
        <v>388</v>
      </c>
    </row>
    <row r="562" spans="1:33" x14ac:dyDescent="0.35">
      <c r="A562" s="1">
        <v>44895.904861111114</v>
      </c>
      <c r="B562">
        <v>408747</v>
      </c>
      <c r="C562" t="s">
        <v>1494</v>
      </c>
      <c r="D562" t="s">
        <v>819</v>
      </c>
      <c r="E562" s="2">
        <v>39519</v>
      </c>
      <c r="F562" t="str">
        <f>"9780814410479"</f>
        <v>9780814410479</v>
      </c>
      <c r="G562" t="str">
        <f>"9780814401699"</f>
        <v>9780814401699</v>
      </c>
      <c r="H562" t="s">
        <v>60</v>
      </c>
      <c r="I562">
        <v>650.1</v>
      </c>
      <c r="J562" t="s">
        <v>1495</v>
      </c>
      <c r="K562" t="s">
        <v>44</v>
      </c>
      <c r="N562" t="s">
        <v>45</v>
      </c>
      <c r="O562" t="s">
        <v>46</v>
      </c>
      <c r="P562" t="s">
        <v>45</v>
      </c>
      <c r="Q562" t="s">
        <v>47</v>
      </c>
      <c r="R562" t="s">
        <v>44</v>
      </c>
      <c r="S562">
        <v>0</v>
      </c>
      <c r="W562" s="3">
        <v>1.5740740740740741E-3</v>
      </c>
      <c r="X562" t="s">
        <v>1496</v>
      </c>
      <c r="Y562">
        <v>7</v>
      </c>
      <c r="Z562">
        <v>0</v>
      </c>
      <c r="AA562" t="s">
        <v>49</v>
      </c>
      <c r="AB562">
        <v>0</v>
      </c>
      <c r="AC562" t="s">
        <v>49</v>
      </c>
      <c r="AD562">
        <v>0</v>
      </c>
      <c r="AE562">
        <v>10271778</v>
      </c>
      <c r="AF562" t="s">
        <v>50</v>
      </c>
      <c r="AG562" t="s">
        <v>388</v>
      </c>
    </row>
    <row r="563" spans="1:33" x14ac:dyDescent="0.35">
      <c r="A563" s="1">
        <v>44895.895138888889</v>
      </c>
      <c r="B563">
        <v>367052</v>
      </c>
      <c r="C563" t="s">
        <v>1489</v>
      </c>
      <c r="D563" t="s">
        <v>502</v>
      </c>
      <c r="E563" s="2">
        <v>39737</v>
      </c>
      <c r="F563" t="str">
        <f>"9780511436314"</f>
        <v>9780511436314</v>
      </c>
      <c r="G563" t="str">
        <f>"9780521830447"</f>
        <v>9780521830447</v>
      </c>
      <c r="H563" t="s">
        <v>712</v>
      </c>
      <c r="I563" t="s">
        <v>1490</v>
      </c>
      <c r="J563" t="s">
        <v>1491</v>
      </c>
      <c r="K563" t="s">
        <v>44</v>
      </c>
      <c r="N563" t="s">
        <v>45</v>
      </c>
      <c r="O563" t="s">
        <v>46</v>
      </c>
      <c r="P563" t="s">
        <v>45</v>
      </c>
      <c r="Q563" t="s">
        <v>47</v>
      </c>
      <c r="R563" t="s">
        <v>44</v>
      </c>
      <c r="S563">
        <v>0</v>
      </c>
      <c r="W563" s="3">
        <v>5.7870370370370366E-5</v>
      </c>
      <c r="X563" t="s">
        <v>196</v>
      </c>
      <c r="Y563">
        <v>2</v>
      </c>
      <c r="Z563">
        <v>0</v>
      </c>
      <c r="AA563" t="s">
        <v>49</v>
      </c>
      <c r="AB563">
        <v>0</v>
      </c>
      <c r="AC563" t="s">
        <v>49</v>
      </c>
      <c r="AD563">
        <v>0</v>
      </c>
      <c r="AE563">
        <v>10257525</v>
      </c>
      <c r="AF563" t="s">
        <v>50</v>
      </c>
      <c r="AG563" t="s">
        <v>1476</v>
      </c>
    </row>
    <row r="564" spans="1:33" x14ac:dyDescent="0.35">
      <c r="A564" s="1">
        <v>44895.893055555556</v>
      </c>
      <c r="B564">
        <v>6792356</v>
      </c>
      <c r="C564" t="s">
        <v>512</v>
      </c>
      <c r="D564" t="s">
        <v>213</v>
      </c>
      <c r="E564" s="2">
        <v>44496</v>
      </c>
      <c r="F564" t="str">
        <f>"9780128209073"</f>
        <v>9780128209073</v>
      </c>
      <c r="G564" t="str">
        <f>"9780128206294"</f>
        <v>9780128206294</v>
      </c>
      <c r="H564" t="s">
        <v>513</v>
      </c>
      <c r="I564">
        <v>620.5</v>
      </c>
      <c r="J564" t="s">
        <v>514</v>
      </c>
      <c r="K564" t="s">
        <v>55</v>
      </c>
      <c r="Q564" t="s">
        <v>47</v>
      </c>
      <c r="R564" t="s">
        <v>44</v>
      </c>
      <c r="S564">
        <v>0</v>
      </c>
      <c r="W564" s="3">
        <v>5.5902777777777782E-3</v>
      </c>
      <c r="X564" t="s">
        <v>1497</v>
      </c>
      <c r="Y564">
        <v>8</v>
      </c>
      <c r="Z564">
        <v>0</v>
      </c>
      <c r="AA564" t="s">
        <v>49</v>
      </c>
      <c r="AB564">
        <v>0</v>
      </c>
      <c r="AC564" t="s">
        <v>49</v>
      </c>
      <c r="AD564">
        <v>0</v>
      </c>
      <c r="AE564">
        <v>-1</v>
      </c>
      <c r="AF564" t="s">
        <v>50</v>
      </c>
      <c r="AG564" t="s">
        <v>388</v>
      </c>
    </row>
    <row r="565" spans="1:33" x14ac:dyDescent="0.35">
      <c r="A565" s="1">
        <v>44895.892361111109</v>
      </c>
      <c r="B565">
        <v>6792356</v>
      </c>
      <c r="C565" t="s">
        <v>512</v>
      </c>
      <c r="D565" t="s">
        <v>213</v>
      </c>
      <c r="E565" s="2">
        <v>44496</v>
      </c>
      <c r="F565" t="str">
        <f>"9780128209073"</f>
        <v>9780128209073</v>
      </c>
      <c r="G565" t="str">
        <f>"9780128206294"</f>
        <v>9780128206294</v>
      </c>
      <c r="H565" t="s">
        <v>513</v>
      </c>
      <c r="I565">
        <v>620.5</v>
      </c>
      <c r="J565" t="s">
        <v>514</v>
      </c>
      <c r="K565" t="s">
        <v>55</v>
      </c>
      <c r="Q565" t="s">
        <v>47</v>
      </c>
      <c r="R565" t="s">
        <v>44</v>
      </c>
      <c r="S565">
        <v>0</v>
      </c>
      <c r="W565" s="3">
        <v>1.1574074074074073E-5</v>
      </c>
      <c r="X565" t="s">
        <v>121</v>
      </c>
      <c r="Y565">
        <v>1</v>
      </c>
      <c r="Z565">
        <v>0</v>
      </c>
      <c r="AA565" t="s">
        <v>49</v>
      </c>
      <c r="AB565">
        <v>0</v>
      </c>
      <c r="AC565" t="s">
        <v>49</v>
      </c>
      <c r="AD565">
        <v>0</v>
      </c>
      <c r="AE565">
        <v>-1</v>
      </c>
      <c r="AF565" t="s">
        <v>50</v>
      </c>
      <c r="AG565" t="s">
        <v>388</v>
      </c>
    </row>
    <row r="566" spans="1:33" x14ac:dyDescent="0.35">
      <c r="A566" s="1">
        <v>44895.879166666666</v>
      </c>
      <c r="B566">
        <v>4519633</v>
      </c>
      <c r="C566" t="s">
        <v>1402</v>
      </c>
      <c r="D566" t="s">
        <v>1403</v>
      </c>
      <c r="E566" s="2">
        <v>42520</v>
      </c>
      <c r="F566" t="str">
        <f>"9781631570148"</f>
        <v>9781631570148</v>
      </c>
      <c r="G566" t="str">
        <f>"9781631570131"</f>
        <v>9781631570131</v>
      </c>
      <c r="H566" t="s">
        <v>60</v>
      </c>
      <c r="I566">
        <v>658.3125</v>
      </c>
      <c r="J566" t="s">
        <v>1404</v>
      </c>
      <c r="K566" t="s">
        <v>44</v>
      </c>
      <c r="N566" t="s">
        <v>45</v>
      </c>
      <c r="O566" t="s">
        <v>46</v>
      </c>
      <c r="P566" t="s">
        <v>45</v>
      </c>
      <c r="Q566" t="s">
        <v>47</v>
      </c>
      <c r="R566" t="s">
        <v>44</v>
      </c>
      <c r="S566">
        <v>0</v>
      </c>
      <c r="W566" s="3">
        <v>3.4722222222222222E-5</v>
      </c>
      <c r="X566" t="s">
        <v>121</v>
      </c>
      <c r="Y566">
        <v>1</v>
      </c>
      <c r="Z566">
        <v>0</v>
      </c>
      <c r="AA566" t="s">
        <v>49</v>
      </c>
      <c r="AB566">
        <v>0</v>
      </c>
      <c r="AC566" t="s">
        <v>49</v>
      </c>
      <c r="AD566">
        <v>0</v>
      </c>
      <c r="AE566">
        <v>11206552</v>
      </c>
      <c r="AF566" t="s">
        <v>50</v>
      </c>
      <c r="AG566" t="s">
        <v>388</v>
      </c>
    </row>
    <row r="567" spans="1:33" x14ac:dyDescent="0.35">
      <c r="A567" s="1">
        <v>44895.87777777778</v>
      </c>
      <c r="B567">
        <v>997259</v>
      </c>
      <c r="C567" t="s">
        <v>1436</v>
      </c>
      <c r="D567" t="s">
        <v>1282</v>
      </c>
      <c r="E567" s="2">
        <v>33815</v>
      </c>
      <c r="F567" t="str">
        <f>"9781452246260"</f>
        <v>9781452246260</v>
      </c>
      <c r="G567" t="str">
        <f>"9780803948051"</f>
        <v>9780803948051</v>
      </c>
      <c r="H567" t="s">
        <v>60</v>
      </c>
      <c r="I567">
        <v>658.40120000000002</v>
      </c>
      <c r="J567">
        <v>92017898</v>
      </c>
      <c r="K567" t="s">
        <v>44</v>
      </c>
      <c r="N567" t="s">
        <v>45</v>
      </c>
      <c r="O567" t="s">
        <v>46</v>
      </c>
      <c r="P567" t="s">
        <v>45</v>
      </c>
      <c r="Q567" t="s">
        <v>47</v>
      </c>
      <c r="R567" t="s">
        <v>44</v>
      </c>
      <c r="S567">
        <v>0</v>
      </c>
      <c r="W567" s="3">
        <v>6.9444444444444444E-5</v>
      </c>
      <c r="X567" t="s">
        <v>121</v>
      </c>
      <c r="Y567">
        <v>1</v>
      </c>
      <c r="Z567">
        <v>0</v>
      </c>
      <c r="AA567" t="s">
        <v>49</v>
      </c>
      <c r="AB567">
        <v>0</v>
      </c>
      <c r="AC567" t="s">
        <v>49</v>
      </c>
      <c r="AD567">
        <v>0</v>
      </c>
      <c r="AE567">
        <v>10593945</v>
      </c>
      <c r="AF567" t="s">
        <v>50</v>
      </c>
      <c r="AG567" t="s">
        <v>388</v>
      </c>
    </row>
    <row r="568" spans="1:33" x14ac:dyDescent="0.35">
      <c r="A568" s="1">
        <v>44895.865972222222</v>
      </c>
      <c r="B568">
        <v>5092525</v>
      </c>
      <c r="C568" t="s">
        <v>695</v>
      </c>
      <c r="D568" t="s">
        <v>696</v>
      </c>
      <c r="E568" s="2">
        <v>41683</v>
      </c>
      <c r="F568" t="str">
        <f>"9781909453692"</f>
        <v>9781909453692</v>
      </c>
      <c r="G568" t="str">
        <f>"9781909453715"</f>
        <v>9781909453715</v>
      </c>
      <c r="H568" t="s">
        <v>77</v>
      </c>
      <c r="I568">
        <v>610.28</v>
      </c>
      <c r="J568" t="s">
        <v>697</v>
      </c>
      <c r="K568" t="s">
        <v>44</v>
      </c>
      <c r="N568" t="s">
        <v>45</v>
      </c>
      <c r="O568" t="s">
        <v>46</v>
      </c>
      <c r="P568" t="s">
        <v>45</v>
      </c>
      <c r="Q568" t="s">
        <v>47</v>
      </c>
      <c r="R568" t="s">
        <v>44</v>
      </c>
      <c r="S568">
        <v>0</v>
      </c>
      <c r="W568" s="3">
        <v>1.892361111111111E-2</v>
      </c>
      <c r="X568" t="s">
        <v>1498</v>
      </c>
      <c r="Y568">
        <v>14</v>
      </c>
      <c r="Z568">
        <v>0</v>
      </c>
      <c r="AA568" t="s">
        <v>49</v>
      </c>
      <c r="AB568">
        <v>0</v>
      </c>
      <c r="AC568" t="s">
        <v>1499</v>
      </c>
      <c r="AD568">
        <v>1</v>
      </c>
      <c r="AE568">
        <v>11451412</v>
      </c>
      <c r="AF568" t="s">
        <v>50</v>
      </c>
      <c r="AG568" t="s">
        <v>1500</v>
      </c>
    </row>
    <row r="569" spans="1:33" x14ac:dyDescent="0.35">
      <c r="A569" s="1">
        <v>44895.851388888892</v>
      </c>
      <c r="B569">
        <v>279494</v>
      </c>
      <c r="C569" t="s">
        <v>1333</v>
      </c>
      <c r="D569" t="s">
        <v>125</v>
      </c>
      <c r="E569" s="2">
        <v>37280</v>
      </c>
      <c r="F569" t="str">
        <f>"9780198032953"</f>
        <v>9780198032953</v>
      </c>
      <c r="G569" t="str">
        <f>"9780195144208"</f>
        <v>9780195144208</v>
      </c>
      <c r="H569" t="s">
        <v>667</v>
      </c>
      <c r="I569" t="s">
        <v>1334</v>
      </c>
      <c r="J569" t="s">
        <v>1335</v>
      </c>
      <c r="K569" t="s">
        <v>44</v>
      </c>
      <c r="N569" t="s">
        <v>45</v>
      </c>
      <c r="O569" t="s">
        <v>46</v>
      </c>
      <c r="P569" t="s">
        <v>45</v>
      </c>
      <c r="Q569" t="s">
        <v>47</v>
      </c>
      <c r="R569" t="s">
        <v>44</v>
      </c>
      <c r="S569">
        <v>0</v>
      </c>
      <c r="W569" s="3">
        <v>6.8784722222222219E-2</v>
      </c>
      <c r="X569" t="s">
        <v>1501</v>
      </c>
      <c r="Y569">
        <v>23</v>
      </c>
      <c r="Z569">
        <v>0</v>
      </c>
      <c r="AA569" t="s">
        <v>49</v>
      </c>
      <c r="AB569">
        <v>0</v>
      </c>
      <c r="AC569" t="s">
        <v>1502</v>
      </c>
      <c r="AD569">
        <v>3</v>
      </c>
      <c r="AE569">
        <v>11303309</v>
      </c>
      <c r="AF569" t="s">
        <v>50</v>
      </c>
      <c r="AG569" t="s">
        <v>1360</v>
      </c>
    </row>
    <row r="570" spans="1:33" x14ac:dyDescent="0.35">
      <c r="A570" s="1">
        <v>44895.848611111112</v>
      </c>
      <c r="B570">
        <v>697498</v>
      </c>
      <c r="C570" t="s">
        <v>1503</v>
      </c>
      <c r="D570" t="s">
        <v>59</v>
      </c>
      <c r="E570" s="2">
        <v>40736</v>
      </c>
      <c r="F570" t="str">
        <f>"9781118014172"</f>
        <v>9781118014172</v>
      </c>
      <c r="G570" t="str">
        <f>"9780470452103"</f>
        <v>9780470452103</v>
      </c>
      <c r="H570" t="s">
        <v>925</v>
      </c>
      <c r="I570" t="s">
        <v>1504</v>
      </c>
      <c r="J570" t="s">
        <v>1505</v>
      </c>
      <c r="K570" t="s">
        <v>44</v>
      </c>
      <c r="N570" t="s">
        <v>45</v>
      </c>
      <c r="O570" t="s">
        <v>46</v>
      </c>
      <c r="P570" t="s">
        <v>45</v>
      </c>
      <c r="Q570" t="s">
        <v>47</v>
      </c>
      <c r="R570" t="s">
        <v>44</v>
      </c>
      <c r="S570">
        <v>0</v>
      </c>
      <c r="W570" s="3">
        <v>1.0300925925925926E-3</v>
      </c>
      <c r="X570" t="s">
        <v>1506</v>
      </c>
      <c r="Y570">
        <v>13</v>
      </c>
      <c r="Z570">
        <v>0</v>
      </c>
      <c r="AA570" t="s">
        <v>49</v>
      </c>
      <c r="AB570">
        <v>0</v>
      </c>
      <c r="AC570" t="s">
        <v>49</v>
      </c>
      <c r="AD570">
        <v>0</v>
      </c>
      <c r="AE570">
        <v>10469739</v>
      </c>
      <c r="AF570" t="s">
        <v>50</v>
      </c>
      <c r="AG570" t="s">
        <v>388</v>
      </c>
    </row>
    <row r="571" spans="1:33" x14ac:dyDescent="0.35">
      <c r="A571" s="1">
        <v>44895.838194444441</v>
      </c>
      <c r="B571">
        <v>200537</v>
      </c>
      <c r="C571" t="s">
        <v>1507</v>
      </c>
      <c r="D571" t="s">
        <v>76</v>
      </c>
      <c r="E571" s="2">
        <v>38147</v>
      </c>
      <c r="F571" t="str">
        <f>"9780203343081"</f>
        <v>9780203343081</v>
      </c>
      <c r="G571" t="str">
        <f>"9780415324762"</f>
        <v>9780415324762</v>
      </c>
      <c r="H571" t="s">
        <v>162</v>
      </c>
      <c r="I571" t="s">
        <v>1508</v>
      </c>
      <c r="J571" t="s">
        <v>1509</v>
      </c>
      <c r="K571" t="s">
        <v>44</v>
      </c>
      <c r="N571" t="s">
        <v>45</v>
      </c>
      <c r="O571" t="s">
        <v>46</v>
      </c>
      <c r="P571" t="s">
        <v>45</v>
      </c>
      <c r="Q571" t="s">
        <v>47</v>
      </c>
      <c r="R571" t="s">
        <v>44</v>
      </c>
      <c r="S571">
        <v>0</v>
      </c>
      <c r="W571" s="3">
        <v>1.273148148148148E-4</v>
      </c>
      <c r="X571" t="s">
        <v>205</v>
      </c>
      <c r="Y571">
        <v>2</v>
      </c>
      <c r="Z571">
        <v>1</v>
      </c>
      <c r="AA571" t="s">
        <v>1510</v>
      </c>
      <c r="AB571">
        <v>6</v>
      </c>
      <c r="AC571" t="s">
        <v>49</v>
      </c>
      <c r="AD571">
        <v>0</v>
      </c>
      <c r="AE571">
        <v>10858153</v>
      </c>
      <c r="AF571" t="s">
        <v>50</v>
      </c>
      <c r="AG571" t="s">
        <v>388</v>
      </c>
    </row>
    <row r="572" spans="1:33" x14ac:dyDescent="0.35">
      <c r="A572" s="1">
        <v>44895.816666666666</v>
      </c>
      <c r="B572">
        <v>279494</v>
      </c>
      <c r="C572" t="s">
        <v>1333</v>
      </c>
      <c r="D572" t="s">
        <v>125</v>
      </c>
      <c r="E572" s="2">
        <v>37280</v>
      </c>
      <c r="F572" t="str">
        <f>"9780198032953"</f>
        <v>9780198032953</v>
      </c>
      <c r="G572" t="str">
        <f>"9780195144208"</f>
        <v>9780195144208</v>
      </c>
      <c r="H572" t="s">
        <v>667</v>
      </c>
      <c r="I572" t="s">
        <v>1334</v>
      </c>
      <c r="J572" t="s">
        <v>1335</v>
      </c>
      <c r="K572" t="s">
        <v>44</v>
      </c>
      <c r="N572" t="s">
        <v>45</v>
      </c>
      <c r="O572" t="s">
        <v>46</v>
      </c>
      <c r="P572" t="s">
        <v>45</v>
      </c>
      <c r="Q572" t="s">
        <v>47</v>
      </c>
      <c r="R572" t="s">
        <v>44</v>
      </c>
      <c r="S572">
        <v>0</v>
      </c>
      <c r="W572" s="3">
        <v>3.5879629629629635E-4</v>
      </c>
      <c r="X572" t="s">
        <v>1511</v>
      </c>
      <c r="Y572">
        <v>8</v>
      </c>
      <c r="Z572">
        <v>0</v>
      </c>
      <c r="AA572" t="s">
        <v>49</v>
      </c>
      <c r="AB572">
        <v>0</v>
      </c>
      <c r="AC572" t="s">
        <v>49</v>
      </c>
      <c r="AD572">
        <v>0</v>
      </c>
      <c r="AE572">
        <v>11303309</v>
      </c>
      <c r="AF572" t="s">
        <v>50</v>
      </c>
      <c r="AG572" t="s">
        <v>388</v>
      </c>
    </row>
    <row r="573" spans="1:33" x14ac:dyDescent="0.35">
      <c r="A573" s="1">
        <v>44895.799305555556</v>
      </c>
      <c r="B573">
        <v>367052</v>
      </c>
      <c r="C573" t="s">
        <v>1489</v>
      </c>
      <c r="D573" t="s">
        <v>502</v>
      </c>
      <c r="E573" s="2">
        <v>39737</v>
      </c>
      <c r="F573" t="str">
        <f>"9780511436314"</f>
        <v>9780511436314</v>
      </c>
      <c r="G573" t="str">
        <f>"9780521830447"</f>
        <v>9780521830447</v>
      </c>
      <c r="H573" t="s">
        <v>712</v>
      </c>
      <c r="I573" t="s">
        <v>1490</v>
      </c>
      <c r="J573" t="s">
        <v>1491</v>
      </c>
      <c r="K573" t="s">
        <v>44</v>
      </c>
      <c r="N573" t="s">
        <v>45</v>
      </c>
      <c r="O573" t="s">
        <v>46</v>
      </c>
      <c r="P573" t="s">
        <v>45</v>
      </c>
      <c r="Q573" t="s">
        <v>47</v>
      </c>
      <c r="R573" t="s">
        <v>44</v>
      </c>
      <c r="S573">
        <v>0</v>
      </c>
      <c r="W573" s="3">
        <v>2.1898148148148149E-2</v>
      </c>
      <c r="X573" t="s">
        <v>1512</v>
      </c>
      <c r="Y573">
        <v>28</v>
      </c>
      <c r="Z573">
        <v>0</v>
      </c>
      <c r="AA573" t="s">
        <v>49</v>
      </c>
      <c r="AB573">
        <v>0</v>
      </c>
      <c r="AC573" t="s">
        <v>1513</v>
      </c>
      <c r="AD573">
        <v>1</v>
      </c>
      <c r="AE573">
        <v>10257525</v>
      </c>
      <c r="AF573" t="s">
        <v>50</v>
      </c>
      <c r="AG573" t="s">
        <v>1476</v>
      </c>
    </row>
    <row r="574" spans="1:33" x14ac:dyDescent="0.35">
      <c r="A574" s="1">
        <v>44895.794444444444</v>
      </c>
      <c r="B574">
        <v>4396575</v>
      </c>
      <c r="C574" t="s">
        <v>1474</v>
      </c>
      <c r="D574" t="s">
        <v>645</v>
      </c>
      <c r="E574" s="2">
        <v>42278</v>
      </c>
      <c r="F574" t="str">
        <f>"9781438457765"</f>
        <v>9781438457765</v>
      </c>
      <c r="G574" t="str">
        <f>"9781438457758"</f>
        <v>9781438457758</v>
      </c>
      <c r="H574" t="s">
        <v>1046</v>
      </c>
      <c r="I574" t="s">
        <v>1203</v>
      </c>
      <c r="K574" t="s">
        <v>44</v>
      </c>
      <c r="N574" t="s">
        <v>45</v>
      </c>
      <c r="O574" t="s">
        <v>46</v>
      </c>
      <c r="P574" t="s">
        <v>45</v>
      </c>
      <c r="Q574" t="s">
        <v>47</v>
      </c>
      <c r="R574" t="s">
        <v>44</v>
      </c>
      <c r="S574">
        <v>0</v>
      </c>
      <c r="W574" s="3">
        <v>7.3263888888888892E-3</v>
      </c>
      <c r="X574" t="s">
        <v>1514</v>
      </c>
      <c r="Y574">
        <v>14</v>
      </c>
      <c r="Z574">
        <v>0</v>
      </c>
      <c r="AA574" t="s">
        <v>49</v>
      </c>
      <c r="AB574">
        <v>0</v>
      </c>
      <c r="AC574" t="s">
        <v>49</v>
      </c>
      <c r="AD574">
        <v>0</v>
      </c>
      <c r="AE574">
        <v>11155580</v>
      </c>
      <c r="AF574" t="s">
        <v>50</v>
      </c>
      <c r="AG574" t="s">
        <v>1476</v>
      </c>
    </row>
    <row r="575" spans="1:33" x14ac:dyDescent="0.35">
      <c r="A575" s="1">
        <v>44895.790277777778</v>
      </c>
      <c r="B575">
        <v>1780931</v>
      </c>
      <c r="C575" t="s">
        <v>1481</v>
      </c>
      <c r="D575" t="s">
        <v>1482</v>
      </c>
      <c r="E575" s="2">
        <v>41835</v>
      </c>
      <c r="F575" t="str">
        <f>"9781558618565"</f>
        <v>9781558618565</v>
      </c>
      <c r="G575" t="str">
        <f>"9781558618558"</f>
        <v>9781558618558</v>
      </c>
      <c r="H575" t="s">
        <v>1046</v>
      </c>
      <c r="I575">
        <v>305.48697091759198</v>
      </c>
      <c r="J575" t="s">
        <v>1483</v>
      </c>
      <c r="K575" t="s">
        <v>44</v>
      </c>
      <c r="N575" t="s">
        <v>45</v>
      </c>
      <c r="O575" t="s">
        <v>46</v>
      </c>
      <c r="P575" t="s">
        <v>45</v>
      </c>
      <c r="Q575" t="s">
        <v>47</v>
      </c>
      <c r="R575" t="s">
        <v>44</v>
      </c>
      <c r="S575">
        <v>0</v>
      </c>
      <c r="W575" s="3">
        <v>3.9120370370370368E-2</v>
      </c>
      <c r="X575" t="s">
        <v>1515</v>
      </c>
      <c r="Y575">
        <v>21</v>
      </c>
      <c r="Z575">
        <v>0</v>
      </c>
      <c r="AA575" t="s">
        <v>49</v>
      </c>
      <c r="AB575">
        <v>0</v>
      </c>
      <c r="AC575" t="s">
        <v>1516</v>
      </c>
      <c r="AD575">
        <v>1</v>
      </c>
      <c r="AE575">
        <v>10993187</v>
      </c>
      <c r="AF575" t="s">
        <v>50</v>
      </c>
      <c r="AG575" t="s">
        <v>1476</v>
      </c>
    </row>
    <row r="576" spans="1:33" x14ac:dyDescent="0.35">
      <c r="A576" s="1">
        <v>44895.782638888886</v>
      </c>
      <c r="B576">
        <v>6526734</v>
      </c>
      <c r="C576" t="s">
        <v>1485</v>
      </c>
      <c r="D576" t="s">
        <v>1486</v>
      </c>
      <c r="E576" s="2">
        <v>41479</v>
      </c>
      <c r="F576" t="str">
        <f>"9781626370586"</f>
        <v>9781626370586</v>
      </c>
      <c r="G576" t="str">
        <f>"9781588269096"</f>
        <v>9781588269096</v>
      </c>
      <c r="H576" t="s">
        <v>1046</v>
      </c>
      <c r="I576">
        <v>305.42095599999999</v>
      </c>
      <c r="J576" t="s">
        <v>1487</v>
      </c>
      <c r="K576" t="s">
        <v>44</v>
      </c>
      <c r="N576" t="s">
        <v>45</v>
      </c>
      <c r="O576" t="s">
        <v>46</v>
      </c>
      <c r="P576" t="s">
        <v>45</v>
      </c>
      <c r="Q576" t="s">
        <v>47</v>
      </c>
      <c r="R576" t="s">
        <v>44</v>
      </c>
      <c r="S576">
        <v>0</v>
      </c>
      <c r="W576" s="3">
        <v>4.282407407407407E-2</v>
      </c>
      <c r="X576" t="s">
        <v>1517</v>
      </c>
      <c r="Y576">
        <v>157</v>
      </c>
      <c r="Z576">
        <v>0</v>
      </c>
      <c r="AA576" t="s">
        <v>49</v>
      </c>
      <c r="AB576">
        <v>0</v>
      </c>
      <c r="AC576" t="s">
        <v>1518</v>
      </c>
      <c r="AD576">
        <v>1</v>
      </c>
      <c r="AE576">
        <v>-1</v>
      </c>
      <c r="AF576" t="s">
        <v>50</v>
      </c>
      <c r="AG576" t="s">
        <v>1476</v>
      </c>
    </row>
    <row r="577" spans="1:33" x14ac:dyDescent="0.35">
      <c r="A577" s="1">
        <v>44895.781944444447</v>
      </c>
      <c r="B577">
        <v>4737322</v>
      </c>
      <c r="C577" t="s">
        <v>1477</v>
      </c>
      <c r="D577" t="s">
        <v>507</v>
      </c>
      <c r="E577" s="2">
        <v>42247</v>
      </c>
      <c r="F577" t="str">
        <f>"9780748632244"</f>
        <v>9780748632244</v>
      </c>
      <c r="G577" t="str">
        <f>"9780748632763"</f>
        <v>9780748632763</v>
      </c>
      <c r="H577" t="s">
        <v>667</v>
      </c>
      <c r="I577" t="s">
        <v>1478</v>
      </c>
      <c r="J577" t="s">
        <v>1479</v>
      </c>
      <c r="K577" t="s">
        <v>44</v>
      </c>
      <c r="N577" t="s">
        <v>45</v>
      </c>
      <c r="O577" t="s">
        <v>46</v>
      </c>
      <c r="P577" t="s">
        <v>45</v>
      </c>
      <c r="Q577" t="s">
        <v>47</v>
      </c>
      <c r="R577" t="s">
        <v>44</v>
      </c>
      <c r="S577">
        <v>0</v>
      </c>
      <c r="W577" s="3">
        <v>5.8449074074074072E-3</v>
      </c>
      <c r="X577" t="s">
        <v>1519</v>
      </c>
      <c r="Y577">
        <v>6</v>
      </c>
      <c r="Z577">
        <v>0</v>
      </c>
      <c r="AA577" t="s">
        <v>49</v>
      </c>
      <c r="AB577">
        <v>0</v>
      </c>
      <c r="AC577" t="s">
        <v>49</v>
      </c>
      <c r="AD577">
        <v>0</v>
      </c>
      <c r="AE577">
        <v>-1</v>
      </c>
      <c r="AF577" t="s">
        <v>50</v>
      </c>
      <c r="AG577" t="s">
        <v>1476</v>
      </c>
    </row>
    <row r="578" spans="1:33" x14ac:dyDescent="0.35">
      <c r="A578" s="1">
        <v>44895.755555555559</v>
      </c>
      <c r="B578">
        <v>617176</v>
      </c>
      <c r="C578" t="s">
        <v>1520</v>
      </c>
      <c r="D578" t="s">
        <v>497</v>
      </c>
      <c r="E578" s="2">
        <v>40542</v>
      </c>
      <c r="F578" t="str">
        <f>"9781441136251"</f>
        <v>9781441136251</v>
      </c>
      <c r="G578" t="str">
        <f>"9780826400871"</f>
        <v>9780826400871</v>
      </c>
      <c r="H578" t="s">
        <v>1186</v>
      </c>
      <c r="I578" t="s">
        <v>1521</v>
      </c>
      <c r="J578" t="s">
        <v>1522</v>
      </c>
      <c r="K578" t="s">
        <v>44</v>
      </c>
      <c r="N578" t="s">
        <v>45</v>
      </c>
      <c r="O578" t="s">
        <v>46</v>
      </c>
      <c r="P578" t="s">
        <v>45</v>
      </c>
      <c r="Q578" t="s">
        <v>47</v>
      </c>
      <c r="R578" t="s">
        <v>44</v>
      </c>
      <c r="S578">
        <v>0</v>
      </c>
      <c r="W578" s="3">
        <v>4.6296296296296294E-5</v>
      </c>
      <c r="X578" t="s">
        <v>196</v>
      </c>
      <c r="Y578">
        <v>2</v>
      </c>
      <c r="Z578">
        <v>0</v>
      </c>
      <c r="AA578" t="s">
        <v>49</v>
      </c>
      <c r="AB578">
        <v>0</v>
      </c>
      <c r="AC578" t="s">
        <v>49</v>
      </c>
      <c r="AD578">
        <v>0</v>
      </c>
      <c r="AE578">
        <v>10432531</v>
      </c>
      <c r="AF578" t="s">
        <v>50</v>
      </c>
      <c r="AG578" t="s">
        <v>1476</v>
      </c>
    </row>
    <row r="579" spans="1:33" x14ac:dyDescent="0.35">
      <c r="A579" s="1">
        <v>44895.755555555559</v>
      </c>
      <c r="B579">
        <v>4737322</v>
      </c>
      <c r="C579" t="s">
        <v>1477</v>
      </c>
      <c r="D579" t="s">
        <v>507</v>
      </c>
      <c r="E579" s="2">
        <v>42247</v>
      </c>
      <c r="F579" t="str">
        <f>"9780748632244"</f>
        <v>9780748632244</v>
      </c>
      <c r="G579" t="str">
        <f>"9780748632763"</f>
        <v>9780748632763</v>
      </c>
      <c r="H579" t="s">
        <v>667</v>
      </c>
      <c r="I579" t="s">
        <v>1478</v>
      </c>
      <c r="J579" t="s">
        <v>1479</v>
      </c>
      <c r="K579" t="s">
        <v>44</v>
      </c>
      <c r="N579" t="s">
        <v>45</v>
      </c>
      <c r="O579" t="s">
        <v>46</v>
      </c>
      <c r="P579" t="s">
        <v>45</v>
      </c>
      <c r="Q579" t="s">
        <v>47</v>
      </c>
      <c r="R579" t="s">
        <v>44</v>
      </c>
      <c r="S579">
        <v>0</v>
      </c>
      <c r="W579" s="3">
        <v>1.5046296296296297E-4</v>
      </c>
      <c r="X579" t="s">
        <v>1523</v>
      </c>
      <c r="Y579">
        <v>2</v>
      </c>
      <c r="Z579">
        <v>0</v>
      </c>
      <c r="AA579" t="s">
        <v>49</v>
      </c>
      <c r="AB579">
        <v>0</v>
      </c>
      <c r="AC579" t="s">
        <v>49</v>
      </c>
      <c r="AD579">
        <v>0</v>
      </c>
      <c r="AE579">
        <v>-1</v>
      </c>
      <c r="AF579" t="s">
        <v>50</v>
      </c>
      <c r="AG579" t="s">
        <v>1476</v>
      </c>
    </row>
    <row r="580" spans="1:33" x14ac:dyDescent="0.35">
      <c r="A580" s="1">
        <v>44895.754861111112</v>
      </c>
      <c r="B580">
        <v>367052</v>
      </c>
      <c r="C580" t="s">
        <v>1489</v>
      </c>
      <c r="D580" t="s">
        <v>502</v>
      </c>
      <c r="E580" s="2">
        <v>39737</v>
      </c>
      <c r="F580" t="str">
        <f>"9780511436314"</f>
        <v>9780511436314</v>
      </c>
      <c r="G580" t="str">
        <f>"9780521830447"</f>
        <v>9780521830447</v>
      </c>
      <c r="H580" t="s">
        <v>712</v>
      </c>
      <c r="I580" t="s">
        <v>1490</v>
      </c>
      <c r="J580" t="s">
        <v>1491</v>
      </c>
      <c r="K580" t="s">
        <v>44</v>
      </c>
      <c r="N580" t="s">
        <v>45</v>
      </c>
      <c r="O580" t="s">
        <v>46</v>
      </c>
      <c r="P580" t="s">
        <v>45</v>
      </c>
      <c r="Q580" t="s">
        <v>47</v>
      </c>
      <c r="R580" t="s">
        <v>44</v>
      </c>
      <c r="S580">
        <v>0</v>
      </c>
      <c r="W580" s="3">
        <v>4.6296296296296294E-5</v>
      </c>
      <c r="X580" t="s">
        <v>196</v>
      </c>
      <c r="Y580">
        <v>2</v>
      </c>
      <c r="Z580">
        <v>0</v>
      </c>
      <c r="AA580" t="s">
        <v>49</v>
      </c>
      <c r="AB580">
        <v>0</v>
      </c>
      <c r="AC580" t="s">
        <v>49</v>
      </c>
      <c r="AD580">
        <v>0</v>
      </c>
      <c r="AE580">
        <v>10257525</v>
      </c>
      <c r="AF580" t="s">
        <v>50</v>
      </c>
      <c r="AG580" t="s">
        <v>1476</v>
      </c>
    </row>
    <row r="581" spans="1:33" x14ac:dyDescent="0.35">
      <c r="A581" s="1">
        <v>44895.754861111112</v>
      </c>
      <c r="B581">
        <v>6526734</v>
      </c>
      <c r="C581" t="s">
        <v>1485</v>
      </c>
      <c r="D581" t="s">
        <v>1486</v>
      </c>
      <c r="E581" s="2">
        <v>41479</v>
      </c>
      <c r="F581" t="str">
        <f>"9781626370586"</f>
        <v>9781626370586</v>
      </c>
      <c r="G581" t="str">
        <f>"9781588269096"</f>
        <v>9781588269096</v>
      </c>
      <c r="H581" t="s">
        <v>1046</v>
      </c>
      <c r="I581">
        <v>305.42095599999999</v>
      </c>
      <c r="J581" t="s">
        <v>1487</v>
      </c>
      <c r="K581" t="s">
        <v>44</v>
      </c>
      <c r="N581" t="s">
        <v>45</v>
      </c>
      <c r="O581" t="s">
        <v>46</v>
      </c>
      <c r="P581" t="s">
        <v>45</v>
      </c>
      <c r="Q581" t="s">
        <v>47</v>
      </c>
      <c r="R581" t="s">
        <v>44</v>
      </c>
      <c r="S581">
        <v>0</v>
      </c>
      <c r="W581" s="3">
        <v>2.3148148148148147E-5</v>
      </c>
      <c r="X581" t="s">
        <v>121</v>
      </c>
      <c r="Y581">
        <v>1</v>
      </c>
      <c r="Z581">
        <v>0</v>
      </c>
      <c r="AA581" t="s">
        <v>49</v>
      </c>
      <c r="AB581">
        <v>0</v>
      </c>
      <c r="AC581" t="s">
        <v>49</v>
      </c>
      <c r="AD581">
        <v>0</v>
      </c>
      <c r="AE581">
        <v>-1</v>
      </c>
      <c r="AF581" t="s">
        <v>50</v>
      </c>
      <c r="AG581" t="s">
        <v>1476</v>
      </c>
    </row>
    <row r="582" spans="1:33" x14ac:dyDescent="0.35">
      <c r="A582" s="1">
        <v>44895.754861111112</v>
      </c>
      <c r="B582">
        <v>4396575</v>
      </c>
      <c r="C582" t="s">
        <v>1474</v>
      </c>
      <c r="D582" t="s">
        <v>645</v>
      </c>
      <c r="E582" s="2">
        <v>42278</v>
      </c>
      <c r="F582" t="str">
        <f>"9781438457765"</f>
        <v>9781438457765</v>
      </c>
      <c r="G582" t="str">
        <f>"9781438457758"</f>
        <v>9781438457758</v>
      </c>
      <c r="H582" t="s">
        <v>1046</v>
      </c>
      <c r="I582" t="s">
        <v>1203</v>
      </c>
      <c r="K582" t="s">
        <v>44</v>
      </c>
      <c r="N582" t="s">
        <v>45</v>
      </c>
      <c r="O582" t="s">
        <v>46</v>
      </c>
      <c r="P582" t="s">
        <v>45</v>
      </c>
      <c r="Q582" t="s">
        <v>47</v>
      </c>
      <c r="R582" t="s">
        <v>44</v>
      </c>
      <c r="S582">
        <v>0</v>
      </c>
      <c r="W582" s="3">
        <v>1.5046296296296297E-4</v>
      </c>
      <c r="X582" t="s">
        <v>196</v>
      </c>
      <c r="Y582">
        <v>2</v>
      </c>
      <c r="Z582">
        <v>0</v>
      </c>
      <c r="AA582" t="s">
        <v>49</v>
      </c>
      <c r="AB582">
        <v>0</v>
      </c>
      <c r="AC582" t="s">
        <v>49</v>
      </c>
      <c r="AD582">
        <v>0</v>
      </c>
      <c r="AE582">
        <v>11155580</v>
      </c>
      <c r="AF582" t="s">
        <v>50</v>
      </c>
      <c r="AG582" t="s">
        <v>1476</v>
      </c>
    </row>
    <row r="583" spans="1:33" x14ac:dyDescent="0.35">
      <c r="A583" s="1">
        <v>44895.754861111112</v>
      </c>
      <c r="B583">
        <v>1780931</v>
      </c>
      <c r="C583" t="s">
        <v>1481</v>
      </c>
      <c r="D583" t="s">
        <v>1482</v>
      </c>
      <c r="E583" s="2">
        <v>41835</v>
      </c>
      <c r="F583" t="str">
        <f>"9781558618565"</f>
        <v>9781558618565</v>
      </c>
      <c r="G583" t="str">
        <f>"9781558618558"</f>
        <v>9781558618558</v>
      </c>
      <c r="H583" t="s">
        <v>1046</v>
      </c>
      <c r="I583">
        <v>305.48697091759198</v>
      </c>
      <c r="J583" t="s">
        <v>1483</v>
      </c>
      <c r="K583" t="s">
        <v>44</v>
      </c>
      <c r="N583" t="s">
        <v>45</v>
      </c>
      <c r="O583" t="s">
        <v>46</v>
      </c>
      <c r="P583" t="s">
        <v>45</v>
      </c>
      <c r="Q583" t="s">
        <v>47</v>
      </c>
      <c r="R583" t="s">
        <v>44</v>
      </c>
      <c r="S583">
        <v>0</v>
      </c>
      <c r="W583" s="3">
        <v>0</v>
      </c>
      <c r="X583" t="s">
        <v>49</v>
      </c>
      <c r="Y583">
        <v>0</v>
      </c>
      <c r="Z583">
        <v>0</v>
      </c>
      <c r="AA583" t="s">
        <v>49</v>
      </c>
      <c r="AB583">
        <v>0</v>
      </c>
      <c r="AC583" t="s">
        <v>49</v>
      </c>
      <c r="AD583">
        <v>0</v>
      </c>
      <c r="AE583">
        <v>10993187</v>
      </c>
      <c r="AF583" t="s">
        <v>50</v>
      </c>
      <c r="AG583" t="s">
        <v>1476</v>
      </c>
    </row>
    <row r="584" spans="1:33" x14ac:dyDescent="0.35">
      <c r="A584" s="1">
        <v>44895.723611111112</v>
      </c>
      <c r="B584">
        <v>1809736</v>
      </c>
      <c r="C584" t="s">
        <v>1524</v>
      </c>
      <c r="D584" t="s">
        <v>59</v>
      </c>
      <c r="E584" s="2">
        <v>41940</v>
      </c>
      <c r="F584" t="str">
        <f>"9781118870242"</f>
        <v>9781118870242</v>
      </c>
      <c r="G584" t="str">
        <f>"9781118870310"</f>
        <v>9781118870310</v>
      </c>
      <c r="H584" t="s">
        <v>1525</v>
      </c>
      <c r="I584">
        <v>720.47076000000004</v>
      </c>
      <c r="J584" t="s">
        <v>1526</v>
      </c>
      <c r="K584" t="s">
        <v>44</v>
      </c>
      <c r="N584" t="s">
        <v>45</v>
      </c>
      <c r="O584" t="s">
        <v>46</v>
      </c>
      <c r="P584" t="s">
        <v>45</v>
      </c>
      <c r="Q584" t="s">
        <v>47</v>
      </c>
      <c r="R584" t="s">
        <v>44</v>
      </c>
      <c r="S584">
        <v>0</v>
      </c>
      <c r="W584" s="3">
        <v>1.1574074074074073E-4</v>
      </c>
      <c r="X584" t="s">
        <v>121</v>
      </c>
      <c r="Y584">
        <v>1</v>
      </c>
      <c r="Z584">
        <v>1</v>
      </c>
      <c r="AA584" t="s">
        <v>205</v>
      </c>
      <c r="AB584">
        <v>2</v>
      </c>
      <c r="AC584" t="s">
        <v>49</v>
      </c>
      <c r="AD584">
        <v>0</v>
      </c>
      <c r="AE584">
        <v>10949725</v>
      </c>
      <c r="AF584" t="s">
        <v>50</v>
      </c>
      <c r="AG584" t="s">
        <v>1476</v>
      </c>
    </row>
    <row r="585" spans="1:33" x14ac:dyDescent="0.35">
      <c r="A585" s="1">
        <v>44895.722916666666</v>
      </c>
      <c r="B585">
        <v>693220</v>
      </c>
      <c r="C585" t="s">
        <v>1527</v>
      </c>
      <c r="D585" t="s">
        <v>59</v>
      </c>
      <c r="E585" s="2">
        <v>40667</v>
      </c>
      <c r="F585" t="str">
        <f>"9781118015568"</f>
        <v>9781118015568</v>
      </c>
      <c r="G585" t="str">
        <f>"9780470524183"</f>
        <v>9780470524183</v>
      </c>
      <c r="H585" t="s">
        <v>1528</v>
      </c>
      <c r="I585" t="s">
        <v>1529</v>
      </c>
      <c r="J585" t="s">
        <v>1530</v>
      </c>
      <c r="K585" t="s">
        <v>55</v>
      </c>
      <c r="N585" t="s">
        <v>79</v>
      </c>
      <c r="P585" t="s">
        <v>97</v>
      </c>
      <c r="Q585" t="s">
        <v>47</v>
      </c>
      <c r="R585" t="s">
        <v>44</v>
      </c>
      <c r="S585">
        <v>0</v>
      </c>
      <c r="W585" s="3">
        <v>3.8194444444444446E-4</v>
      </c>
      <c r="X585" t="s">
        <v>121</v>
      </c>
      <c r="Y585">
        <v>1</v>
      </c>
      <c r="Z585">
        <v>0</v>
      </c>
      <c r="AA585" t="s">
        <v>49</v>
      </c>
      <c r="AB585">
        <v>0</v>
      </c>
      <c r="AC585" t="s">
        <v>49</v>
      </c>
      <c r="AD585">
        <v>0</v>
      </c>
      <c r="AE585">
        <v>10484813</v>
      </c>
      <c r="AF585" t="s">
        <v>50</v>
      </c>
      <c r="AG585" t="s">
        <v>1476</v>
      </c>
    </row>
    <row r="586" spans="1:33" x14ac:dyDescent="0.35">
      <c r="A586" s="1">
        <v>44895.720833333333</v>
      </c>
      <c r="B586">
        <v>777149</v>
      </c>
      <c r="C586" t="s">
        <v>753</v>
      </c>
      <c r="D586" t="s">
        <v>76</v>
      </c>
      <c r="E586" s="2">
        <v>40827</v>
      </c>
      <c r="F586" t="str">
        <f>"9781439861882"</f>
        <v>9781439861882</v>
      </c>
      <c r="G586" t="str">
        <f>"9781439861875"</f>
        <v>9781439861875</v>
      </c>
      <c r="H586" t="s">
        <v>120</v>
      </c>
      <c r="I586" t="s">
        <v>754</v>
      </c>
      <c r="J586" t="s">
        <v>755</v>
      </c>
      <c r="K586" t="s">
        <v>44</v>
      </c>
      <c r="N586" t="s">
        <v>45</v>
      </c>
      <c r="O586" t="s">
        <v>46</v>
      </c>
      <c r="P586" t="s">
        <v>45</v>
      </c>
      <c r="Q586" t="s">
        <v>47</v>
      </c>
      <c r="R586" t="s">
        <v>44</v>
      </c>
      <c r="S586">
        <v>0</v>
      </c>
      <c r="W586" s="3">
        <v>7.9976851851851858E-3</v>
      </c>
      <c r="X586" t="s">
        <v>1531</v>
      </c>
      <c r="Y586">
        <v>6</v>
      </c>
      <c r="Z586">
        <v>0</v>
      </c>
      <c r="AA586" t="s">
        <v>49</v>
      </c>
      <c r="AB586">
        <v>0</v>
      </c>
      <c r="AC586" t="s">
        <v>49</v>
      </c>
      <c r="AD586">
        <v>0</v>
      </c>
      <c r="AE586">
        <v>10500005</v>
      </c>
      <c r="AF586" t="s">
        <v>50</v>
      </c>
      <c r="AG586" t="s">
        <v>388</v>
      </c>
    </row>
    <row r="587" spans="1:33" x14ac:dyDescent="0.35">
      <c r="A587" s="1">
        <v>44895.712500000001</v>
      </c>
      <c r="B587">
        <v>287960</v>
      </c>
      <c r="C587" t="s">
        <v>1532</v>
      </c>
      <c r="D587" t="s">
        <v>65</v>
      </c>
      <c r="E587" s="2">
        <v>39126</v>
      </c>
      <c r="F587" t="str">
        <f>"9780080471495"</f>
        <v>9780080471495</v>
      </c>
      <c r="G587" t="str">
        <f>"9780750683913"</f>
        <v>9780750683913</v>
      </c>
      <c r="H587" t="s">
        <v>513</v>
      </c>
      <c r="I587" t="s">
        <v>1533</v>
      </c>
      <c r="J587" t="s">
        <v>1534</v>
      </c>
      <c r="K587" t="s">
        <v>44</v>
      </c>
      <c r="N587" t="s">
        <v>45</v>
      </c>
      <c r="O587" t="s">
        <v>46</v>
      </c>
      <c r="P587" t="s">
        <v>45</v>
      </c>
      <c r="Q587" t="s">
        <v>47</v>
      </c>
      <c r="R587" t="s">
        <v>44</v>
      </c>
      <c r="S587">
        <v>0</v>
      </c>
      <c r="W587" s="3">
        <v>1.5046296296296297E-4</v>
      </c>
      <c r="X587" t="s">
        <v>1535</v>
      </c>
      <c r="Y587">
        <v>3</v>
      </c>
      <c r="Z587">
        <v>0</v>
      </c>
      <c r="AA587" t="s">
        <v>49</v>
      </c>
      <c r="AB587">
        <v>0</v>
      </c>
      <c r="AC587" t="s">
        <v>49</v>
      </c>
      <c r="AD587">
        <v>0</v>
      </c>
      <c r="AE587">
        <v>10167080</v>
      </c>
      <c r="AF587" t="s">
        <v>50</v>
      </c>
      <c r="AG587" t="s">
        <v>1536</v>
      </c>
    </row>
    <row r="588" spans="1:33" x14ac:dyDescent="0.35">
      <c r="A588" s="1">
        <v>44895.709722222222</v>
      </c>
      <c r="B588">
        <v>367052</v>
      </c>
      <c r="C588" t="s">
        <v>1489</v>
      </c>
      <c r="D588" t="s">
        <v>502</v>
      </c>
      <c r="E588" s="2">
        <v>39737</v>
      </c>
      <c r="F588" t="str">
        <f>"9780511436314"</f>
        <v>9780511436314</v>
      </c>
      <c r="G588" t="str">
        <f>"9780521830447"</f>
        <v>9780521830447</v>
      </c>
      <c r="H588" t="s">
        <v>712</v>
      </c>
      <c r="I588" t="s">
        <v>1490</v>
      </c>
      <c r="J588" t="s">
        <v>1491</v>
      </c>
      <c r="K588" t="s">
        <v>44</v>
      </c>
      <c r="N588" t="s">
        <v>45</v>
      </c>
      <c r="O588" t="s">
        <v>46</v>
      </c>
      <c r="P588" t="s">
        <v>45</v>
      </c>
      <c r="Q588" t="s">
        <v>47</v>
      </c>
      <c r="R588" t="s">
        <v>44</v>
      </c>
      <c r="S588">
        <v>0</v>
      </c>
      <c r="W588" s="3">
        <v>4.7453703703703704E-4</v>
      </c>
      <c r="X588" t="s">
        <v>1537</v>
      </c>
      <c r="Y588">
        <v>5</v>
      </c>
      <c r="Z588">
        <v>0</v>
      </c>
      <c r="AA588" t="s">
        <v>49</v>
      </c>
      <c r="AB588">
        <v>0</v>
      </c>
      <c r="AC588" t="s">
        <v>49</v>
      </c>
      <c r="AD588">
        <v>0</v>
      </c>
      <c r="AE588">
        <v>10257525</v>
      </c>
      <c r="AF588" t="s">
        <v>50</v>
      </c>
      <c r="AG588" t="s">
        <v>1476</v>
      </c>
    </row>
    <row r="589" spans="1:33" x14ac:dyDescent="0.35">
      <c r="A589" s="1">
        <v>44895.694444444445</v>
      </c>
      <c r="B589">
        <v>4731690</v>
      </c>
      <c r="C589" t="s">
        <v>1538</v>
      </c>
      <c r="D589" t="s">
        <v>1539</v>
      </c>
      <c r="E589" s="2">
        <v>42634</v>
      </c>
      <c r="F589" t="str">
        <f>"9781498545037"</f>
        <v>9781498545037</v>
      </c>
      <c r="G589" t="str">
        <f>"9781498545020"</f>
        <v>9781498545020</v>
      </c>
      <c r="H589" t="s">
        <v>1540</v>
      </c>
      <c r="I589">
        <v>327.51053000000002</v>
      </c>
      <c r="J589" t="s">
        <v>1541</v>
      </c>
      <c r="K589" t="s">
        <v>44</v>
      </c>
      <c r="N589" t="s">
        <v>45</v>
      </c>
      <c r="O589" t="s">
        <v>46</v>
      </c>
      <c r="P589" t="s">
        <v>45</v>
      </c>
      <c r="Q589" t="s">
        <v>47</v>
      </c>
      <c r="R589" t="s">
        <v>44</v>
      </c>
      <c r="S589">
        <v>0</v>
      </c>
      <c r="W589" s="3">
        <v>4.6296296296296294E-5</v>
      </c>
      <c r="X589" t="s">
        <v>1542</v>
      </c>
      <c r="Y589">
        <v>1</v>
      </c>
      <c r="Z589">
        <v>0</v>
      </c>
      <c r="AA589" t="s">
        <v>49</v>
      </c>
      <c r="AB589">
        <v>0</v>
      </c>
      <c r="AC589" t="s">
        <v>49</v>
      </c>
      <c r="AD589">
        <v>0</v>
      </c>
      <c r="AE589">
        <v>11293879</v>
      </c>
      <c r="AF589" t="s">
        <v>50</v>
      </c>
      <c r="AG589" t="s">
        <v>264</v>
      </c>
    </row>
    <row r="590" spans="1:33" x14ac:dyDescent="0.35">
      <c r="A590" s="1">
        <v>44895.659722222219</v>
      </c>
      <c r="B590">
        <v>875843</v>
      </c>
      <c r="C590" t="s">
        <v>1377</v>
      </c>
      <c r="D590" t="s">
        <v>59</v>
      </c>
      <c r="E590" s="2">
        <v>41134</v>
      </c>
      <c r="F590" t="str">
        <f>"9781118332856"</f>
        <v>9781118332856</v>
      </c>
      <c r="G590" t="str">
        <f>"9780470902936"</f>
        <v>9780470902936</v>
      </c>
      <c r="H590" t="s">
        <v>1378</v>
      </c>
      <c r="I590">
        <v>621.40219999999999</v>
      </c>
      <c r="J590" t="s">
        <v>1379</v>
      </c>
      <c r="K590" t="s">
        <v>44</v>
      </c>
      <c r="N590" t="s">
        <v>45</v>
      </c>
      <c r="O590" t="s">
        <v>46</v>
      </c>
      <c r="P590" t="s">
        <v>45</v>
      </c>
      <c r="Q590" t="s">
        <v>47</v>
      </c>
      <c r="R590" t="s">
        <v>44</v>
      </c>
      <c r="S590">
        <v>0</v>
      </c>
      <c r="W590" s="3">
        <v>5.7870370370370366E-5</v>
      </c>
      <c r="X590" t="s">
        <v>121</v>
      </c>
      <c r="Y590">
        <v>1</v>
      </c>
      <c r="Z590">
        <v>0</v>
      </c>
      <c r="AA590" t="s">
        <v>49</v>
      </c>
      <c r="AB590">
        <v>0</v>
      </c>
      <c r="AC590" t="s">
        <v>49</v>
      </c>
      <c r="AD590">
        <v>0</v>
      </c>
      <c r="AE590">
        <v>10593121</v>
      </c>
      <c r="AF590" t="s">
        <v>50</v>
      </c>
      <c r="AG590" t="s">
        <v>388</v>
      </c>
    </row>
    <row r="591" spans="1:33" x14ac:dyDescent="0.35">
      <c r="A591" s="1">
        <v>44895.658333333333</v>
      </c>
      <c r="B591">
        <v>5969438</v>
      </c>
      <c r="C591" t="s">
        <v>917</v>
      </c>
      <c r="D591" t="s">
        <v>105</v>
      </c>
      <c r="E591" s="2">
        <v>43780</v>
      </c>
      <c r="F591" t="str">
        <f>"9783030244408"</f>
        <v>9783030244408</v>
      </c>
      <c r="G591" t="str">
        <f>"9783030244392"</f>
        <v>9783030244392</v>
      </c>
      <c r="H591" t="s">
        <v>918</v>
      </c>
      <c r="I591">
        <v>669.94</v>
      </c>
      <c r="J591" t="s">
        <v>919</v>
      </c>
      <c r="K591" t="s">
        <v>55</v>
      </c>
      <c r="Q591" t="s">
        <v>47</v>
      </c>
      <c r="R591" t="s">
        <v>44</v>
      </c>
      <c r="S591">
        <v>0</v>
      </c>
      <c r="W591" s="3">
        <v>9.4212962962962957E-3</v>
      </c>
      <c r="X591" t="s">
        <v>205</v>
      </c>
      <c r="Y591">
        <v>2</v>
      </c>
      <c r="Z591">
        <v>0</v>
      </c>
      <c r="AA591" t="s">
        <v>49</v>
      </c>
      <c r="AB591">
        <v>0</v>
      </c>
      <c r="AC591" t="s">
        <v>49</v>
      </c>
      <c r="AD591">
        <v>0</v>
      </c>
      <c r="AE591">
        <v>-1</v>
      </c>
      <c r="AF591" t="s">
        <v>50</v>
      </c>
      <c r="AG591" t="s">
        <v>1536</v>
      </c>
    </row>
    <row r="592" spans="1:33" x14ac:dyDescent="0.35">
      <c r="A592" s="1">
        <v>44895.62777777778</v>
      </c>
      <c r="B592">
        <v>367052</v>
      </c>
      <c r="C592" t="s">
        <v>1489</v>
      </c>
      <c r="D592" t="s">
        <v>502</v>
      </c>
      <c r="E592" s="2">
        <v>39737</v>
      </c>
      <c r="F592" t="str">
        <f>"9780511436314"</f>
        <v>9780511436314</v>
      </c>
      <c r="G592" t="str">
        <f>"9780521830447"</f>
        <v>9780521830447</v>
      </c>
      <c r="H592" t="s">
        <v>712</v>
      </c>
      <c r="I592" t="s">
        <v>1490</v>
      </c>
      <c r="J592" t="s">
        <v>1491</v>
      </c>
      <c r="K592" t="s">
        <v>44</v>
      </c>
      <c r="N592" t="s">
        <v>45</v>
      </c>
      <c r="O592" t="s">
        <v>46</v>
      </c>
      <c r="P592" t="s">
        <v>45</v>
      </c>
      <c r="Q592" t="s">
        <v>47</v>
      </c>
      <c r="R592" t="s">
        <v>44</v>
      </c>
      <c r="S592">
        <v>0</v>
      </c>
      <c r="W592" s="3">
        <v>1.2372685185185186E-2</v>
      </c>
      <c r="X592" t="s">
        <v>1543</v>
      </c>
      <c r="Y592">
        <v>25</v>
      </c>
      <c r="Z592">
        <v>0</v>
      </c>
      <c r="AA592" t="s">
        <v>49</v>
      </c>
      <c r="AB592">
        <v>0</v>
      </c>
      <c r="AC592" t="s">
        <v>49</v>
      </c>
      <c r="AD592">
        <v>0</v>
      </c>
      <c r="AE592">
        <v>10257525</v>
      </c>
      <c r="AF592" t="s">
        <v>50</v>
      </c>
      <c r="AG592" t="s">
        <v>1476</v>
      </c>
    </row>
    <row r="593" spans="1:33" x14ac:dyDescent="0.35">
      <c r="A593" s="1">
        <v>44895.626388888886</v>
      </c>
      <c r="B593">
        <v>7104368</v>
      </c>
      <c r="C593" t="s">
        <v>1544</v>
      </c>
      <c r="D593" t="s">
        <v>59</v>
      </c>
      <c r="E593" s="2">
        <v>42150</v>
      </c>
      <c r="F593" t="str">
        <f>"9781119041917"</f>
        <v>9781119041917</v>
      </c>
      <c r="G593" t="str">
        <f>"9780470390986"</f>
        <v>9780470390986</v>
      </c>
      <c r="H593" t="s">
        <v>1545</v>
      </c>
      <c r="K593" t="s">
        <v>44</v>
      </c>
      <c r="N593" t="s">
        <v>45</v>
      </c>
      <c r="O593" t="s">
        <v>46</v>
      </c>
      <c r="P593" t="s">
        <v>45</v>
      </c>
      <c r="Q593" t="s">
        <v>47</v>
      </c>
      <c r="R593" t="s">
        <v>44</v>
      </c>
      <c r="S593">
        <v>1</v>
      </c>
      <c r="W593" s="3">
        <v>2.3148148148148147E-5</v>
      </c>
      <c r="X593" t="s">
        <v>121</v>
      </c>
      <c r="Y593">
        <v>1</v>
      </c>
      <c r="Z593">
        <v>0</v>
      </c>
      <c r="AA593" t="s">
        <v>49</v>
      </c>
      <c r="AB593">
        <v>0</v>
      </c>
      <c r="AC593" t="s">
        <v>49</v>
      </c>
      <c r="AD593">
        <v>0</v>
      </c>
      <c r="AE593">
        <v>-1</v>
      </c>
      <c r="AF593" t="s">
        <v>63</v>
      </c>
      <c r="AG593" t="s">
        <v>637</v>
      </c>
    </row>
    <row r="594" spans="1:33" x14ac:dyDescent="0.35">
      <c r="A594" s="1">
        <v>44895.611111111109</v>
      </c>
      <c r="B594">
        <v>6478184</v>
      </c>
      <c r="C594" t="s">
        <v>1546</v>
      </c>
      <c r="D594" t="s">
        <v>844</v>
      </c>
      <c r="E594" s="2">
        <v>44179</v>
      </c>
      <c r="F594" t="str">
        <f>"9781800719163"</f>
        <v>9781800719163</v>
      </c>
      <c r="G594" t="str">
        <f>""</f>
        <v/>
      </c>
      <c r="H594" t="s">
        <v>60</v>
      </c>
      <c r="I594">
        <v>658.40300000000002</v>
      </c>
      <c r="J594" t="s">
        <v>1547</v>
      </c>
      <c r="K594" t="s">
        <v>44</v>
      </c>
      <c r="N594" t="s">
        <v>45</v>
      </c>
      <c r="O594" t="s">
        <v>46</v>
      </c>
      <c r="P594" t="s">
        <v>45</v>
      </c>
      <c r="Q594" t="s">
        <v>47</v>
      </c>
      <c r="R594" t="s">
        <v>44</v>
      </c>
      <c r="S594">
        <v>0</v>
      </c>
      <c r="W594" s="3">
        <v>1.0300925925925926E-3</v>
      </c>
      <c r="X594" t="s">
        <v>577</v>
      </c>
      <c r="Y594">
        <v>2</v>
      </c>
      <c r="Z594">
        <v>0</v>
      </c>
      <c r="AA594" t="s">
        <v>49</v>
      </c>
      <c r="AB594">
        <v>0</v>
      </c>
      <c r="AC594" t="s">
        <v>49</v>
      </c>
      <c r="AD594">
        <v>0</v>
      </c>
      <c r="AE594">
        <v>-1</v>
      </c>
      <c r="AF594" t="s">
        <v>50</v>
      </c>
      <c r="AG594" t="s">
        <v>1500</v>
      </c>
    </row>
    <row r="595" spans="1:33" x14ac:dyDescent="0.35">
      <c r="A595" s="1">
        <v>44895.609027777777</v>
      </c>
      <c r="B595">
        <v>7104368</v>
      </c>
      <c r="C595" t="s">
        <v>1544</v>
      </c>
      <c r="D595" t="s">
        <v>59</v>
      </c>
      <c r="E595" s="2">
        <v>42150</v>
      </c>
      <c r="F595" t="str">
        <f>"9781119041917"</f>
        <v>9781119041917</v>
      </c>
      <c r="G595" t="str">
        <f>"9780470390986"</f>
        <v>9780470390986</v>
      </c>
      <c r="H595" t="s">
        <v>1545</v>
      </c>
      <c r="K595" t="s">
        <v>44</v>
      </c>
      <c r="N595" t="s">
        <v>45</v>
      </c>
      <c r="O595" t="s">
        <v>46</v>
      </c>
      <c r="P595" t="s">
        <v>45</v>
      </c>
      <c r="Q595" t="s">
        <v>47</v>
      </c>
      <c r="R595" t="s">
        <v>44</v>
      </c>
      <c r="S595">
        <v>2</v>
      </c>
      <c r="W595" s="3">
        <v>0</v>
      </c>
      <c r="X595" t="s">
        <v>49</v>
      </c>
      <c r="Y595">
        <v>0</v>
      </c>
      <c r="Z595">
        <v>0</v>
      </c>
      <c r="AA595" t="s">
        <v>49</v>
      </c>
      <c r="AB595">
        <v>0</v>
      </c>
      <c r="AC595" t="s">
        <v>49</v>
      </c>
      <c r="AD595">
        <v>0</v>
      </c>
      <c r="AE595">
        <v>-1</v>
      </c>
      <c r="AF595" t="s">
        <v>63</v>
      </c>
      <c r="AG595" t="s">
        <v>1500</v>
      </c>
    </row>
    <row r="596" spans="1:33" x14ac:dyDescent="0.35">
      <c r="A596" s="1">
        <v>44895.607638888891</v>
      </c>
      <c r="B596">
        <v>7104368</v>
      </c>
      <c r="C596" t="s">
        <v>1544</v>
      </c>
      <c r="D596" t="s">
        <v>59</v>
      </c>
      <c r="E596" s="2">
        <v>42150</v>
      </c>
      <c r="F596" t="str">
        <f>"9781119041917"</f>
        <v>9781119041917</v>
      </c>
      <c r="G596" t="str">
        <f>"9780470390986"</f>
        <v>9780470390986</v>
      </c>
      <c r="H596" t="s">
        <v>1545</v>
      </c>
      <c r="K596" t="s">
        <v>44</v>
      </c>
      <c r="N596" t="s">
        <v>45</v>
      </c>
      <c r="O596" t="s">
        <v>46</v>
      </c>
      <c r="P596" t="s">
        <v>45</v>
      </c>
      <c r="Q596" t="s">
        <v>47</v>
      </c>
      <c r="R596" t="s">
        <v>44</v>
      </c>
      <c r="S596">
        <v>0</v>
      </c>
      <c r="W596" s="3">
        <v>1.5393518518518519E-3</v>
      </c>
      <c r="X596" t="s">
        <v>1548</v>
      </c>
      <c r="Y596">
        <v>10</v>
      </c>
      <c r="Z596">
        <v>0</v>
      </c>
      <c r="AA596" t="s">
        <v>49</v>
      </c>
      <c r="AB596">
        <v>0</v>
      </c>
      <c r="AC596" t="s">
        <v>49</v>
      </c>
      <c r="AD596">
        <v>0</v>
      </c>
      <c r="AE596">
        <v>-1</v>
      </c>
      <c r="AF596" t="s">
        <v>63</v>
      </c>
      <c r="AG596" t="s">
        <v>1500</v>
      </c>
    </row>
    <row r="597" spans="1:33" x14ac:dyDescent="0.35">
      <c r="A597" s="1">
        <v>44895.6</v>
      </c>
      <c r="B597">
        <v>4737322</v>
      </c>
      <c r="C597" t="s">
        <v>1477</v>
      </c>
      <c r="D597" t="s">
        <v>507</v>
      </c>
      <c r="E597" s="2">
        <v>42247</v>
      </c>
      <c r="F597" t="str">
        <f>"9780748632244"</f>
        <v>9780748632244</v>
      </c>
      <c r="G597" t="str">
        <f>"9780748632763"</f>
        <v>9780748632763</v>
      </c>
      <c r="H597" t="s">
        <v>667</v>
      </c>
      <c r="I597" t="s">
        <v>1478</v>
      </c>
      <c r="J597" t="s">
        <v>1479</v>
      </c>
      <c r="K597" t="s">
        <v>44</v>
      </c>
      <c r="N597" t="s">
        <v>45</v>
      </c>
      <c r="O597" t="s">
        <v>46</v>
      </c>
      <c r="P597" t="s">
        <v>45</v>
      </c>
      <c r="Q597" t="s">
        <v>47</v>
      </c>
      <c r="R597" t="s">
        <v>44</v>
      </c>
      <c r="S597">
        <v>0</v>
      </c>
      <c r="W597" s="3">
        <v>1.1574074074074073E-4</v>
      </c>
      <c r="X597" t="s">
        <v>1283</v>
      </c>
      <c r="Y597">
        <v>3</v>
      </c>
      <c r="Z597">
        <v>0</v>
      </c>
      <c r="AA597" t="s">
        <v>49</v>
      </c>
      <c r="AB597">
        <v>0</v>
      </c>
      <c r="AC597" t="s">
        <v>49</v>
      </c>
      <c r="AD597">
        <v>0</v>
      </c>
      <c r="AE597">
        <v>-1</v>
      </c>
      <c r="AF597" t="s">
        <v>50</v>
      </c>
      <c r="AG597" t="s">
        <v>1476</v>
      </c>
    </row>
    <row r="598" spans="1:33" x14ac:dyDescent="0.35">
      <c r="A598" s="1">
        <v>44895.599305555559</v>
      </c>
      <c r="B598">
        <v>3116743</v>
      </c>
      <c r="C598" t="s">
        <v>1549</v>
      </c>
      <c r="D598" t="s">
        <v>1550</v>
      </c>
      <c r="E598" s="2">
        <v>40148</v>
      </c>
      <c r="F598" t="str">
        <f>"9781613001110"</f>
        <v>9781613001110</v>
      </c>
      <c r="G598" t="str">
        <f>"9781583217801"</f>
        <v>9781583217801</v>
      </c>
      <c r="H598" t="s">
        <v>290</v>
      </c>
      <c r="I598" t="s">
        <v>1551</v>
      </c>
      <c r="J598" t="s">
        <v>1552</v>
      </c>
      <c r="K598" t="s">
        <v>44</v>
      </c>
      <c r="N598" t="s">
        <v>45</v>
      </c>
      <c r="O598" t="s">
        <v>46</v>
      </c>
      <c r="P598" t="s">
        <v>45</v>
      </c>
      <c r="Q598" t="s">
        <v>47</v>
      </c>
      <c r="R598" t="s">
        <v>44</v>
      </c>
      <c r="S598">
        <v>2</v>
      </c>
      <c r="W598" s="3">
        <v>0</v>
      </c>
      <c r="X598" t="s">
        <v>49</v>
      </c>
      <c r="Y598">
        <v>0</v>
      </c>
      <c r="Z598">
        <v>1</v>
      </c>
      <c r="AA598" t="s">
        <v>1553</v>
      </c>
      <c r="AB598">
        <v>2</v>
      </c>
      <c r="AC598" t="s">
        <v>49</v>
      </c>
      <c r="AD598">
        <v>0</v>
      </c>
      <c r="AE598">
        <v>10533523</v>
      </c>
      <c r="AF598" t="s">
        <v>63</v>
      </c>
      <c r="AG598" t="s">
        <v>1500</v>
      </c>
    </row>
    <row r="599" spans="1:33" x14ac:dyDescent="0.35">
      <c r="A599" s="1">
        <v>44895.597916666666</v>
      </c>
      <c r="B599">
        <v>3116743</v>
      </c>
      <c r="C599" t="s">
        <v>1549</v>
      </c>
      <c r="D599" t="s">
        <v>1550</v>
      </c>
      <c r="E599" s="2">
        <v>40148</v>
      </c>
      <c r="F599" t="str">
        <f>"9781613001110"</f>
        <v>9781613001110</v>
      </c>
      <c r="G599" t="str">
        <f>"9781583217801"</f>
        <v>9781583217801</v>
      </c>
      <c r="H599" t="s">
        <v>290</v>
      </c>
      <c r="I599" t="s">
        <v>1551</v>
      </c>
      <c r="J599" t="s">
        <v>1552</v>
      </c>
      <c r="K599" t="s">
        <v>44</v>
      </c>
      <c r="N599" t="s">
        <v>45</v>
      </c>
      <c r="O599" t="s">
        <v>46</v>
      </c>
      <c r="P599" t="s">
        <v>45</v>
      </c>
      <c r="Q599" t="s">
        <v>47</v>
      </c>
      <c r="R599" t="s">
        <v>44</v>
      </c>
      <c r="S599">
        <v>0</v>
      </c>
      <c r="W599" s="3">
        <v>1.3888888888888889E-3</v>
      </c>
      <c r="X599" t="s">
        <v>1554</v>
      </c>
      <c r="Y599">
        <v>6</v>
      </c>
      <c r="Z599">
        <v>0</v>
      </c>
      <c r="AA599" t="s">
        <v>49</v>
      </c>
      <c r="AB599">
        <v>0</v>
      </c>
      <c r="AC599" t="s">
        <v>49</v>
      </c>
      <c r="AD599">
        <v>0</v>
      </c>
      <c r="AE599">
        <v>10533523</v>
      </c>
      <c r="AF599" t="s">
        <v>63</v>
      </c>
      <c r="AG599" t="s">
        <v>1500</v>
      </c>
    </row>
    <row r="600" spans="1:33" x14ac:dyDescent="0.35">
      <c r="A600" s="1">
        <v>44895.597222222219</v>
      </c>
      <c r="B600">
        <v>3018212</v>
      </c>
      <c r="C600" t="s">
        <v>1555</v>
      </c>
      <c r="D600" t="s">
        <v>137</v>
      </c>
      <c r="E600" s="2">
        <v>40118</v>
      </c>
      <c r="F600" t="str">
        <f>"9781617283925"</f>
        <v>9781617283925</v>
      </c>
      <c r="G600" t="str">
        <f>"9781607418344"</f>
        <v>9781607418344</v>
      </c>
      <c r="H600" t="s">
        <v>100</v>
      </c>
      <c r="I600" t="s">
        <v>754</v>
      </c>
      <c r="J600" t="s">
        <v>1556</v>
      </c>
      <c r="K600" t="s">
        <v>44</v>
      </c>
      <c r="N600" t="s">
        <v>45</v>
      </c>
      <c r="O600" t="s">
        <v>46</v>
      </c>
      <c r="P600" t="s">
        <v>177</v>
      </c>
      <c r="Q600" t="s">
        <v>47</v>
      </c>
      <c r="R600" t="s">
        <v>55</v>
      </c>
      <c r="S600">
        <v>0</v>
      </c>
      <c r="W600" s="3">
        <v>5.9143518518518521E-3</v>
      </c>
      <c r="X600" t="s">
        <v>1557</v>
      </c>
      <c r="Y600">
        <v>5</v>
      </c>
      <c r="Z600">
        <v>0</v>
      </c>
      <c r="AA600" t="s">
        <v>49</v>
      </c>
      <c r="AB600">
        <v>0</v>
      </c>
      <c r="AC600" t="s">
        <v>49</v>
      </c>
      <c r="AD600">
        <v>0</v>
      </c>
      <c r="AE600">
        <v>10659134</v>
      </c>
      <c r="AF600" t="s">
        <v>50</v>
      </c>
      <c r="AG600" t="s">
        <v>388</v>
      </c>
    </row>
    <row r="601" spans="1:33" x14ac:dyDescent="0.35">
      <c r="A601" s="1">
        <v>44895.597222222219</v>
      </c>
      <c r="B601">
        <v>6564274</v>
      </c>
      <c r="C601" t="s">
        <v>1558</v>
      </c>
      <c r="D601" t="s">
        <v>65</v>
      </c>
      <c r="E601" s="2">
        <v>44312</v>
      </c>
      <c r="F601" t="str">
        <f>"9780323851381"</f>
        <v>9780323851381</v>
      </c>
      <c r="G601" t="str">
        <f>"9780128210574"</f>
        <v>9780128210574</v>
      </c>
      <c r="H601" t="s">
        <v>290</v>
      </c>
      <c r="I601">
        <v>628.16099999999994</v>
      </c>
      <c r="J601" t="s">
        <v>1559</v>
      </c>
      <c r="K601" t="s">
        <v>55</v>
      </c>
      <c r="Q601" t="s">
        <v>47</v>
      </c>
      <c r="R601" t="s">
        <v>44</v>
      </c>
      <c r="S601">
        <v>0</v>
      </c>
      <c r="W601" s="3">
        <v>2.8935185185185189E-4</v>
      </c>
      <c r="X601" t="s">
        <v>1560</v>
      </c>
      <c r="Y601">
        <v>7</v>
      </c>
      <c r="Z601">
        <v>0</v>
      </c>
      <c r="AA601" t="s">
        <v>49</v>
      </c>
      <c r="AB601">
        <v>0</v>
      </c>
      <c r="AC601" t="s">
        <v>49</v>
      </c>
      <c r="AD601">
        <v>0</v>
      </c>
      <c r="AE601">
        <v>-1</v>
      </c>
      <c r="AF601" t="s">
        <v>63</v>
      </c>
      <c r="AG601" t="s">
        <v>1500</v>
      </c>
    </row>
    <row r="602" spans="1:33" x14ac:dyDescent="0.35">
      <c r="A602" s="1">
        <v>44895.59652777778</v>
      </c>
      <c r="B602">
        <v>3377014</v>
      </c>
      <c r="C602" t="s">
        <v>1561</v>
      </c>
      <c r="D602" t="s">
        <v>175</v>
      </c>
      <c r="E602" s="2">
        <v>29983</v>
      </c>
      <c r="F602" t="str">
        <f>"9780309554244"</f>
        <v>9780309554244</v>
      </c>
      <c r="G602" t="str">
        <f>"9780309031981"</f>
        <v>9780309031981</v>
      </c>
      <c r="H602" t="s">
        <v>176</v>
      </c>
      <c r="J602" t="s">
        <v>1562</v>
      </c>
      <c r="K602" t="s">
        <v>44</v>
      </c>
      <c r="N602" t="s">
        <v>45</v>
      </c>
      <c r="O602" t="s">
        <v>46</v>
      </c>
      <c r="P602" t="s">
        <v>177</v>
      </c>
      <c r="Q602" t="s">
        <v>47</v>
      </c>
      <c r="R602" t="s">
        <v>55</v>
      </c>
      <c r="S602">
        <v>1</v>
      </c>
      <c r="W602" s="3">
        <v>0</v>
      </c>
      <c r="X602" t="s">
        <v>49</v>
      </c>
      <c r="Y602">
        <v>0</v>
      </c>
      <c r="Z602">
        <v>0</v>
      </c>
      <c r="AA602" t="s">
        <v>49</v>
      </c>
      <c r="AB602">
        <v>0</v>
      </c>
      <c r="AC602" t="s">
        <v>49</v>
      </c>
      <c r="AD602">
        <v>0</v>
      </c>
      <c r="AE602">
        <v>10062953</v>
      </c>
      <c r="AF602" t="s">
        <v>63</v>
      </c>
      <c r="AG602" t="s">
        <v>1500</v>
      </c>
    </row>
    <row r="603" spans="1:33" x14ac:dyDescent="0.35">
      <c r="A603" s="1">
        <v>44895.59652777778</v>
      </c>
      <c r="B603">
        <v>6792356</v>
      </c>
      <c r="C603" t="s">
        <v>512</v>
      </c>
      <c r="D603" t="s">
        <v>213</v>
      </c>
      <c r="E603" s="2">
        <v>44496</v>
      </c>
      <c r="F603" t="str">
        <f>"9780128209073"</f>
        <v>9780128209073</v>
      </c>
      <c r="G603" t="str">
        <f>"9780128206294"</f>
        <v>9780128206294</v>
      </c>
      <c r="H603" t="s">
        <v>513</v>
      </c>
      <c r="I603">
        <v>620.5</v>
      </c>
      <c r="J603" t="s">
        <v>514</v>
      </c>
      <c r="K603" t="s">
        <v>55</v>
      </c>
      <c r="Q603" t="s">
        <v>47</v>
      </c>
      <c r="R603" t="s">
        <v>44</v>
      </c>
      <c r="S603">
        <v>0</v>
      </c>
      <c r="W603" s="3">
        <v>1.3113425925925926E-2</v>
      </c>
      <c r="X603" t="s">
        <v>1563</v>
      </c>
      <c r="Y603">
        <v>4</v>
      </c>
      <c r="Z603">
        <v>0</v>
      </c>
      <c r="AA603" t="s">
        <v>49</v>
      </c>
      <c r="AB603">
        <v>0</v>
      </c>
      <c r="AC603" t="s">
        <v>49</v>
      </c>
      <c r="AD603">
        <v>0</v>
      </c>
      <c r="AE603">
        <v>-1</v>
      </c>
      <c r="AF603" t="s">
        <v>63</v>
      </c>
      <c r="AG603" t="s">
        <v>388</v>
      </c>
    </row>
    <row r="604" spans="1:33" x14ac:dyDescent="0.35">
      <c r="A604" s="1">
        <v>44895.595138888886</v>
      </c>
      <c r="B604">
        <v>6254245</v>
      </c>
      <c r="C604" t="s">
        <v>949</v>
      </c>
      <c r="D604" t="s">
        <v>137</v>
      </c>
      <c r="E604" s="2">
        <v>44025</v>
      </c>
      <c r="F604" t="str">
        <f>"9781536180718"</f>
        <v>9781536180718</v>
      </c>
      <c r="G604" t="str">
        <f>"9781536180701"</f>
        <v>9781536180701</v>
      </c>
      <c r="H604" t="s">
        <v>261</v>
      </c>
      <c r="I604">
        <v>628.16200000000003</v>
      </c>
      <c r="K604" t="s">
        <v>55</v>
      </c>
      <c r="Q604" t="s">
        <v>47</v>
      </c>
      <c r="R604" t="s">
        <v>44</v>
      </c>
      <c r="S604">
        <v>0</v>
      </c>
      <c r="W604" s="3">
        <v>8.1018518518518516E-4</v>
      </c>
      <c r="X604" t="s">
        <v>1564</v>
      </c>
      <c r="Y604">
        <v>10</v>
      </c>
      <c r="Z604">
        <v>0</v>
      </c>
      <c r="AA604" t="s">
        <v>49</v>
      </c>
      <c r="AB604">
        <v>0</v>
      </c>
      <c r="AC604" t="s">
        <v>49</v>
      </c>
      <c r="AD604">
        <v>0</v>
      </c>
      <c r="AE604">
        <v>-1</v>
      </c>
      <c r="AF604" t="s">
        <v>63</v>
      </c>
      <c r="AG604" t="s">
        <v>1500</v>
      </c>
    </row>
    <row r="605" spans="1:33" x14ac:dyDescent="0.35">
      <c r="A605" s="1">
        <v>44895.593055555553</v>
      </c>
      <c r="B605">
        <v>367052</v>
      </c>
      <c r="C605" t="s">
        <v>1489</v>
      </c>
      <c r="D605" t="s">
        <v>502</v>
      </c>
      <c r="E605" s="2">
        <v>39737</v>
      </c>
      <c r="F605" t="str">
        <f>"9780511436314"</f>
        <v>9780511436314</v>
      </c>
      <c r="G605" t="str">
        <f>"9780521830447"</f>
        <v>9780521830447</v>
      </c>
      <c r="H605" t="s">
        <v>712</v>
      </c>
      <c r="I605" t="s">
        <v>1490</v>
      </c>
      <c r="J605" t="s">
        <v>1491</v>
      </c>
      <c r="K605" t="s">
        <v>44</v>
      </c>
      <c r="N605" t="s">
        <v>45</v>
      </c>
      <c r="O605" t="s">
        <v>46</v>
      </c>
      <c r="P605" t="s">
        <v>45</v>
      </c>
      <c r="Q605" t="s">
        <v>47</v>
      </c>
      <c r="R605" t="s">
        <v>44</v>
      </c>
      <c r="S605">
        <v>0</v>
      </c>
      <c r="W605" s="3">
        <v>4.2824074074074075E-3</v>
      </c>
      <c r="X605" t="s">
        <v>1565</v>
      </c>
      <c r="Y605">
        <v>17</v>
      </c>
      <c r="Z605">
        <v>0</v>
      </c>
      <c r="AA605" t="s">
        <v>49</v>
      </c>
      <c r="AB605">
        <v>0</v>
      </c>
      <c r="AC605" t="s">
        <v>1566</v>
      </c>
      <c r="AD605">
        <v>1</v>
      </c>
      <c r="AE605">
        <v>10257525</v>
      </c>
      <c r="AF605" t="s">
        <v>50</v>
      </c>
      <c r="AG605" t="s">
        <v>1476</v>
      </c>
    </row>
    <row r="606" spans="1:33" x14ac:dyDescent="0.35">
      <c r="A606" s="1">
        <v>44895.592361111114</v>
      </c>
      <c r="B606">
        <v>6254245</v>
      </c>
      <c r="C606" t="s">
        <v>949</v>
      </c>
      <c r="D606" t="s">
        <v>137</v>
      </c>
      <c r="E606" s="2">
        <v>44025</v>
      </c>
      <c r="F606" t="str">
        <f>"9781536180718"</f>
        <v>9781536180718</v>
      </c>
      <c r="G606" t="str">
        <f>"9781536180701"</f>
        <v>9781536180701</v>
      </c>
      <c r="H606" t="s">
        <v>261</v>
      </c>
      <c r="I606">
        <v>628.16200000000003</v>
      </c>
      <c r="K606" t="s">
        <v>55</v>
      </c>
      <c r="Q606" t="s">
        <v>47</v>
      </c>
      <c r="R606" t="s">
        <v>44</v>
      </c>
      <c r="S606">
        <v>0</v>
      </c>
      <c r="W606" s="3">
        <v>0</v>
      </c>
      <c r="X606" t="s">
        <v>49</v>
      </c>
      <c r="Y606">
        <v>0</v>
      </c>
      <c r="Z606">
        <v>0</v>
      </c>
      <c r="AA606" t="s">
        <v>49</v>
      </c>
      <c r="AB606">
        <v>0</v>
      </c>
      <c r="AC606" t="s">
        <v>49</v>
      </c>
      <c r="AD606">
        <v>0</v>
      </c>
      <c r="AE606">
        <v>-1</v>
      </c>
      <c r="AF606" t="s">
        <v>63</v>
      </c>
      <c r="AG606" t="s">
        <v>1500</v>
      </c>
    </row>
    <row r="607" spans="1:33" x14ac:dyDescent="0.35">
      <c r="A607" s="1">
        <v>44895.592361111114</v>
      </c>
      <c r="B607">
        <v>6526734</v>
      </c>
      <c r="C607" t="s">
        <v>1485</v>
      </c>
      <c r="D607" t="s">
        <v>1486</v>
      </c>
      <c r="E607" s="2">
        <v>41479</v>
      </c>
      <c r="F607" t="str">
        <f>"9781626370586"</f>
        <v>9781626370586</v>
      </c>
      <c r="G607" t="str">
        <f>"9781588269096"</f>
        <v>9781588269096</v>
      </c>
      <c r="H607" t="s">
        <v>1046</v>
      </c>
      <c r="I607">
        <v>305.42095599999999</v>
      </c>
      <c r="J607" t="s">
        <v>1487</v>
      </c>
      <c r="K607" t="s">
        <v>44</v>
      </c>
      <c r="N607" t="s">
        <v>45</v>
      </c>
      <c r="O607" t="s">
        <v>46</v>
      </c>
      <c r="P607" t="s">
        <v>45</v>
      </c>
      <c r="Q607" t="s">
        <v>47</v>
      </c>
      <c r="R607" t="s">
        <v>44</v>
      </c>
      <c r="S607">
        <v>0</v>
      </c>
      <c r="W607" s="3">
        <v>4.9768518518518521E-4</v>
      </c>
      <c r="X607" t="s">
        <v>1567</v>
      </c>
      <c r="Y607">
        <v>5</v>
      </c>
      <c r="Z607">
        <v>0</v>
      </c>
      <c r="AA607" t="s">
        <v>49</v>
      </c>
      <c r="AB607">
        <v>0</v>
      </c>
      <c r="AC607" t="s">
        <v>49</v>
      </c>
      <c r="AD607">
        <v>0</v>
      </c>
      <c r="AE607">
        <v>-1</v>
      </c>
      <c r="AF607" t="s">
        <v>50</v>
      </c>
      <c r="AG607" t="s">
        <v>1476</v>
      </c>
    </row>
    <row r="608" spans="1:33" x14ac:dyDescent="0.35">
      <c r="A608" s="1">
        <v>44895.59097222222</v>
      </c>
      <c r="B608">
        <v>617176</v>
      </c>
      <c r="C608" t="s">
        <v>1520</v>
      </c>
      <c r="D608" t="s">
        <v>497</v>
      </c>
      <c r="E608" s="2">
        <v>40542</v>
      </c>
      <c r="F608" t="str">
        <f>"9781441136251"</f>
        <v>9781441136251</v>
      </c>
      <c r="G608" t="str">
        <f>"9780826400871"</f>
        <v>9780826400871</v>
      </c>
      <c r="H608" t="s">
        <v>1186</v>
      </c>
      <c r="I608" t="s">
        <v>1521</v>
      </c>
      <c r="J608" t="s">
        <v>1522</v>
      </c>
      <c r="K608" t="s">
        <v>44</v>
      </c>
      <c r="N608" t="s">
        <v>45</v>
      </c>
      <c r="O608" t="s">
        <v>46</v>
      </c>
      <c r="P608" t="s">
        <v>45</v>
      </c>
      <c r="Q608" t="s">
        <v>47</v>
      </c>
      <c r="R608" t="s">
        <v>44</v>
      </c>
      <c r="S608">
        <v>0</v>
      </c>
      <c r="W608" s="3">
        <v>5.7870370370370366E-5</v>
      </c>
      <c r="X608" t="s">
        <v>196</v>
      </c>
      <c r="Y608">
        <v>2</v>
      </c>
      <c r="Z608">
        <v>0</v>
      </c>
      <c r="AA608" t="s">
        <v>49</v>
      </c>
      <c r="AB608">
        <v>0</v>
      </c>
      <c r="AC608" t="s">
        <v>49</v>
      </c>
      <c r="AD608">
        <v>0</v>
      </c>
      <c r="AE608">
        <v>10432531</v>
      </c>
      <c r="AF608" t="s">
        <v>50</v>
      </c>
      <c r="AG608" t="s">
        <v>1476</v>
      </c>
    </row>
    <row r="609" spans="1:33" x14ac:dyDescent="0.35">
      <c r="A609" s="1">
        <v>44895.574999999997</v>
      </c>
      <c r="B609">
        <v>5721194</v>
      </c>
      <c r="C609" t="s">
        <v>1568</v>
      </c>
      <c r="D609" t="s">
        <v>1569</v>
      </c>
      <c r="E609" s="2">
        <v>43330</v>
      </c>
      <c r="F609" t="str">
        <f>"9782759822324"</f>
        <v>9782759822324</v>
      </c>
      <c r="G609" t="str">
        <f>"9782759822317"</f>
        <v>9782759822317</v>
      </c>
      <c r="H609" t="s">
        <v>1570</v>
      </c>
      <c r="K609" t="s">
        <v>55</v>
      </c>
      <c r="Q609" t="s">
        <v>47</v>
      </c>
      <c r="R609" t="s">
        <v>44</v>
      </c>
      <c r="S609">
        <v>0</v>
      </c>
      <c r="W609" s="3">
        <v>1.3657407407407409E-3</v>
      </c>
      <c r="X609" t="s">
        <v>1571</v>
      </c>
      <c r="Y609">
        <v>15</v>
      </c>
      <c r="Z609">
        <v>0</v>
      </c>
      <c r="AA609" t="s">
        <v>49</v>
      </c>
      <c r="AB609">
        <v>0</v>
      </c>
      <c r="AC609" t="s">
        <v>49</v>
      </c>
      <c r="AD609">
        <v>0</v>
      </c>
      <c r="AE609">
        <v>-1</v>
      </c>
      <c r="AF609" t="s">
        <v>50</v>
      </c>
      <c r="AG609" t="s">
        <v>670</v>
      </c>
    </row>
    <row r="610" spans="1:33" x14ac:dyDescent="0.35">
      <c r="A610" s="1">
        <v>44895.548611111109</v>
      </c>
      <c r="B610">
        <v>875843</v>
      </c>
      <c r="C610" t="s">
        <v>1377</v>
      </c>
      <c r="D610" t="s">
        <v>59</v>
      </c>
      <c r="E610" s="2">
        <v>41134</v>
      </c>
      <c r="F610" t="str">
        <f>"9781118332856"</f>
        <v>9781118332856</v>
      </c>
      <c r="G610" t="str">
        <f>"9780470902936"</f>
        <v>9780470902936</v>
      </c>
      <c r="H610" t="s">
        <v>1378</v>
      </c>
      <c r="I610">
        <v>621.40219999999999</v>
      </c>
      <c r="J610" t="s">
        <v>1379</v>
      </c>
      <c r="K610" t="s">
        <v>44</v>
      </c>
      <c r="N610" t="s">
        <v>45</v>
      </c>
      <c r="O610" t="s">
        <v>46</v>
      </c>
      <c r="P610" t="s">
        <v>45</v>
      </c>
      <c r="Q610" t="s">
        <v>47</v>
      </c>
      <c r="R610" t="s">
        <v>44</v>
      </c>
      <c r="S610">
        <v>0</v>
      </c>
      <c r="W610" s="3">
        <v>3.4722222222222222E-5</v>
      </c>
      <c r="X610" t="s">
        <v>121</v>
      </c>
      <c r="Y610">
        <v>1</v>
      </c>
      <c r="Z610">
        <v>0</v>
      </c>
      <c r="AA610" t="s">
        <v>49</v>
      </c>
      <c r="AB610">
        <v>0</v>
      </c>
      <c r="AC610" t="s">
        <v>49</v>
      </c>
      <c r="AD610">
        <v>0</v>
      </c>
      <c r="AE610">
        <v>10593121</v>
      </c>
      <c r="AF610" t="s">
        <v>50</v>
      </c>
      <c r="AG610" t="s">
        <v>388</v>
      </c>
    </row>
    <row r="611" spans="1:33" x14ac:dyDescent="0.35">
      <c r="A611" s="1">
        <v>44895.54791666667</v>
      </c>
      <c r="B611">
        <v>480447</v>
      </c>
      <c r="C611" t="s">
        <v>1572</v>
      </c>
      <c r="D611" t="s">
        <v>59</v>
      </c>
      <c r="E611" s="2">
        <v>40245</v>
      </c>
      <c r="F611" t="str">
        <f>"9780470686614"</f>
        <v>9780470686614</v>
      </c>
      <c r="G611" t="str">
        <f>"9780470760413"</f>
        <v>9780470760413</v>
      </c>
      <c r="H611" t="s">
        <v>116</v>
      </c>
      <c r="I611" t="s">
        <v>1573</v>
      </c>
      <c r="J611" t="s">
        <v>1574</v>
      </c>
      <c r="K611" t="s">
        <v>44</v>
      </c>
      <c r="N611" t="s">
        <v>45</v>
      </c>
      <c r="O611" t="s">
        <v>46</v>
      </c>
      <c r="P611" t="s">
        <v>45</v>
      </c>
      <c r="Q611" t="s">
        <v>47</v>
      </c>
      <c r="R611" t="s">
        <v>44</v>
      </c>
      <c r="S611">
        <v>0</v>
      </c>
      <c r="W611" s="3">
        <v>1.1238425925925928E-2</v>
      </c>
      <c r="X611" t="s">
        <v>1575</v>
      </c>
      <c r="Y611">
        <v>19</v>
      </c>
      <c r="Z611">
        <v>0</v>
      </c>
      <c r="AA611" t="s">
        <v>49</v>
      </c>
      <c r="AB611">
        <v>0</v>
      </c>
      <c r="AC611" t="s">
        <v>49</v>
      </c>
      <c r="AD611">
        <v>0</v>
      </c>
      <c r="AE611">
        <v>10361279</v>
      </c>
      <c r="AF611" t="s">
        <v>50</v>
      </c>
      <c r="AG611" t="s">
        <v>670</v>
      </c>
    </row>
    <row r="612" spans="1:33" x14ac:dyDescent="0.35">
      <c r="A612" s="1">
        <v>44895.538888888892</v>
      </c>
      <c r="B612">
        <v>683954</v>
      </c>
      <c r="C612" t="s">
        <v>1576</v>
      </c>
      <c r="D612" t="s">
        <v>76</v>
      </c>
      <c r="E612" s="2">
        <v>40634</v>
      </c>
      <c r="F612" t="str">
        <f>"9780203859667"</f>
        <v>9780203859667</v>
      </c>
      <c r="G612" t="str">
        <f>"9780415569101"</f>
        <v>9780415569101</v>
      </c>
      <c r="H612" t="s">
        <v>84</v>
      </c>
      <c r="I612">
        <v>690</v>
      </c>
      <c r="J612" t="s">
        <v>1577</v>
      </c>
      <c r="K612" t="s">
        <v>44</v>
      </c>
      <c r="N612" t="s">
        <v>45</v>
      </c>
      <c r="O612" t="s">
        <v>46</v>
      </c>
      <c r="P612" t="s">
        <v>45</v>
      </c>
      <c r="Q612" t="s">
        <v>47</v>
      </c>
      <c r="R612" t="s">
        <v>44</v>
      </c>
      <c r="S612">
        <v>1</v>
      </c>
      <c r="W612" s="3">
        <v>1.9212962962962962E-3</v>
      </c>
      <c r="X612" t="s">
        <v>1578</v>
      </c>
      <c r="Y612">
        <v>11</v>
      </c>
      <c r="Z612">
        <v>0</v>
      </c>
      <c r="AA612" t="s">
        <v>49</v>
      </c>
      <c r="AB612">
        <v>0</v>
      </c>
      <c r="AC612" t="s">
        <v>1579</v>
      </c>
      <c r="AD612">
        <v>1</v>
      </c>
      <c r="AE612">
        <v>10514294</v>
      </c>
      <c r="AF612" t="s">
        <v>63</v>
      </c>
      <c r="AG612" t="s">
        <v>523</v>
      </c>
    </row>
    <row r="613" spans="1:33" x14ac:dyDescent="0.35">
      <c r="A613" s="1">
        <v>44895.531944444447</v>
      </c>
      <c r="B613">
        <v>1689421</v>
      </c>
      <c r="C613" t="s">
        <v>1580</v>
      </c>
      <c r="D613" t="s">
        <v>1248</v>
      </c>
      <c r="E613" s="2">
        <v>41870</v>
      </c>
      <c r="F613" t="str">
        <f>"9781498700030"</f>
        <v>9781498700030</v>
      </c>
      <c r="G613" t="str">
        <f>"9781771880695"</f>
        <v>9781771880695</v>
      </c>
      <c r="H613" t="s">
        <v>789</v>
      </c>
      <c r="I613" t="s">
        <v>1249</v>
      </c>
      <c r="J613" t="s">
        <v>1581</v>
      </c>
      <c r="K613" t="s">
        <v>44</v>
      </c>
      <c r="N613" t="s">
        <v>45</v>
      </c>
      <c r="O613" t="s">
        <v>46</v>
      </c>
      <c r="P613" t="s">
        <v>45</v>
      </c>
      <c r="Q613" t="s">
        <v>47</v>
      </c>
      <c r="R613" t="s">
        <v>44</v>
      </c>
      <c r="S613">
        <v>0</v>
      </c>
      <c r="W613" s="3">
        <v>2.7199074074074074E-3</v>
      </c>
      <c r="X613" t="s">
        <v>1582</v>
      </c>
      <c r="Y613">
        <v>11</v>
      </c>
      <c r="Z613">
        <v>1</v>
      </c>
      <c r="AA613" t="s">
        <v>1583</v>
      </c>
      <c r="AB613">
        <v>18</v>
      </c>
      <c r="AC613" t="s">
        <v>49</v>
      </c>
      <c r="AD613">
        <v>0</v>
      </c>
      <c r="AE613">
        <v>10907453</v>
      </c>
      <c r="AF613" t="s">
        <v>50</v>
      </c>
      <c r="AG613" t="s">
        <v>388</v>
      </c>
    </row>
    <row r="614" spans="1:33" x14ac:dyDescent="0.35">
      <c r="A614" s="1">
        <v>44895.467361111114</v>
      </c>
      <c r="B614">
        <v>4414604</v>
      </c>
      <c r="C614" t="s">
        <v>1584</v>
      </c>
      <c r="D614" t="s">
        <v>1585</v>
      </c>
      <c r="E614" s="2">
        <v>42359</v>
      </c>
      <c r="F614" t="str">
        <f>"9780809334452"</f>
        <v>9780809334452</v>
      </c>
      <c r="G614" t="str">
        <f>"9780809334445"</f>
        <v>9780809334445</v>
      </c>
      <c r="H614" t="s">
        <v>1102</v>
      </c>
      <c r="I614">
        <v>796.60820000000001</v>
      </c>
      <c r="J614" t="s">
        <v>1586</v>
      </c>
      <c r="K614" t="s">
        <v>44</v>
      </c>
      <c r="N614" t="s">
        <v>45</v>
      </c>
      <c r="O614" t="s">
        <v>46</v>
      </c>
      <c r="P614" t="s">
        <v>45</v>
      </c>
      <c r="Q614" t="s">
        <v>47</v>
      </c>
      <c r="R614" t="s">
        <v>44</v>
      </c>
      <c r="S614">
        <v>0</v>
      </c>
      <c r="W614" s="3">
        <v>6.9444444444444444E-5</v>
      </c>
      <c r="X614" t="s">
        <v>121</v>
      </c>
      <c r="Y614">
        <v>1</v>
      </c>
      <c r="Z614">
        <v>0</v>
      </c>
      <c r="AA614" t="s">
        <v>49</v>
      </c>
      <c r="AB614">
        <v>0</v>
      </c>
      <c r="AC614" t="s">
        <v>49</v>
      </c>
      <c r="AD614">
        <v>0</v>
      </c>
      <c r="AE614">
        <v>11171332</v>
      </c>
      <c r="AF614" t="s">
        <v>50</v>
      </c>
      <c r="AG614" t="s">
        <v>388</v>
      </c>
    </row>
    <row r="615" spans="1:33" x14ac:dyDescent="0.35">
      <c r="A615" s="1">
        <v>44895.415972222225</v>
      </c>
      <c r="B615">
        <v>5379696</v>
      </c>
      <c r="C615" t="s">
        <v>1587</v>
      </c>
      <c r="D615" t="s">
        <v>141</v>
      </c>
      <c r="E615" s="2">
        <v>43217</v>
      </c>
      <c r="F615" t="str">
        <f>"9781788398893"</f>
        <v>9781788398893</v>
      </c>
      <c r="G615" t="str">
        <f>""</f>
        <v/>
      </c>
      <c r="H615" t="s">
        <v>138</v>
      </c>
      <c r="I615">
        <v>5.133</v>
      </c>
      <c r="J615" t="s">
        <v>1588</v>
      </c>
      <c r="K615" t="s">
        <v>44</v>
      </c>
      <c r="N615" t="s">
        <v>45</v>
      </c>
      <c r="O615" t="s">
        <v>46</v>
      </c>
      <c r="P615" t="s">
        <v>177</v>
      </c>
      <c r="Q615" t="s">
        <v>47</v>
      </c>
      <c r="R615" t="s">
        <v>55</v>
      </c>
      <c r="S615">
        <v>0</v>
      </c>
      <c r="W615" s="3">
        <v>0</v>
      </c>
      <c r="X615" t="s">
        <v>49</v>
      </c>
      <c r="Y615">
        <v>0</v>
      </c>
      <c r="Z615">
        <v>1</v>
      </c>
      <c r="AA615" t="s">
        <v>1589</v>
      </c>
      <c r="AB615">
        <v>38</v>
      </c>
      <c r="AC615" t="s">
        <v>49</v>
      </c>
      <c r="AD615">
        <v>0</v>
      </c>
      <c r="AE615">
        <v>11554645</v>
      </c>
      <c r="AF615" t="s">
        <v>50</v>
      </c>
      <c r="AG615" t="s">
        <v>523</v>
      </c>
    </row>
    <row r="616" spans="1:33" x14ac:dyDescent="0.35">
      <c r="A616" s="1">
        <v>44895.410416666666</v>
      </c>
      <c r="B616">
        <v>6235257</v>
      </c>
      <c r="C616" t="s">
        <v>1590</v>
      </c>
      <c r="D616" t="s">
        <v>1591</v>
      </c>
      <c r="E616" s="2">
        <v>44007</v>
      </c>
      <c r="F616" t="str">
        <f>"9781839745720"</f>
        <v>9781839745720</v>
      </c>
      <c r="G616" t="str">
        <f>""</f>
        <v/>
      </c>
      <c r="H616" t="s">
        <v>1046</v>
      </c>
      <c r="I616">
        <v>306.44</v>
      </c>
      <c r="J616" t="s">
        <v>1592</v>
      </c>
      <c r="K616" t="s">
        <v>55</v>
      </c>
      <c r="Q616" t="s">
        <v>47</v>
      </c>
      <c r="R616" t="s">
        <v>44</v>
      </c>
      <c r="S616">
        <v>0</v>
      </c>
      <c r="W616" s="3">
        <v>5.7986111111111112E-3</v>
      </c>
      <c r="X616" t="s">
        <v>1593</v>
      </c>
      <c r="Y616">
        <v>10</v>
      </c>
      <c r="Z616">
        <v>0</v>
      </c>
      <c r="AA616" t="s">
        <v>49</v>
      </c>
      <c r="AB616">
        <v>0</v>
      </c>
      <c r="AC616" t="s">
        <v>49</v>
      </c>
      <c r="AD616">
        <v>0</v>
      </c>
      <c r="AE616">
        <v>-1</v>
      </c>
      <c r="AF616" t="s">
        <v>63</v>
      </c>
      <c r="AG616" t="s">
        <v>670</v>
      </c>
    </row>
    <row r="617" spans="1:33" x14ac:dyDescent="0.35">
      <c r="A617" s="1">
        <v>44895.40902777778</v>
      </c>
      <c r="B617">
        <v>566711</v>
      </c>
      <c r="C617" t="s">
        <v>1392</v>
      </c>
      <c r="D617" t="s">
        <v>76</v>
      </c>
      <c r="E617" s="2">
        <v>40350</v>
      </c>
      <c r="F617" t="str">
        <f>"9780080961200"</f>
        <v>9780080961200</v>
      </c>
      <c r="G617" t="str">
        <f>"9781856177146"</f>
        <v>9781856177146</v>
      </c>
      <c r="H617" t="s">
        <v>1393</v>
      </c>
      <c r="I617">
        <v>647.06799999999998</v>
      </c>
      <c r="J617" t="s">
        <v>1394</v>
      </c>
      <c r="K617" t="s">
        <v>44</v>
      </c>
      <c r="N617" t="s">
        <v>45</v>
      </c>
      <c r="O617" t="s">
        <v>46</v>
      </c>
      <c r="P617" t="s">
        <v>45</v>
      </c>
      <c r="Q617" t="s">
        <v>47</v>
      </c>
      <c r="R617" t="s">
        <v>44</v>
      </c>
      <c r="S617">
        <v>0</v>
      </c>
      <c r="W617" s="3">
        <v>4.6296296296296294E-5</v>
      </c>
      <c r="X617" t="s">
        <v>121</v>
      </c>
      <c r="Y617">
        <v>1</v>
      </c>
      <c r="Z617">
        <v>0</v>
      </c>
      <c r="AA617" t="s">
        <v>49</v>
      </c>
      <c r="AB617">
        <v>0</v>
      </c>
      <c r="AC617" t="s">
        <v>49</v>
      </c>
      <c r="AD617">
        <v>0</v>
      </c>
      <c r="AE617">
        <v>10404413</v>
      </c>
      <c r="AF617" t="s">
        <v>50</v>
      </c>
      <c r="AG617" t="s">
        <v>388</v>
      </c>
    </row>
    <row r="618" spans="1:33" x14ac:dyDescent="0.35">
      <c r="A618" s="1">
        <v>44895.408333333333</v>
      </c>
      <c r="B618">
        <v>3318877</v>
      </c>
      <c r="C618" t="s">
        <v>1389</v>
      </c>
      <c r="D618" t="s">
        <v>1390</v>
      </c>
      <c r="E618" s="2">
        <v>42109</v>
      </c>
      <c r="F618" t="str">
        <f>"9781421416274"</f>
        <v>9781421416274</v>
      </c>
      <c r="G618" t="str">
        <f>"9781421416250"</f>
        <v>9781421416250</v>
      </c>
      <c r="H618" t="s">
        <v>90</v>
      </c>
      <c r="I618" t="s">
        <v>1391</v>
      </c>
      <c r="K618" t="s">
        <v>44</v>
      </c>
      <c r="N618" t="s">
        <v>45</v>
      </c>
      <c r="O618" t="s">
        <v>46</v>
      </c>
      <c r="P618" t="s">
        <v>45</v>
      </c>
      <c r="Q618" t="s">
        <v>47</v>
      </c>
      <c r="R618" t="s">
        <v>44</v>
      </c>
      <c r="S618">
        <v>0</v>
      </c>
      <c r="W618" s="3">
        <v>1.3888888888888889E-4</v>
      </c>
      <c r="X618" t="s">
        <v>121</v>
      </c>
      <c r="Y618">
        <v>1</v>
      </c>
      <c r="Z618">
        <v>0</v>
      </c>
      <c r="AA618" t="s">
        <v>49</v>
      </c>
      <c r="AB618">
        <v>0</v>
      </c>
      <c r="AC618" t="s">
        <v>49</v>
      </c>
      <c r="AD618">
        <v>0</v>
      </c>
      <c r="AE618">
        <v>11030149</v>
      </c>
      <c r="AF618" t="s">
        <v>50</v>
      </c>
      <c r="AG618" t="s">
        <v>388</v>
      </c>
    </row>
    <row r="619" spans="1:33" x14ac:dyDescent="0.35">
      <c r="A619" s="1">
        <v>44895.34097222222</v>
      </c>
      <c r="B619">
        <v>5772949</v>
      </c>
      <c r="C619" t="s">
        <v>1594</v>
      </c>
      <c r="D619" t="s">
        <v>76</v>
      </c>
      <c r="E619" s="2">
        <v>43615</v>
      </c>
      <c r="F619" t="str">
        <f>"9781000000795"</f>
        <v>9781000000795</v>
      </c>
      <c r="G619" t="str">
        <f>"9781138387799"</f>
        <v>9781138387799</v>
      </c>
      <c r="H619" t="s">
        <v>90</v>
      </c>
      <c r="I619">
        <v>370</v>
      </c>
      <c r="J619" t="s">
        <v>1595</v>
      </c>
      <c r="K619" t="s">
        <v>55</v>
      </c>
      <c r="N619" t="s">
        <v>293</v>
      </c>
      <c r="P619" t="s">
        <v>80</v>
      </c>
      <c r="Q619" t="s">
        <v>47</v>
      </c>
      <c r="R619" t="s">
        <v>44</v>
      </c>
      <c r="S619">
        <v>0</v>
      </c>
      <c r="W619" s="3">
        <v>0</v>
      </c>
      <c r="X619" t="s">
        <v>49</v>
      </c>
      <c r="Y619">
        <v>0</v>
      </c>
      <c r="Z619">
        <v>1</v>
      </c>
      <c r="AA619" t="s">
        <v>1596</v>
      </c>
      <c r="AB619">
        <v>32</v>
      </c>
      <c r="AC619" t="s">
        <v>49</v>
      </c>
      <c r="AD619">
        <v>0</v>
      </c>
      <c r="AE619">
        <v>-1</v>
      </c>
      <c r="AF619" t="s">
        <v>50</v>
      </c>
      <c r="AG619" t="s">
        <v>1500</v>
      </c>
    </row>
    <row r="620" spans="1:33" x14ac:dyDescent="0.35">
      <c r="A620" s="1">
        <v>44894.986805555556</v>
      </c>
      <c r="B620">
        <v>468289</v>
      </c>
      <c r="C620" t="s">
        <v>1597</v>
      </c>
      <c r="D620" t="s">
        <v>473</v>
      </c>
      <c r="E620" s="2">
        <v>39927</v>
      </c>
      <c r="F620" t="str">
        <f>"9789047426202"</f>
        <v>9789047426202</v>
      </c>
      <c r="G620" t="str">
        <f>"9789004172739"</f>
        <v>9789004172739</v>
      </c>
      <c r="H620" t="s">
        <v>712</v>
      </c>
      <c r="I620">
        <v>346.01340917492701</v>
      </c>
      <c r="J620" t="s">
        <v>1598</v>
      </c>
      <c r="K620" t="s">
        <v>44</v>
      </c>
      <c r="N620" t="s">
        <v>45</v>
      </c>
      <c r="O620" t="s">
        <v>46</v>
      </c>
      <c r="P620" t="s">
        <v>45</v>
      </c>
      <c r="Q620" t="s">
        <v>47</v>
      </c>
      <c r="R620" t="s">
        <v>44</v>
      </c>
      <c r="S620">
        <v>0</v>
      </c>
      <c r="W620" s="3">
        <v>9.2939814814814812E-3</v>
      </c>
      <c r="X620" t="s">
        <v>1599</v>
      </c>
      <c r="Y620">
        <v>6</v>
      </c>
      <c r="Z620">
        <v>0</v>
      </c>
      <c r="AA620" t="s">
        <v>49</v>
      </c>
      <c r="AB620">
        <v>0</v>
      </c>
      <c r="AC620" t="s">
        <v>49</v>
      </c>
      <c r="AD620">
        <v>0</v>
      </c>
      <c r="AE620">
        <v>10349188</v>
      </c>
      <c r="AF620" t="s">
        <v>50</v>
      </c>
      <c r="AG620" t="s">
        <v>388</v>
      </c>
    </row>
    <row r="621" spans="1:33" x14ac:dyDescent="0.35">
      <c r="A621" s="1">
        <v>44894.94027777778</v>
      </c>
      <c r="B621">
        <v>875843</v>
      </c>
      <c r="C621" t="s">
        <v>1377</v>
      </c>
      <c r="D621" t="s">
        <v>59</v>
      </c>
      <c r="E621" s="2">
        <v>41134</v>
      </c>
      <c r="F621" t="str">
        <f>"9781118332856"</f>
        <v>9781118332856</v>
      </c>
      <c r="G621" t="str">
        <f>"9780470902936"</f>
        <v>9780470902936</v>
      </c>
      <c r="H621" t="s">
        <v>1378</v>
      </c>
      <c r="I621">
        <v>621.40219999999999</v>
      </c>
      <c r="J621" t="s">
        <v>1379</v>
      </c>
      <c r="K621" t="s">
        <v>44</v>
      </c>
      <c r="N621" t="s">
        <v>45</v>
      </c>
      <c r="O621" t="s">
        <v>46</v>
      </c>
      <c r="P621" t="s">
        <v>45</v>
      </c>
      <c r="Q621" t="s">
        <v>47</v>
      </c>
      <c r="R621" t="s">
        <v>44</v>
      </c>
      <c r="S621">
        <v>0</v>
      </c>
      <c r="W621" s="3">
        <v>2.2662037037037036E-2</v>
      </c>
      <c r="X621" t="s">
        <v>1600</v>
      </c>
      <c r="Y621">
        <v>88</v>
      </c>
      <c r="Z621">
        <v>0</v>
      </c>
      <c r="AA621" t="s">
        <v>49</v>
      </c>
      <c r="AB621">
        <v>0</v>
      </c>
      <c r="AC621" t="s">
        <v>49</v>
      </c>
      <c r="AD621">
        <v>0</v>
      </c>
      <c r="AE621">
        <v>10593121</v>
      </c>
      <c r="AF621" t="s">
        <v>50</v>
      </c>
      <c r="AG621" t="s">
        <v>388</v>
      </c>
    </row>
    <row r="622" spans="1:33" x14ac:dyDescent="0.35">
      <c r="A622" s="1">
        <v>44894.931944444441</v>
      </c>
      <c r="B622">
        <v>468289</v>
      </c>
      <c r="C622" t="s">
        <v>1597</v>
      </c>
      <c r="D622" t="s">
        <v>473</v>
      </c>
      <c r="E622" s="2">
        <v>39927</v>
      </c>
      <c r="F622" t="str">
        <f>"9789047426202"</f>
        <v>9789047426202</v>
      </c>
      <c r="G622" t="str">
        <f>"9789004172739"</f>
        <v>9789004172739</v>
      </c>
      <c r="H622" t="s">
        <v>712</v>
      </c>
      <c r="I622">
        <v>346.01340917492701</v>
      </c>
      <c r="J622" t="s">
        <v>1598</v>
      </c>
      <c r="K622" t="s">
        <v>44</v>
      </c>
      <c r="N622" t="s">
        <v>45</v>
      </c>
      <c r="O622" t="s">
        <v>46</v>
      </c>
      <c r="P622" t="s">
        <v>45</v>
      </c>
      <c r="Q622" t="s">
        <v>47</v>
      </c>
      <c r="R622" t="s">
        <v>44</v>
      </c>
      <c r="S622">
        <v>0</v>
      </c>
      <c r="W622" s="3">
        <v>3.7500000000000003E-3</v>
      </c>
      <c r="X622" t="s">
        <v>1601</v>
      </c>
      <c r="Y622">
        <v>3</v>
      </c>
      <c r="Z622">
        <v>0</v>
      </c>
      <c r="AA622" t="s">
        <v>49</v>
      </c>
      <c r="AB622">
        <v>0</v>
      </c>
      <c r="AC622" t="s">
        <v>49</v>
      </c>
      <c r="AD622">
        <v>0</v>
      </c>
      <c r="AE622">
        <v>10349188</v>
      </c>
      <c r="AF622" t="s">
        <v>50</v>
      </c>
      <c r="AG622" t="s">
        <v>388</v>
      </c>
    </row>
    <row r="623" spans="1:33" x14ac:dyDescent="0.35">
      <c r="A623" s="1">
        <v>44894.910416666666</v>
      </c>
      <c r="B623">
        <v>6420860</v>
      </c>
      <c r="C623" t="s">
        <v>1227</v>
      </c>
      <c r="D623" t="s">
        <v>105</v>
      </c>
      <c r="E623" s="2">
        <v>44170</v>
      </c>
      <c r="F623" t="str">
        <f>"9783030618483"</f>
        <v>9783030618483</v>
      </c>
      <c r="G623" t="str">
        <f>"9783030618476"</f>
        <v>9783030618476</v>
      </c>
      <c r="H623" t="s">
        <v>1228</v>
      </c>
      <c r="I623">
        <v>624.16999999999996</v>
      </c>
      <c r="J623" t="s">
        <v>107</v>
      </c>
      <c r="K623" t="s">
        <v>55</v>
      </c>
      <c r="Q623" t="s">
        <v>47</v>
      </c>
      <c r="R623" t="s">
        <v>44</v>
      </c>
      <c r="S623">
        <v>0</v>
      </c>
      <c r="W623" s="3">
        <v>0</v>
      </c>
      <c r="X623" t="s">
        <v>49</v>
      </c>
      <c r="Y623">
        <v>0</v>
      </c>
      <c r="Z623">
        <v>0</v>
      </c>
      <c r="AA623" t="s">
        <v>49</v>
      </c>
      <c r="AB623">
        <v>0</v>
      </c>
      <c r="AC623" t="s">
        <v>49</v>
      </c>
      <c r="AD623">
        <v>0</v>
      </c>
      <c r="AE623">
        <v>-1</v>
      </c>
      <c r="AF623" t="s">
        <v>63</v>
      </c>
      <c r="AG623" t="s">
        <v>388</v>
      </c>
    </row>
    <row r="624" spans="1:33" x14ac:dyDescent="0.35">
      <c r="A624" s="1">
        <v>44894.890277777777</v>
      </c>
      <c r="B624">
        <v>866355</v>
      </c>
      <c r="C624" t="s">
        <v>1602</v>
      </c>
      <c r="D624" t="s">
        <v>497</v>
      </c>
      <c r="E624" s="2">
        <v>40997</v>
      </c>
      <c r="F624" t="str">
        <f>"9781441117298"</f>
        <v>9781441117298</v>
      </c>
      <c r="G624" t="str">
        <f>"9781441124364"</f>
        <v>9781441124364</v>
      </c>
      <c r="H624" t="s">
        <v>1069</v>
      </c>
      <c r="I624" t="s">
        <v>1603</v>
      </c>
      <c r="J624" t="s">
        <v>1604</v>
      </c>
      <c r="K624" t="s">
        <v>44</v>
      </c>
      <c r="N624" t="s">
        <v>45</v>
      </c>
      <c r="O624" t="s">
        <v>46</v>
      </c>
      <c r="P624" t="s">
        <v>45</v>
      </c>
      <c r="Q624" t="s">
        <v>47</v>
      </c>
      <c r="R624" t="s">
        <v>44</v>
      </c>
      <c r="S624">
        <v>0</v>
      </c>
      <c r="W624" s="3">
        <v>2.7662037037037034E-3</v>
      </c>
      <c r="X624" t="s">
        <v>1605</v>
      </c>
      <c r="Y624">
        <v>18</v>
      </c>
      <c r="Z624">
        <v>0</v>
      </c>
      <c r="AA624" t="s">
        <v>49</v>
      </c>
      <c r="AB624">
        <v>0</v>
      </c>
      <c r="AC624" t="s">
        <v>49</v>
      </c>
      <c r="AD624">
        <v>0</v>
      </c>
      <c r="AE624">
        <v>10534277</v>
      </c>
      <c r="AF624" t="s">
        <v>50</v>
      </c>
      <c r="AG624" t="s">
        <v>388</v>
      </c>
    </row>
    <row r="625" spans="1:33" x14ac:dyDescent="0.35">
      <c r="A625" s="1">
        <v>44894.817361111112</v>
      </c>
      <c r="B625">
        <v>5835152</v>
      </c>
      <c r="C625" t="s">
        <v>1606</v>
      </c>
      <c r="D625" t="s">
        <v>53</v>
      </c>
      <c r="E625" s="2">
        <v>43711</v>
      </c>
      <c r="F625" t="str">
        <f>"9780691194387"</f>
        <v>9780691194387</v>
      </c>
      <c r="G625" t="str">
        <f>"9780691190877"</f>
        <v>9780691190877</v>
      </c>
      <c r="H625" t="s">
        <v>1046</v>
      </c>
      <c r="I625" t="s">
        <v>1607</v>
      </c>
      <c r="J625" t="s">
        <v>1608</v>
      </c>
      <c r="K625" t="s">
        <v>55</v>
      </c>
      <c r="Q625" t="s">
        <v>47</v>
      </c>
      <c r="R625" t="s">
        <v>44</v>
      </c>
      <c r="S625">
        <v>0</v>
      </c>
      <c r="W625" s="3">
        <v>4.1319444444444442E-3</v>
      </c>
      <c r="X625" t="s">
        <v>1609</v>
      </c>
      <c r="Y625">
        <v>12</v>
      </c>
      <c r="Z625">
        <v>0</v>
      </c>
      <c r="AA625" t="s">
        <v>49</v>
      </c>
      <c r="AB625">
        <v>0</v>
      </c>
      <c r="AC625" t="s">
        <v>49</v>
      </c>
      <c r="AD625">
        <v>0</v>
      </c>
      <c r="AE625">
        <v>-1</v>
      </c>
      <c r="AF625" t="s">
        <v>50</v>
      </c>
      <c r="AG625" t="s">
        <v>388</v>
      </c>
    </row>
    <row r="626" spans="1:33" x14ac:dyDescent="0.35">
      <c r="A626" s="1">
        <v>44894.811805555553</v>
      </c>
      <c r="B626">
        <v>875843</v>
      </c>
      <c r="C626" t="s">
        <v>1377</v>
      </c>
      <c r="D626" t="s">
        <v>59</v>
      </c>
      <c r="E626" s="2">
        <v>41134</v>
      </c>
      <c r="F626" t="str">
        <f>"9781118332856"</f>
        <v>9781118332856</v>
      </c>
      <c r="G626" t="str">
        <f>"9780470902936"</f>
        <v>9780470902936</v>
      </c>
      <c r="H626" t="s">
        <v>1378</v>
      </c>
      <c r="I626">
        <v>621.40219999999999</v>
      </c>
      <c r="J626" t="s">
        <v>1379</v>
      </c>
      <c r="K626" t="s">
        <v>44</v>
      </c>
      <c r="N626" t="s">
        <v>45</v>
      </c>
      <c r="O626" t="s">
        <v>46</v>
      </c>
      <c r="P626" t="s">
        <v>45</v>
      </c>
      <c r="Q626" t="s">
        <v>47</v>
      </c>
      <c r="R626" t="s">
        <v>44</v>
      </c>
      <c r="S626">
        <v>0</v>
      </c>
      <c r="W626" s="3">
        <v>1.0879629629629629E-3</v>
      </c>
      <c r="X626" t="s">
        <v>1610</v>
      </c>
      <c r="Y626">
        <v>9</v>
      </c>
      <c r="Z626">
        <v>0</v>
      </c>
      <c r="AA626" t="s">
        <v>49</v>
      </c>
      <c r="AB626">
        <v>0</v>
      </c>
      <c r="AC626" t="s">
        <v>49</v>
      </c>
      <c r="AD626">
        <v>0</v>
      </c>
      <c r="AE626">
        <v>10593121</v>
      </c>
      <c r="AF626" t="s">
        <v>50</v>
      </c>
      <c r="AG626" t="s">
        <v>388</v>
      </c>
    </row>
    <row r="627" spans="1:33" x14ac:dyDescent="0.35">
      <c r="A627" s="1">
        <v>44894.786111111112</v>
      </c>
      <c r="B627">
        <v>5896257</v>
      </c>
      <c r="C627" t="s">
        <v>479</v>
      </c>
      <c r="D627" t="s">
        <v>59</v>
      </c>
      <c r="E627" s="2">
        <v>44167</v>
      </c>
      <c r="F627" t="str">
        <f>"9781119551737"</f>
        <v>9781119551737</v>
      </c>
      <c r="G627" t="str">
        <f>"9781119551720"</f>
        <v>9781119551720</v>
      </c>
      <c r="H627" t="s">
        <v>261</v>
      </c>
      <c r="I627">
        <v>628.51</v>
      </c>
      <c r="J627" t="s">
        <v>480</v>
      </c>
      <c r="K627" t="s">
        <v>55</v>
      </c>
      <c r="N627" t="s">
        <v>45</v>
      </c>
      <c r="O627" t="s">
        <v>46</v>
      </c>
      <c r="P627" t="s">
        <v>45</v>
      </c>
      <c r="Q627" t="s">
        <v>47</v>
      </c>
      <c r="R627" t="s">
        <v>44</v>
      </c>
      <c r="S627">
        <v>0</v>
      </c>
      <c r="W627" s="3">
        <v>3.1249999999999997E-3</v>
      </c>
      <c r="X627" t="s">
        <v>1611</v>
      </c>
      <c r="Y627">
        <v>12</v>
      </c>
      <c r="Z627">
        <v>0</v>
      </c>
      <c r="AA627" t="s">
        <v>49</v>
      </c>
      <c r="AB627">
        <v>0</v>
      </c>
      <c r="AC627" t="s">
        <v>49</v>
      </c>
      <c r="AD627">
        <v>0</v>
      </c>
      <c r="AE627">
        <v>-1</v>
      </c>
      <c r="AF627" t="s">
        <v>50</v>
      </c>
      <c r="AG627" t="s">
        <v>1160</v>
      </c>
    </row>
    <row r="628" spans="1:33" x14ac:dyDescent="0.35">
      <c r="A628" s="1">
        <v>44894.758333333331</v>
      </c>
      <c r="B628">
        <v>1144296</v>
      </c>
      <c r="C628" t="s">
        <v>1612</v>
      </c>
      <c r="D628" t="s">
        <v>1613</v>
      </c>
      <c r="E628" s="2">
        <v>41262</v>
      </c>
      <c r="F628" t="str">
        <f>"9780810870864"</f>
        <v>9780810870864</v>
      </c>
      <c r="G628" t="str">
        <f>"9780810868588"</f>
        <v>9780810868588</v>
      </c>
      <c r="H628" t="s">
        <v>1046</v>
      </c>
      <c r="I628">
        <v>305.40956030000001</v>
      </c>
      <c r="J628" t="s">
        <v>1614</v>
      </c>
      <c r="K628" t="s">
        <v>44</v>
      </c>
      <c r="N628" t="s">
        <v>45</v>
      </c>
      <c r="O628" t="s">
        <v>46</v>
      </c>
      <c r="P628" t="s">
        <v>45</v>
      </c>
      <c r="Q628" t="s">
        <v>47</v>
      </c>
      <c r="R628" t="s">
        <v>44</v>
      </c>
      <c r="S628">
        <v>0</v>
      </c>
      <c r="W628" s="3">
        <v>1.2962962962962963E-3</v>
      </c>
      <c r="X628" t="s">
        <v>1615</v>
      </c>
      <c r="Y628">
        <v>12</v>
      </c>
      <c r="Z628">
        <v>0</v>
      </c>
      <c r="AA628" t="s">
        <v>49</v>
      </c>
      <c r="AB628">
        <v>0</v>
      </c>
      <c r="AC628" t="s">
        <v>49</v>
      </c>
      <c r="AD628">
        <v>0</v>
      </c>
      <c r="AE628">
        <v>10670401</v>
      </c>
      <c r="AF628" t="s">
        <v>50</v>
      </c>
      <c r="AG628" t="s">
        <v>388</v>
      </c>
    </row>
    <row r="629" spans="1:33" x14ac:dyDescent="0.35">
      <c r="A629" s="1">
        <v>44894.737500000003</v>
      </c>
      <c r="B629">
        <v>875843</v>
      </c>
      <c r="C629" t="s">
        <v>1377</v>
      </c>
      <c r="D629" t="s">
        <v>59</v>
      </c>
      <c r="E629" s="2">
        <v>41134</v>
      </c>
      <c r="F629" t="str">
        <f>"9781118332856"</f>
        <v>9781118332856</v>
      </c>
      <c r="G629" t="str">
        <f>"9780470902936"</f>
        <v>9780470902936</v>
      </c>
      <c r="H629" t="s">
        <v>1378</v>
      </c>
      <c r="I629">
        <v>621.40219999999999</v>
      </c>
      <c r="J629" t="s">
        <v>1379</v>
      </c>
      <c r="K629" t="s">
        <v>44</v>
      </c>
      <c r="N629" t="s">
        <v>45</v>
      </c>
      <c r="O629" t="s">
        <v>46</v>
      </c>
      <c r="P629" t="s">
        <v>45</v>
      </c>
      <c r="Q629" t="s">
        <v>47</v>
      </c>
      <c r="R629" t="s">
        <v>44</v>
      </c>
      <c r="S629">
        <v>0</v>
      </c>
      <c r="W629" s="3">
        <v>2.2743055555555555E-2</v>
      </c>
      <c r="X629" t="s">
        <v>1616</v>
      </c>
      <c r="Y629">
        <v>77</v>
      </c>
      <c r="Z629">
        <v>0</v>
      </c>
      <c r="AA629" t="s">
        <v>49</v>
      </c>
      <c r="AB629">
        <v>0</v>
      </c>
      <c r="AC629" t="s">
        <v>49</v>
      </c>
      <c r="AD629">
        <v>0</v>
      </c>
      <c r="AE629">
        <v>10593121</v>
      </c>
      <c r="AF629" t="s">
        <v>50</v>
      </c>
      <c r="AG629" t="s">
        <v>388</v>
      </c>
    </row>
    <row r="630" spans="1:33" x14ac:dyDescent="0.35">
      <c r="A630" s="1">
        <v>44894.706250000003</v>
      </c>
      <c r="B630">
        <v>5907102</v>
      </c>
      <c r="C630" t="s">
        <v>1617</v>
      </c>
      <c r="D630" t="s">
        <v>1618</v>
      </c>
      <c r="E630" s="2">
        <v>42247</v>
      </c>
      <c r="F630" t="str">
        <f>"9781463232726"</f>
        <v>9781463232726</v>
      </c>
      <c r="G630" t="str">
        <f>""</f>
        <v/>
      </c>
      <c r="H630" t="s">
        <v>162</v>
      </c>
      <c r="I630">
        <v>200.95690999999999</v>
      </c>
      <c r="J630" t="s">
        <v>1619</v>
      </c>
      <c r="K630" t="s">
        <v>44</v>
      </c>
      <c r="N630" t="s">
        <v>45</v>
      </c>
      <c r="O630" t="s">
        <v>46</v>
      </c>
      <c r="P630" t="s">
        <v>45</v>
      </c>
      <c r="Q630" t="s">
        <v>47</v>
      </c>
      <c r="R630" t="s">
        <v>44</v>
      </c>
      <c r="S630">
        <v>0</v>
      </c>
      <c r="W630" s="3">
        <v>2.7777777777777779E-3</v>
      </c>
      <c r="X630" t="s">
        <v>1620</v>
      </c>
      <c r="Y630">
        <v>25</v>
      </c>
      <c r="Z630">
        <v>1</v>
      </c>
      <c r="AA630" t="s">
        <v>1621</v>
      </c>
      <c r="AB630">
        <v>54</v>
      </c>
      <c r="AC630" t="s">
        <v>49</v>
      </c>
      <c r="AD630">
        <v>0</v>
      </c>
      <c r="AE630">
        <v>-1</v>
      </c>
      <c r="AF630" t="s">
        <v>50</v>
      </c>
      <c r="AG630" t="s">
        <v>388</v>
      </c>
    </row>
    <row r="631" spans="1:33" x14ac:dyDescent="0.35">
      <c r="A631" s="1">
        <v>44894.613194444442</v>
      </c>
      <c r="B631">
        <v>433379</v>
      </c>
      <c r="C631" t="s">
        <v>1277</v>
      </c>
      <c r="D631" t="s">
        <v>1278</v>
      </c>
      <c r="E631" s="2">
        <v>38723</v>
      </c>
      <c r="F631" t="str">
        <f>"9781599963990"</f>
        <v>9781599963990</v>
      </c>
      <c r="G631" t="str">
        <f>"9780874259247"</f>
        <v>9780874259247</v>
      </c>
      <c r="H631" t="s">
        <v>60</v>
      </c>
      <c r="I631" t="s">
        <v>1279</v>
      </c>
      <c r="J631" t="s">
        <v>1280</v>
      </c>
      <c r="K631" t="s">
        <v>44</v>
      </c>
      <c r="N631" t="s">
        <v>45</v>
      </c>
      <c r="O631" t="s">
        <v>46</v>
      </c>
      <c r="P631" t="s">
        <v>45</v>
      </c>
      <c r="Q631" t="s">
        <v>47</v>
      </c>
      <c r="R631" t="s">
        <v>44</v>
      </c>
      <c r="S631">
        <v>0</v>
      </c>
      <c r="W631" s="3">
        <v>1.9675925925925928E-3</v>
      </c>
      <c r="X631" t="s">
        <v>1622</v>
      </c>
      <c r="Y631">
        <v>4</v>
      </c>
      <c r="Z631">
        <v>0</v>
      </c>
      <c r="AA631" t="s">
        <v>49</v>
      </c>
      <c r="AB631">
        <v>0</v>
      </c>
      <c r="AC631" t="s">
        <v>49</v>
      </c>
      <c r="AD631">
        <v>0</v>
      </c>
      <c r="AE631">
        <v>10379766</v>
      </c>
      <c r="AF631" t="s">
        <v>50</v>
      </c>
      <c r="AG631" t="s">
        <v>388</v>
      </c>
    </row>
    <row r="632" spans="1:33" x14ac:dyDescent="0.35">
      <c r="A632" s="1">
        <v>44894.607638888891</v>
      </c>
      <c r="B632">
        <v>997259</v>
      </c>
      <c r="C632" t="s">
        <v>1436</v>
      </c>
      <c r="D632" t="s">
        <v>1282</v>
      </c>
      <c r="E632" s="2">
        <v>33815</v>
      </c>
      <c r="F632" t="str">
        <f>"9781452246260"</f>
        <v>9781452246260</v>
      </c>
      <c r="G632" t="str">
        <f>"9780803948051"</f>
        <v>9780803948051</v>
      </c>
      <c r="H632" t="s">
        <v>60</v>
      </c>
      <c r="I632">
        <v>658.40120000000002</v>
      </c>
      <c r="J632">
        <v>92017898</v>
      </c>
      <c r="K632" t="s">
        <v>44</v>
      </c>
      <c r="N632" t="s">
        <v>45</v>
      </c>
      <c r="O632" t="s">
        <v>46</v>
      </c>
      <c r="P632" t="s">
        <v>45</v>
      </c>
      <c r="Q632" t="s">
        <v>47</v>
      </c>
      <c r="R632" t="s">
        <v>44</v>
      </c>
      <c r="S632">
        <v>0</v>
      </c>
      <c r="W632" s="3">
        <v>1.0324074074074074E-2</v>
      </c>
      <c r="X632" t="s">
        <v>1623</v>
      </c>
      <c r="Y632">
        <v>15</v>
      </c>
      <c r="Z632">
        <v>0</v>
      </c>
      <c r="AA632" t="s">
        <v>49</v>
      </c>
      <c r="AB632">
        <v>0</v>
      </c>
      <c r="AC632" t="s">
        <v>49</v>
      </c>
      <c r="AD632">
        <v>0</v>
      </c>
      <c r="AE632">
        <v>10593945</v>
      </c>
      <c r="AF632" t="s">
        <v>50</v>
      </c>
      <c r="AG632" t="s">
        <v>388</v>
      </c>
    </row>
    <row r="633" spans="1:33" x14ac:dyDescent="0.35">
      <c r="A633" s="1">
        <v>44894.606944444444</v>
      </c>
      <c r="B633">
        <v>997259</v>
      </c>
      <c r="C633" t="s">
        <v>1436</v>
      </c>
      <c r="D633" t="s">
        <v>1282</v>
      </c>
      <c r="E633" s="2">
        <v>33815</v>
      </c>
      <c r="F633" t="str">
        <f>"9781452246260"</f>
        <v>9781452246260</v>
      </c>
      <c r="G633" t="str">
        <f>"9780803948051"</f>
        <v>9780803948051</v>
      </c>
      <c r="H633" t="s">
        <v>60</v>
      </c>
      <c r="I633">
        <v>658.40120000000002</v>
      </c>
      <c r="J633">
        <v>92017898</v>
      </c>
      <c r="K633" t="s">
        <v>44</v>
      </c>
      <c r="N633" t="s">
        <v>45</v>
      </c>
      <c r="O633" t="s">
        <v>46</v>
      </c>
      <c r="P633" t="s">
        <v>45</v>
      </c>
      <c r="Q633" t="s">
        <v>47</v>
      </c>
      <c r="R633" t="s">
        <v>44</v>
      </c>
      <c r="S633">
        <v>0</v>
      </c>
      <c r="W633" s="3">
        <v>0</v>
      </c>
      <c r="X633" t="s">
        <v>49</v>
      </c>
      <c r="Y633">
        <v>0</v>
      </c>
      <c r="Z633">
        <v>0</v>
      </c>
      <c r="AA633" t="s">
        <v>49</v>
      </c>
      <c r="AB633">
        <v>0</v>
      </c>
      <c r="AC633" t="s">
        <v>49</v>
      </c>
      <c r="AD633">
        <v>0</v>
      </c>
      <c r="AE633">
        <v>10593945</v>
      </c>
      <c r="AF633" t="s">
        <v>50</v>
      </c>
      <c r="AG633" t="s">
        <v>388</v>
      </c>
    </row>
    <row r="634" spans="1:33" x14ac:dyDescent="0.35">
      <c r="A634" s="1">
        <v>44894.606944444444</v>
      </c>
      <c r="B634">
        <v>5772949</v>
      </c>
      <c r="C634" t="s">
        <v>1594</v>
      </c>
      <c r="D634" t="s">
        <v>76</v>
      </c>
      <c r="E634" s="2">
        <v>43615</v>
      </c>
      <c r="F634" t="str">
        <f>"9781000000795"</f>
        <v>9781000000795</v>
      </c>
      <c r="G634" t="str">
        <f>"9781138387799"</f>
        <v>9781138387799</v>
      </c>
      <c r="H634" t="s">
        <v>90</v>
      </c>
      <c r="I634">
        <v>370</v>
      </c>
      <c r="J634" t="s">
        <v>1595</v>
      </c>
      <c r="K634" t="s">
        <v>55</v>
      </c>
      <c r="N634" t="s">
        <v>293</v>
      </c>
      <c r="P634" t="s">
        <v>80</v>
      </c>
      <c r="Q634" t="s">
        <v>47</v>
      </c>
      <c r="R634" t="s">
        <v>44</v>
      </c>
      <c r="S634">
        <v>0</v>
      </c>
      <c r="W634" s="3">
        <v>1.1921296296296296E-3</v>
      </c>
      <c r="X634" t="s">
        <v>1624</v>
      </c>
      <c r="Y634">
        <v>12</v>
      </c>
      <c r="Z634">
        <v>0</v>
      </c>
      <c r="AA634" t="s">
        <v>49</v>
      </c>
      <c r="AB634">
        <v>0</v>
      </c>
      <c r="AC634" t="s">
        <v>49</v>
      </c>
      <c r="AD634">
        <v>0</v>
      </c>
      <c r="AE634">
        <v>-1</v>
      </c>
      <c r="AF634" t="s">
        <v>50</v>
      </c>
      <c r="AG634" t="s">
        <v>1500</v>
      </c>
    </row>
    <row r="635" spans="1:33" x14ac:dyDescent="0.35">
      <c r="A635" s="1">
        <v>44894.586111111108</v>
      </c>
      <c r="B635">
        <v>647380</v>
      </c>
      <c r="C635" t="s">
        <v>1625</v>
      </c>
      <c r="D635" t="s">
        <v>502</v>
      </c>
      <c r="E635" s="2">
        <v>40493</v>
      </c>
      <c r="F635" t="str">
        <f>"9780511988714"</f>
        <v>9780511988714</v>
      </c>
      <c r="G635" t="str">
        <f>"9780521894883"</f>
        <v>9780521894883</v>
      </c>
      <c r="H635" t="s">
        <v>1626</v>
      </c>
      <c r="I635">
        <v>551.1</v>
      </c>
      <c r="J635" t="s">
        <v>1627</v>
      </c>
      <c r="K635" t="s">
        <v>44</v>
      </c>
      <c r="N635" t="s">
        <v>45</v>
      </c>
      <c r="O635" t="s">
        <v>46</v>
      </c>
      <c r="P635" t="s">
        <v>45</v>
      </c>
      <c r="Q635" t="s">
        <v>47</v>
      </c>
      <c r="R635" t="s">
        <v>44</v>
      </c>
      <c r="S635">
        <v>0</v>
      </c>
      <c r="W635" s="3">
        <v>3.5648148148148154E-3</v>
      </c>
      <c r="X635" t="s">
        <v>1628</v>
      </c>
      <c r="Y635">
        <v>18</v>
      </c>
      <c r="Z635">
        <v>0</v>
      </c>
      <c r="AA635" t="s">
        <v>49</v>
      </c>
      <c r="AB635">
        <v>0</v>
      </c>
      <c r="AC635" t="s">
        <v>49</v>
      </c>
      <c r="AD635">
        <v>0</v>
      </c>
      <c r="AE635">
        <v>10442839</v>
      </c>
      <c r="AF635" t="s">
        <v>50</v>
      </c>
      <c r="AG635" t="s">
        <v>1451</v>
      </c>
    </row>
    <row r="636" spans="1:33" x14ac:dyDescent="0.35">
      <c r="A636" s="1">
        <v>44894.553472222222</v>
      </c>
      <c r="B636">
        <v>7104670</v>
      </c>
      <c r="C636" t="s">
        <v>638</v>
      </c>
      <c r="D636" t="s">
        <v>59</v>
      </c>
      <c r="E636" s="2">
        <v>41575</v>
      </c>
      <c r="F636" t="str">
        <f>"9783527670802"</f>
        <v>9783527670802</v>
      </c>
      <c r="G636" t="str">
        <f>"9783527334636"</f>
        <v>9783527334636</v>
      </c>
      <c r="H636" t="s">
        <v>639</v>
      </c>
      <c r="K636" t="s">
        <v>44</v>
      </c>
      <c r="N636" t="s">
        <v>45</v>
      </c>
      <c r="O636" t="s">
        <v>46</v>
      </c>
      <c r="P636" t="s">
        <v>45</v>
      </c>
      <c r="Q636" t="s">
        <v>47</v>
      </c>
      <c r="R636" t="s">
        <v>44</v>
      </c>
      <c r="S636">
        <v>1</v>
      </c>
      <c r="W636" s="3">
        <v>1.9027777777777779E-2</v>
      </c>
      <c r="X636" t="s">
        <v>1629</v>
      </c>
      <c r="Y636">
        <v>32</v>
      </c>
      <c r="Z636">
        <v>3</v>
      </c>
      <c r="AA636" t="s">
        <v>1630</v>
      </c>
      <c r="AB636">
        <v>40</v>
      </c>
      <c r="AC636" t="s">
        <v>49</v>
      </c>
      <c r="AD636">
        <v>0</v>
      </c>
      <c r="AE636">
        <v>-1</v>
      </c>
      <c r="AF636" t="s">
        <v>63</v>
      </c>
      <c r="AG636" t="s">
        <v>388</v>
      </c>
    </row>
    <row r="637" spans="1:33" x14ac:dyDescent="0.35">
      <c r="A637" s="1">
        <v>44894.552083333336</v>
      </c>
      <c r="B637">
        <v>5560173</v>
      </c>
      <c r="C637" t="s">
        <v>656</v>
      </c>
      <c r="D637" t="s">
        <v>657</v>
      </c>
      <c r="E637" s="2">
        <v>43391</v>
      </c>
      <c r="F637" t="str">
        <f>"9781476632681"</f>
        <v>9781476632681</v>
      </c>
      <c r="G637" t="str">
        <f>"9781476673851"</f>
        <v>9781476673851</v>
      </c>
      <c r="H637" t="s">
        <v>658</v>
      </c>
      <c r="I637">
        <v>739.27820750000001</v>
      </c>
      <c r="J637" t="s">
        <v>659</v>
      </c>
      <c r="K637" t="s">
        <v>44</v>
      </c>
      <c r="N637" t="s">
        <v>45</v>
      </c>
      <c r="O637" t="s">
        <v>46</v>
      </c>
      <c r="P637" t="s">
        <v>45</v>
      </c>
      <c r="Q637" t="s">
        <v>47</v>
      </c>
      <c r="R637" t="s">
        <v>44</v>
      </c>
      <c r="S637">
        <v>0</v>
      </c>
      <c r="W637" s="3">
        <v>7.106481481481481E-3</v>
      </c>
      <c r="X637" t="s">
        <v>1631</v>
      </c>
      <c r="Y637">
        <v>8</v>
      </c>
      <c r="Z637">
        <v>0</v>
      </c>
      <c r="AA637" t="s">
        <v>49</v>
      </c>
      <c r="AB637">
        <v>0</v>
      </c>
      <c r="AC637" t="s">
        <v>49</v>
      </c>
      <c r="AD637">
        <v>0</v>
      </c>
      <c r="AE637">
        <v>11625847</v>
      </c>
      <c r="AF637" t="s">
        <v>50</v>
      </c>
      <c r="AG637" t="s">
        <v>388</v>
      </c>
    </row>
    <row r="638" spans="1:33" x14ac:dyDescent="0.35">
      <c r="A638" s="1">
        <v>44894.55</v>
      </c>
      <c r="B638">
        <v>7104670</v>
      </c>
      <c r="C638" t="s">
        <v>638</v>
      </c>
      <c r="D638" t="s">
        <v>59</v>
      </c>
      <c r="E638" s="2">
        <v>41575</v>
      </c>
      <c r="F638" t="str">
        <f>"9783527670802"</f>
        <v>9783527670802</v>
      </c>
      <c r="G638" t="str">
        <f>"9783527334636"</f>
        <v>9783527334636</v>
      </c>
      <c r="H638" t="s">
        <v>639</v>
      </c>
      <c r="K638" t="s">
        <v>44</v>
      </c>
      <c r="N638" t="s">
        <v>45</v>
      </c>
      <c r="O638" t="s">
        <v>46</v>
      </c>
      <c r="P638" t="s">
        <v>45</v>
      </c>
      <c r="Q638" t="s">
        <v>47</v>
      </c>
      <c r="R638" t="s">
        <v>44</v>
      </c>
      <c r="S638">
        <v>0</v>
      </c>
      <c r="W638" s="3">
        <v>3.7037037037037034E-3</v>
      </c>
      <c r="X638" t="s">
        <v>1632</v>
      </c>
      <c r="Y638">
        <v>19</v>
      </c>
      <c r="Z638">
        <v>0</v>
      </c>
      <c r="AA638" t="s">
        <v>49</v>
      </c>
      <c r="AB638">
        <v>0</v>
      </c>
      <c r="AC638" t="s">
        <v>49</v>
      </c>
      <c r="AD638">
        <v>0</v>
      </c>
      <c r="AE638">
        <v>-1</v>
      </c>
      <c r="AF638" t="s">
        <v>63</v>
      </c>
      <c r="AG638" t="s">
        <v>388</v>
      </c>
    </row>
    <row r="639" spans="1:33" x14ac:dyDescent="0.35">
      <c r="A639" s="1">
        <v>44894.445833333331</v>
      </c>
      <c r="B639">
        <v>3318877</v>
      </c>
      <c r="C639" t="s">
        <v>1389</v>
      </c>
      <c r="D639" t="s">
        <v>1390</v>
      </c>
      <c r="E639" s="2">
        <v>42109</v>
      </c>
      <c r="F639" t="str">
        <f>"9781421416274"</f>
        <v>9781421416274</v>
      </c>
      <c r="G639" t="str">
        <f>"9781421416250"</f>
        <v>9781421416250</v>
      </c>
      <c r="H639" t="s">
        <v>90</v>
      </c>
      <c r="I639" t="s">
        <v>1391</v>
      </c>
      <c r="K639" t="s">
        <v>44</v>
      </c>
      <c r="N639" t="s">
        <v>45</v>
      </c>
      <c r="O639" t="s">
        <v>46</v>
      </c>
      <c r="P639" t="s">
        <v>45</v>
      </c>
      <c r="Q639" t="s">
        <v>47</v>
      </c>
      <c r="R639" t="s">
        <v>44</v>
      </c>
      <c r="S639">
        <v>0</v>
      </c>
      <c r="W639" s="3">
        <v>5.7870370370370366E-5</v>
      </c>
      <c r="X639" t="s">
        <v>121</v>
      </c>
      <c r="Y639">
        <v>1</v>
      </c>
      <c r="Z639">
        <v>0</v>
      </c>
      <c r="AA639" t="s">
        <v>49</v>
      </c>
      <c r="AB639">
        <v>0</v>
      </c>
      <c r="AC639" t="s">
        <v>49</v>
      </c>
      <c r="AD639">
        <v>0</v>
      </c>
      <c r="AE639">
        <v>11030149</v>
      </c>
      <c r="AF639" t="s">
        <v>50</v>
      </c>
      <c r="AG639" t="s">
        <v>388</v>
      </c>
    </row>
    <row r="640" spans="1:33" x14ac:dyDescent="0.35">
      <c r="A640" s="1">
        <v>44894.444444444445</v>
      </c>
      <c r="B640">
        <v>6380056</v>
      </c>
      <c r="C640" t="s">
        <v>1633</v>
      </c>
      <c r="D640" t="s">
        <v>1634</v>
      </c>
      <c r="E640" s="2">
        <v>43850</v>
      </c>
      <c r="F640" t="str">
        <f>"9781510634343"</f>
        <v>9781510634343</v>
      </c>
      <c r="G640" t="str">
        <f>"9781510634336"</f>
        <v>9781510634336</v>
      </c>
      <c r="H640" t="s">
        <v>1635</v>
      </c>
      <c r="I640">
        <v>6.8</v>
      </c>
      <c r="J640" t="s">
        <v>1636</v>
      </c>
      <c r="K640" t="s">
        <v>55</v>
      </c>
      <c r="Q640" t="s">
        <v>47</v>
      </c>
      <c r="R640" t="s">
        <v>44</v>
      </c>
      <c r="S640">
        <v>0</v>
      </c>
      <c r="W640" s="3">
        <v>1.6550925925925926E-3</v>
      </c>
      <c r="X640" t="s">
        <v>1637</v>
      </c>
      <c r="Y640">
        <v>8</v>
      </c>
      <c r="Z640">
        <v>0</v>
      </c>
      <c r="AA640" t="s">
        <v>49</v>
      </c>
      <c r="AB640">
        <v>0</v>
      </c>
      <c r="AC640" t="s">
        <v>49</v>
      </c>
      <c r="AD640">
        <v>0</v>
      </c>
      <c r="AE640">
        <v>-1</v>
      </c>
      <c r="AF640" t="s">
        <v>50</v>
      </c>
      <c r="AG640" t="s">
        <v>388</v>
      </c>
    </row>
    <row r="641" spans="1:33" x14ac:dyDescent="0.35">
      <c r="A641" s="1">
        <v>44894.431944444441</v>
      </c>
      <c r="B641">
        <v>367052</v>
      </c>
      <c r="C641" t="s">
        <v>1489</v>
      </c>
      <c r="D641" t="s">
        <v>502</v>
      </c>
      <c r="E641" s="2">
        <v>39737</v>
      </c>
      <c r="F641" t="str">
        <f>"9780511436314"</f>
        <v>9780511436314</v>
      </c>
      <c r="G641" t="str">
        <f>"9780521830447"</f>
        <v>9780521830447</v>
      </c>
      <c r="H641" t="s">
        <v>712</v>
      </c>
      <c r="I641" t="s">
        <v>1490</v>
      </c>
      <c r="J641" t="s">
        <v>1491</v>
      </c>
      <c r="K641" t="s">
        <v>44</v>
      </c>
      <c r="N641" t="s">
        <v>45</v>
      </c>
      <c r="O641" t="s">
        <v>46</v>
      </c>
      <c r="P641" t="s">
        <v>45</v>
      </c>
      <c r="Q641" t="s">
        <v>47</v>
      </c>
      <c r="R641" t="s">
        <v>44</v>
      </c>
      <c r="S641">
        <v>0</v>
      </c>
      <c r="W641" s="3">
        <v>2.1412037037037038E-3</v>
      </c>
      <c r="X641" t="s">
        <v>1638</v>
      </c>
      <c r="Y641">
        <v>12</v>
      </c>
      <c r="Z641">
        <v>0</v>
      </c>
      <c r="AA641" t="s">
        <v>49</v>
      </c>
      <c r="AB641">
        <v>0</v>
      </c>
      <c r="AC641" t="s">
        <v>49</v>
      </c>
      <c r="AD641">
        <v>0</v>
      </c>
      <c r="AE641">
        <v>10257525</v>
      </c>
      <c r="AF641" t="s">
        <v>50</v>
      </c>
      <c r="AG641" t="s">
        <v>1476</v>
      </c>
    </row>
    <row r="642" spans="1:33" x14ac:dyDescent="0.35">
      <c r="A642" s="1">
        <v>44894.431944444441</v>
      </c>
      <c r="B642">
        <v>5662521</v>
      </c>
      <c r="C642" t="s">
        <v>1639</v>
      </c>
      <c r="D642" t="s">
        <v>347</v>
      </c>
      <c r="E642" s="2">
        <v>43522</v>
      </c>
      <c r="F642" t="str">
        <f>"9780300240894"</f>
        <v>9780300240894</v>
      </c>
      <c r="G642" t="str">
        <f>"9780300230420"</f>
        <v>9780300230420</v>
      </c>
      <c r="H642" t="s">
        <v>1046</v>
      </c>
      <c r="I642">
        <v>305.48696999999999</v>
      </c>
      <c r="J642" t="s">
        <v>1640</v>
      </c>
      <c r="K642" t="s">
        <v>55</v>
      </c>
      <c r="Q642" t="s">
        <v>47</v>
      </c>
      <c r="R642" t="s">
        <v>44</v>
      </c>
      <c r="S642">
        <v>0</v>
      </c>
      <c r="W642" s="3">
        <v>3.6805555555555554E-3</v>
      </c>
      <c r="X642" t="s">
        <v>1641</v>
      </c>
      <c r="Y642">
        <v>12</v>
      </c>
      <c r="Z642">
        <v>0</v>
      </c>
      <c r="AA642" t="s">
        <v>49</v>
      </c>
      <c r="AB642">
        <v>0</v>
      </c>
      <c r="AC642" t="s">
        <v>49</v>
      </c>
      <c r="AD642">
        <v>0</v>
      </c>
      <c r="AE642">
        <v>-1</v>
      </c>
      <c r="AF642" t="s">
        <v>50</v>
      </c>
      <c r="AG642" t="s">
        <v>1476</v>
      </c>
    </row>
    <row r="643" spans="1:33" x14ac:dyDescent="0.35">
      <c r="A643" s="1">
        <v>44894.418055555558</v>
      </c>
      <c r="B643">
        <v>6526734</v>
      </c>
      <c r="C643" t="s">
        <v>1485</v>
      </c>
      <c r="D643" t="s">
        <v>1486</v>
      </c>
      <c r="E643" s="2">
        <v>41479</v>
      </c>
      <c r="F643" t="str">
        <f>"9781626370586"</f>
        <v>9781626370586</v>
      </c>
      <c r="G643" t="str">
        <f>"9781588269096"</f>
        <v>9781588269096</v>
      </c>
      <c r="H643" t="s">
        <v>1046</v>
      </c>
      <c r="I643">
        <v>305.42095599999999</v>
      </c>
      <c r="J643" t="s">
        <v>1487</v>
      </c>
      <c r="K643" t="s">
        <v>44</v>
      </c>
      <c r="N643" t="s">
        <v>45</v>
      </c>
      <c r="O643" t="s">
        <v>46</v>
      </c>
      <c r="P643" t="s">
        <v>45</v>
      </c>
      <c r="Q643" t="s">
        <v>47</v>
      </c>
      <c r="R643" t="s">
        <v>44</v>
      </c>
      <c r="S643">
        <v>0</v>
      </c>
      <c r="W643" s="3">
        <v>8.1481481481481474E-3</v>
      </c>
      <c r="X643" t="s">
        <v>1642</v>
      </c>
      <c r="Y643">
        <v>29</v>
      </c>
      <c r="Z643">
        <v>0</v>
      </c>
      <c r="AA643" t="s">
        <v>49</v>
      </c>
      <c r="AB643">
        <v>0</v>
      </c>
      <c r="AC643" t="s">
        <v>1643</v>
      </c>
      <c r="AD643">
        <v>1</v>
      </c>
      <c r="AE643">
        <v>-1</v>
      </c>
      <c r="AF643" t="s">
        <v>50</v>
      </c>
      <c r="AG643" t="s">
        <v>1476</v>
      </c>
    </row>
    <row r="644" spans="1:33" x14ac:dyDescent="0.35">
      <c r="A644" s="1">
        <v>44894.398611111108</v>
      </c>
      <c r="B644">
        <v>5772949</v>
      </c>
      <c r="C644" t="s">
        <v>1594</v>
      </c>
      <c r="D644" t="s">
        <v>76</v>
      </c>
      <c r="E644" s="2">
        <v>43615</v>
      </c>
      <c r="F644" t="str">
        <f>"9781000000795"</f>
        <v>9781000000795</v>
      </c>
      <c r="G644" t="str">
        <f>"9781138387799"</f>
        <v>9781138387799</v>
      </c>
      <c r="H644" t="s">
        <v>90</v>
      </c>
      <c r="I644">
        <v>370</v>
      </c>
      <c r="J644" t="s">
        <v>1595</v>
      </c>
      <c r="K644" t="s">
        <v>55</v>
      </c>
      <c r="N644" t="s">
        <v>293</v>
      </c>
      <c r="P644" t="s">
        <v>80</v>
      </c>
      <c r="Q644" t="s">
        <v>47</v>
      </c>
      <c r="R644" t="s">
        <v>44</v>
      </c>
      <c r="S644">
        <v>0</v>
      </c>
      <c r="W644" s="3">
        <v>1.2152777777777778E-3</v>
      </c>
      <c r="X644" t="s">
        <v>1644</v>
      </c>
      <c r="Y644">
        <v>11</v>
      </c>
      <c r="Z644">
        <v>0</v>
      </c>
      <c r="AA644" t="s">
        <v>49</v>
      </c>
      <c r="AB644">
        <v>0</v>
      </c>
      <c r="AC644" t="s">
        <v>1645</v>
      </c>
      <c r="AD644">
        <v>1</v>
      </c>
      <c r="AE644">
        <v>-1</v>
      </c>
      <c r="AF644" t="s">
        <v>50</v>
      </c>
      <c r="AG644" t="s">
        <v>1500</v>
      </c>
    </row>
    <row r="645" spans="1:33" x14ac:dyDescent="0.35">
      <c r="A645" s="1">
        <v>44894.370138888888</v>
      </c>
      <c r="B645">
        <v>367052</v>
      </c>
      <c r="C645" t="s">
        <v>1489</v>
      </c>
      <c r="D645" t="s">
        <v>502</v>
      </c>
      <c r="E645" s="2">
        <v>39737</v>
      </c>
      <c r="F645" t="str">
        <f>"9780511436314"</f>
        <v>9780511436314</v>
      </c>
      <c r="G645" t="str">
        <f>"9780521830447"</f>
        <v>9780521830447</v>
      </c>
      <c r="H645" t="s">
        <v>712</v>
      </c>
      <c r="I645" t="s">
        <v>1490</v>
      </c>
      <c r="J645" t="s">
        <v>1491</v>
      </c>
      <c r="K645" t="s">
        <v>44</v>
      </c>
      <c r="N645" t="s">
        <v>45</v>
      </c>
      <c r="O645" t="s">
        <v>46</v>
      </c>
      <c r="P645" t="s">
        <v>45</v>
      </c>
      <c r="Q645" t="s">
        <v>47</v>
      </c>
      <c r="R645" t="s">
        <v>44</v>
      </c>
      <c r="S645">
        <v>0</v>
      </c>
      <c r="W645" s="3">
        <v>5.7870370370370366E-5</v>
      </c>
      <c r="X645" t="s">
        <v>196</v>
      </c>
      <c r="Y645">
        <v>2</v>
      </c>
      <c r="Z645">
        <v>0</v>
      </c>
      <c r="AA645" t="s">
        <v>49</v>
      </c>
      <c r="AB645">
        <v>0</v>
      </c>
      <c r="AC645" t="s">
        <v>49</v>
      </c>
      <c r="AD645">
        <v>0</v>
      </c>
      <c r="AE645">
        <v>10257525</v>
      </c>
      <c r="AF645" t="s">
        <v>50</v>
      </c>
      <c r="AG645" t="s">
        <v>1476</v>
      </c>
    </row>
    <row r="646" spans="1:33" x14ac:dyDescent="0.35">
      <c r="A646" s="1">
        <v>44894.351388888892</v>
      </c>
      <c r="B646">
        <v>1780931</v>
      </c>
      <c r="C646" t="s">
        <v>1481</v>
      </c>
      <c r="D646" t="s">
        <v>1482</v>
      </c>
      <c r="E646" s="2">
        <v>41835</v>
      </c>
      <c r="F646" t="str">
        <f>"9781558618565"</f>
        <v>9781558618565</v>
      </c>
      <c r="G646" t="str">
        <f>"9781558618558"</f>
        <v>9781558618558</v>
      </c>
      <c r="H646" t="s">
        <v>1046</v>
      </c>
      <c r="I646">
        <v>305.48697091759198</v>
      </c>
      <c r="J646" t="s">
        <v>1483</v>
      </c>
      <c r="K646" t="s">
        <v>44</v>
      </c>
      <c r="N646" t="s">
        <v>45</v>
      </c>
      <c r="O646" t="s">
        <v>46</v>
      </c>
      <c r="P646" t="s">
        <v>45</v>
      </c>
      <c r="Q646" t="s">
        <v>47</v>
      </c>
      <c r="R646" t="s">
        <v>44</v>
      </c>
      <c r="S646">
        <v>0</v>
      </c>
      <c r="W646" s="3">
        <v>2.3993055555555556E-2</v>
      </c>
      <c r="X646" t="s">
        <v>1646</v>
      </c>
      <c r="Y646">
        <v>8</v>
      </c>
      <c r="Z646">
        <v>0</v>
      </c>
      <c r="AA646" t="s">
        <v>49</v>
      </c>
      <c r="AB646">
        <v>0</v>
      </c>
      <c r="AC646" t="s">
        <v>1516</v>
      </c>
      <c r="AD646">
        <v>1</v>
      </c>
      <c r="AE646">
        <v>10993187</v>
      </c>
      <c r="AF646" t="s">
        <v>50</v>
      </c>
      <c r="AG646" t="s">
        <v>1476</v>
      </c>
    </row>
    <row r="647" spans="1:33" x14ac:dyDescent="0.35">
      <c r="A647" s="1">
        <v>44894.351388888892</v>
      </c>
      <c r="B647">
        <v>4737322</v>
      </c>
      <c r="C647" t="s">
        <v>1477</v>
      </c>
      <c r="D647" t="s">
        <v>507</v>
      </c>
      <c r="E647" s="2">
        <v>42247</v>
      </c>
      <c r="F647" t="str">
        <f>"9780748632244"</f>
        <v>9780748632244</v>
      </c>
      <c r="G647" t="str">
        <f>"9780748632763"</f>
        <v>9780748632763</v>
      </c>
      <c r="H647" t="s">
        <v>667</v>
      </c>
      <c r="I647" t="s">
        <v>1478</v>
      </c>
      <c r="J647" t="s">
        <v>1479</v>
      </c>
      <c r="K647" t="s">
        <v>44</v>
      </c>
      <c r="N647" t="s">
        <v>45</v>
      </c>
      <c r="O647" t="s">
        <v>46</v>
      </c>
      <c r="P647" t="s">
        <v>45</v>
      </c>
      <c r="Q647" t="s">
        <v>47</v>
      </c>
      <c r="R647" t="s">
        <v>44</v>
      </c>
      <c r="S647">
        <v>0</v>
      </c>
      <c r="W647" s="3">
        <v>1.6018518518518519E-2</v>
      </c>
      <c r="X647" t="s">
        <v>1647</v>
      </c>
      <c r="Y647">
        <v>21</v>
      </c>
      <c r="Z647">
        <v>0</v>
      </c>
      <c r="AA647" t="s">
        <v>49</v>
      </c>
      <c r="AB647">
        <v>0</v>
      </c>
      <c r="AC647" t="s">
        <v>1648</v>
      </c>
      <c r="AD647">
        <v>1</v>
      </c>
      <c r="AE647">
        <v>-1</v>
      </c>
      <c r="AF647" t="s">
        <v>50</v>
      </c>
      <c r="AG647" t="s">
        <v>1476</v>
      </c>
    </row>
    <row r="648" spans="1:33" x14ac:dyDescent="0.35">
      <c r="A648" s="1">
        <v>44894.3125</v>
      </c>
      <c r="B648">
        <v>6853863</v>
      </c>
      <c r="C648" t="s">
        <v>1649</v>
      </c>
      <c r="D648" t="s">
        <v>473</v>
      </c>
      <c r="E648" s="2">
        <v>43545</v>
      </c>
      <c r="F648" t="str">
        <f>"9789004394353"</f>
        <v>9789004394353</v>
      </c>
      <c r="G648" t="str">
        <f>"9789004302211"</f>
        <v>9789004302211</v>
      </c>
      <c r="H648" t="s">
        <v>667</v>
      </c>
      <c r="K648" t="s">
        <v>44</v>
      </c>
      <c r="N648" t="s">
        <v>45</v>
      </c>
      <c r="O648" t="s">
        <v>46</v>
      </c>
      <c r="P648" t="s">
        <v>45</v>
      </c>
      <c r="Q648" t="s">
        <v>47</v>
      </c>
      <c r="R648" t="s">
        <v>44</v>
      </c>
      <c r="S648">
        <v>0</v>
      </c>
      <c r="W648" s="3">
        <v>3.3344907407407406E-2</v>
      </c>
      <c r="X648" t="s">
        <v>1650</v>
      </c>
      <c r="Y648">
        <v>70</v>
      </c>
      <c r="Z648">
        <v>0</v>
      </c>
      <c r="AA648" t="s">
        <v>49</v>
      </c>
      <c r="AB648">
        <v>0</v>
      </c>
      <c r="AC648" t="s">
        <v>49</v>
      </c>
      <c r="AD648">
        <v>0</v>
      </c>
      <c r="AE648">
        <v>-1</v>
      </c>
      <c r="AF648" t="s">
        <v>50</v>
      </c>
      <c r="AG648" t="s">
        <v>670</v>
      </c>
    </row>
    <row r="649" spans="1:33" x14ac:dyDescent="0.35">
      <c r="A649" s="1">
        <v>44894.277083333334</v>
      </c>
      <c r="B649">
        <v>1579351</v>
      </c>
      <c r="C649" t="s">
        <v>1651</v>
      </c>
      <c r="D649" t="s">
        <v>59</v>
      </c>
      <c r="E649" s="2">
        <v>41660</v>
      </c>
      <c r="F649" t="str">
        <f>"9781118573136"</f>
        <v>9781118573136</v>
      </c>
      <c r="G649" t="str">
        <f>"9781118567234"</f>
        <v>9781118567234</v>
      </c>
      <c r="H649" t="s">
        <v>60</v>
      </c>
      <c r="I649" t="s">
        <v>1652</v>
      </c>
      <c r="J649" t="s">
        <v>1653</v>
      </c>
      <c r="K649" t="s">
        <v>44</v>
      </c>
      <c r="N649" t="s">
        <v>45</v>
      </c>
      <c r="O649" t="s">
        <v>46</v>
      </c>
      <c r="P649" t="s">
        <v>45</v>
      </c>
      <c r="Q649" t="s">
        <v>47</v>
      </c>
      <c r="R649" t="s">
        <v>44</v>
      </c>
      <c r="S649">
        <v>0</v>
      </c>
      <c r="W649" s="3">
        <v>1.1574074074074073E-5</v>
      </c>
      <c r="X649" t="s">
        <v>49</v>
      </c>
      <c r="Y649">
        <v>0</v>
      </c>
      <c r="Z649">
        <v>1</v>
      </c>
      <c r="AA649" t="s">
        <v>1654</v>
      </c>
      <c r="AB649">
        <v>52</v>
      </c>
      <c r="AC649" t="s">
        <v>49</v>
      </c>
      <c r="AD649">
        <v>0</v>
      </c>
      <c r="AE649">
        <v>10816615</v>
      </c>
      <c r="AF649" t="s">
        <v>50</v>
      </c>
      <c r="AG649" t="s">
        <v>1655</v>
      </c>
    </row>
    <row r="650" spans="1:33" x14ac:dyDescent="0.35">
      <c r="A650" s="1">
        <v>44894.109722222223</v>
      </c>
      <c r="B650">
        <v>5733868</v>
      </c>
      <c r="C650" t="s">
        <v>1656</v>
      </c>
      <c r="D650" t="s">
        <v>1657</v>
      </c>
      <c r="E650" s="2">
        <v>43311</v>
      </c>
      <c r="F650" t="str">
        <f>"9781502639370"</f>
        <v>9781502639370</v>
      </c>
      <c r="G650" t="str">
        <f>"9781502639356"</f>
        <v>9781502639356</v>
      </c>
      <c r="H650" t="s">
        <v>1658</v>
      </c>
      <c r="K650" t="s">
        <v>44</v>
      </c>
      <c r="N650" t="s">
        <v>45</v>
      </c>
      <c r="O650" t="s">
        <v>46</v>
      </c>
      <c r="P650" t="s">
        <v>45</v>
      </c>
      <c r="Q650" t="s">
        <v>47</v>
      </c>
      <c r="R650" t="s">
        <v>44</v>
      </c>
      <c r="S650">
        <v>0</v>
      </c>
      <c r="W650" s="3">
        <v>6.122685185185185E-3</v>
      </c>
      <c r="X650" t="s">
        <v>1659</v>
      </c>
      <c r="Y650">
        <v>10</v>
      </c>
      <c r="Z650">
        <v>0</v>
      </c>
      <c r="AA650" t="s">
        <v>49</v>
      </c>
      <c r="AB650">
        <v>0</v>
      </c>
      <c r="AC650" t="s">
        <v>49</v>
      </c>
      <c r="AD650">
        <v>0</v>
      </c>
      <c r="AE650">
        <v>-1</v>
      </c>
      <c r="AF650" t="s">
        <v>50</v>
      </c>
      <c r="AG650" t="s">
        <v>670</v>
      </c>
    </row>
    <row r="651" spans="1:33" x14ac:dyDescent="0.35">
      <c r="A651" s="1">
        <v>44894.109722222223</v>
      </c>
      <c r="B651">
        <v>5721194</v>
      </c>
      <c r="C651" t="s">
        <v>1568</v>
      </c>
      <c r="D651" t="s">
        <v>1569</v>
      </c>
      <c r="E651" s="2">
        <v>43330</v>
      </c>
      <c r="F651" t="str">
        <f>"9782759822324"</f>
        <v>9782759822324</v>
      </c>
      <c r="G651" t="str">
        <f>"9782759822317"</f>
        <v>9782759822317</v>
      </c>
      <c r="H651" t="s">
        <v>1570</v>
      </c>
      <c r="K651" t="s">
        <v>55</v>
      </c>
      <c r="Q651" t="s">
        <v>47</v>
      </c>
      <c r="R651" t="s">
        <v>44</v>
      </c>
      <c r="S651">
        <v>0</v>
      </c>
      <c r="W651" s="3">
        <v>5.2430555555555555E-3</v>
      </c>
      <c r="X651" t="s">
        <v>121</v>
      </c>
      <c r="Y651">
        <v>1</v>
      </c>
      <c r="Z651">
        <v>0</v>
      </c>
      <c r="AA651" t="s">
        <v>49</v>
      </c>
      <c r="AB651">
        <v>0</v>
      </c>
      <c r="AC651" t="s">
        <v>49</v>
      </c>
      <c r="AD651">
        <v>0</v>
      </c>
      <c r="AE651">
        <v>-1</v>
      </c>
      <c r="AF651" t="s">
        <v>50</v>
      </c>
      <c r="AG651" t="s">
        <v>670</v>
      </c>
    </row>
    <row r="652" spans="1:33" x14ac:dyDescent="0.35">
      <c r="A652" s="1">
        <v>44894.060416666667</v>
      </c>
      <c r="B652">
        <v>875843</v>
      </c>
      <c r="C652" t="s">
        <v>1377</v>
      </c>
      <c r="D652" t="s">
        <v>59</v>
      </c>
      <c r="E652" s="2">
        <v>41134</v>
      </c>
      <c r="F652" t="str">
        <f>"9781118332856"</f>
        <v>9781118332856</v>
      </c>
      <c r="G652" t="str">
        <f>"9780470902936"</f>
        <v>9780470902936</v>
      </c>
      <c r="H652" t="s">
        <v>1378</v>
      </c>
      <c r="I652">
        <v>621.40219999999999</v>
      </c>
      <c r="J652" t="s">
        <v>1379</v>
      </c>
      <c r="K652" t="s">
        <v>44</v>
      </c>
      <c r="N652" t="s">
        <v>45</v>
      </c>
      <c r="O652" t="s">
        <v>46</v>
      </c>
      <c r="P652" t="s">
        <v>45</v>
      </c>
      <c r="Q652" t="s">
        <v>47</v>
      </c>
      <c r="R652" t="s">
        <v>44</v>
      </c>
      <c r="S652">
        <v>0</v>
      </c>
      <c r="W652" s="3">
        <v>1.4374999999999999E-2</v>
      </c>
      <c r="X652" t="s">
        <v>1660</v>
      </c>
      <c r="Y652">
        <v>148</v>
      </c>
      <c r="Z652">
        <v>0</v>
      </c>
      <c r="AA652" t="s">
        <v>49</v>
      </c>
      <c r="AB652">
        <v>0</v>
      </c>
      <c r="AC652" t="s">
        <v>49</v>
      </c>
      <c r="AD652">
        <v>0</v>
      </c>
      <c r="AE652">
        <v>10593121</v>
      </c>
      <c r="AF652" t="s">
        <v>50</v>
      </c>
      <c r="AG652" t="s">
        <v>388</v>
      </c>
    </row>
    <row r="653" spans="1:33" x14ac:dyDescent="0.35">
      <c r="A653" s="1">
        <v>44894.012499999997</v>
      </c>
      <c r="B653">
        <v>5719694</v>
      </c>
      <c r="C653" t="s">
        <v>1661</v>
      </c>
      <c r="D653" t="s">
        <v>65</v>
      </c>
      <c r="E653" s="2">
        <v>43522</v>
      </c>
      <c r="F653" t="str">
        <f>"9780128182550"</f>
        <v>9780128182550</v>
      </c>
      <c r="G653" t="str">
        <f>"9780081026311"</f>
        <v>9780081026311</v>
      </c>
      <c r="H653" t="s">
        <v>1662</v>
      </c>
      <c r="I653" t="s">
        <v>1663</v>
      </c>
      <c r="J653" t="s">
        <v>1664</v>
      </c>
      <c r="K653" t="s">
        <v>55</v>
      </c>
      <c r="Q653" t="s">
        <v>47</v>
      </c>
      <c r="R653" t="s">
        <v>44</v>
      </c>
      <c r="S653">
        <v>0</v>
      </c>
      <c r="W653" s="3">
        <v>8.2175925925925917E-4</v>
      </c>
      <c r="X653" t="s">
        <v>1665</v>
      </c>
      <c r="Y653">
        <v>7</v>
      </c>
      <c r="Z653">
        <v>0</v>
      </c>
      <c r="AA653" t="s">
        <v>49</v>
      </c>
      <c r="AB653">
        <v>0</v>
      </c>
      <c r="AC653" t="s">
        <v>49</v>
      </c>
      <c r="AD653">
        <v>0</v>
      </c>
      <c r="AE653">
        <v>11656711</v>
      </c>
      <c r="AF653" t="s">
        <v>50</v>
      </c>
      <c r="AG653" t="s">
        <v>1500</v>
      </c>
    </row>
    <row r="654" spans="1:33" x14ac:dyDescent="0.35">
      <c r="A654" s="1">
        <v>44894.009027777778</v>
      </c>
      <c r="B654">
        <v>234941</v>
      </c>
      <c r="C654" t="s">
        <v>1661</v>
      </c>
      <c r="D654" t="s">
        <v>65</v>
      </c>
      <c r="E654" s="2">
        <v>38387</v>
      </c>
      <c r="F654" t="str">
        <f>"9780080480107"</f>
        <v>9780080480107</v>
      </c>
      <c r="G654" t="str">
        <f>"9780750663137"</f>
        <v>9780750663137</v>
      </c>
      <c r="H654" t="s">
        <v>546</v>
      </c>
      <c r="I654" t="s">
        <v>1663</v>
      </c>
      <c r="J654" t="s">
        <v>1666</v>
      </c>
      <c r="K654" t="s">
        <v>44</v>
      </c>
      <c r="N654" t="s">
        <v>45</v>
      </c>
      <c r="O654" t="s">
        <v>46</v>
      </c>
      <c r="P654" t="s">
        <v>45</v>
      </c>
      <c r="Q654" t="s">
        <v>47</v>
      </c>
      <c r="R654" t="s">
        <v>44</v>
      </c>
      <c r="S654">
        <v>0</v>
      </c>
      <c r="W654" s="3">
        <v>1.8194444444444444E-2</v>
      </c>
      <c r="X654" t="s">
        <v>1667</v>
      </c>
      <c r="Y654">
        <v>6</v>
      </c>
      <c r="Z654">
        <v>0</v>
      </c>
      <c r="AA654" t="s">
        <v>49</v>
      </c>
      <c r="AB654">
        <v>0</v>
      </c>
      <c r="AC654" t="s">
        <v>49</v>
      </c>
      <c r="AD654">
        <v>0</v>
      </c>
      <c r="AE654">
        <v>10127888</v>
      </c>
      <c r="AF654" t="s">
        <v>50</v>
      </c>
      <c r="AG654" t="s">
        <v>1500</v>
      </c>
    </row>
    <row r="655" spans="1:33" x14ac:dyDescent="0.35">
      <c r="A655" s="1">
        <v>44893.986111111109</v>
      </c>
      <c r="B655">
        <v>5719694</v>
      </c>
      <c r="C655" t="s">
        <v>1661</v>
      </c>
      <c r="D655" t="s">
        <v>65</v>
      </c>
      <c r="E655" s="2">
        <v>43522</v>
      </c>
      <c r="F655" t="str">
        <f>"9780128182550"</f>
        <v>9780128182550</v>
      </c>
      <c r="G655" t="str">
        <f>"9780081026311"</f>
        <v>9780081026311</v>
      </c>
      <c r="H655" t="s">
        <v>1662</v>
      </c>
      <c r="I655" t="s">
        <v>1663</v>
      </c>
      <c r="J655" t="s">
        <v>1664</v>
      </c>
      <c r="K655" t="s">
        <v>55</v>
      </c>
      <c r="Q655" t="s">
        <v>47</v>
      </c>
      <c r="R655" t="s">
        <v>44</v>
      </c>
      <c r="S655">
        <v>0</v>
      </c>
      <c r="W655" s="3">
        <v>4.6296296296296294E-5</v>
      </c>
      <c r="X655" t="s">
        <v>1668</v>
      </c>
      <c r="Y655">
        <v>1</v>
      </c>
      <c r="Z655">
        <v>0</v>
      </c>
      <c r="AA655" t="s">
        <v>49</v>
      </c>
      <c r="AB655">
        <v>0</v>
      </c>
      <c r="AC655" t="s">
        <v>49</v>
      </c>
      <c r="AD655">
        <v>0</v>
      </c>
      <c r="AE655">
        <v>11656711</v>
      </c>
      <c r="AF655" t="s">
        <v>50</v>
      </c>
      <c r="AG655" t="s">
        <v>1500</v>
      </c>
    </row>
    <row r="656" spans="1:33" x14ac:dyDescent="0.35">
      <c r="A656" s="1">
        <v>44893.978472222225</v>
      </c>
      <c r="B656">
        <v>6788116</v>
      </c>
      <c r="C656" t="s">
        <v>64</v>
      </c>
      <c r="D656" t="s">
        <v>65</v>
      </c>
      <c r="E656" s="2">
        <v>44490</v>
      </c>
      <c r="F656" t="str">
        <f>"9780323900058"</f>
        <v>9780323900058</v>
      </c>
      <c r="G656" t="str">
        <f>"9780323897754"</f>
        <v>9780323897754</v>
      </c>
      <c r="H656" t="s">
        <v>66</v>
      </c>
      <c r="I656">
        <v>570.28499999999997</v>
      </c>
      <c r="J656" t="s">
        <v>67</v>
      </c>
      <c r="K656" t="s">
        <v>55</v>
      </c>
      <c r="Q656" t="s">
        <v>47</v>
      </c>
      <c r="R656" t="s">
        <v>44</v>
      </c>
      <c r="S656">
        <v>0</v>
      </c>
      <c r="W656" s="3">
        <v>2.7314814814814819E-3</v>
      </c>
      <c r="X656" t="s">
        <v>1669</v>
      </c>
      <c r="Y656">
        <v>25</v>
      </c>
      <c r="Z656">
        <v>0</v>
      </c>
      <c r="AA656" t="s">
        <v>49</v>
      </c>
      <c r="AB656">
        <v>0</v>
      </c>
      <c r="AC656" t="s">
        <v>49</v>
      </c>
      <c r="AD656">
        <v>0</v>
      </c>
      <c r="AE656">
        <v>-1</v>
      </c>
      <c r="AF656" t="s">
        <v>50</v>
      </c>
      <c r="AG656" t="s">
        <v>741</v>
      </c>
    </row>
    <row r="657" spans="1:33" x14ac:dyDescent="0.35">
      <c r="A657" s="1">
        <v>44893.931944444441</v>
      </c>
      <c r="B657">
        <v>5719694</v>
      </c>
      <c r="C657" t="s">
        <v>1661</v>
      </c>
      <c r="D657" t="s">
        <v>65</v>
      </c>
      <c r="E657" s="2">
        <v>43522</v>
      </c>
      <c r="F657" t="str">
        <f>"9780128182550"</f>
        <v>9780128182550</v>
      </c>
      <c r="G657" t="str">
        <f>"9780081026311"</f>
        <v>9780081026311</v>
      </c>
      <c r="H657" t="s">
        <v>1662</v>
      </c>
      <c r="I657" t="s">
        <v>1663</v>
      </c>
      <c r="J657" t="s">
        <v>1664</v>
      </c>
      <c r="K657" t="s">
        <v>55</v>
      </c>
      <c r="Q657" t="s">
        <v>47</v>
      </c>
      <c r="R657" t="s">
        <v>44</v>
      </c>
      <c r="S657">
        <v>0</v>
      </c>
      <c r="W657" s="3">
        <v>1.0995370370370371E-3</v>
      </c>
      <c r="X657" t="s">
        <v>1670</v>
      </c>
      <c r="Y657">
        <v>8</v>
      </c>
      <c r="Z657">
        <v>0</v>
      </c>
      <c r="AA657" t="s">
        <v>49</v>
      </c>
      <c r="AB657">
        <v>0</v>
      </c>
      <c r="AC657" t="s">
        <v>49</v>
      </c>
      <c r="AD657">
        <v>0</v>
      </c>
      <c r="AE657">
        <v>11656711</v>
      </c>
      <c r="AF657" t="s">
        <v>50</v>
      </c>
      <c r="AG657" t="s">
        <v>1500</v>
      </c>
    </row>
    <row r="658" spans="1:33" x14ac:dyDescent="0.35">
      <c r="A658" s="1">
        <v>44893.925000000003</v>
      </c>
      <c r="B658">
        <v>996993</v>
      </c>
      <c r="C658" t="s">
        <v>1410</v>
      </c>
      <c r="D658" t="s">
        <v>1282</v>
      </c>
      <c r="E658" s="2">
        <v>36509</v>
      </c>
      <c r="F658" t="str">
        <f>"9781452221809"</f>
        <v>9781452221809</v>
      </c>
      <c r="G658" t="str">
        <f>"9780761913245"</f>
        <v>9780761913245</v>
      </c>
      <c r="H658" t="s">
        <v>60</v>
      </c>
      <c r="I658" t="s">
        <v>1279</v>
      </c>
      <c r="J658" t="s">
        <v>1411</v>
      </c>
      <c r="K658" t="s">
        <v>44</v>
      </c>
      <c r="N658" t="s">
        <v>45</v>
      </c>
      <c r="O658" t="s">
        <v>46</v>
      </c>
      <c r="P658" t="s">
        <v>45</v>
      </c>
      <c r="Q658" t="s">
        <v>47</v>
      </c>
      <c r="R658" t="s">
        <v>44</v>
      </c>
      <c r="S658">
        <v>0</v>
      </c>
      <c r="W658" s="3">
        <v>7.8703703703703705E-4</v>
      </c>
      <c r="X658" t="s">
        <v>1671</v>
      </c>
      <c r="Y658">
        <v>9</v>
      </c>
      <c r="Z658">
        <v>0</v>
      </c>
      <c r="AA658" t="s">
        <v>49</v>
      </c>
      <c r="AB658">
        <v>0</v>
      </c>
      <c r="AC658" t="s">
        <v>49</v>
      </c>
      <c r="AD658">
        <v>0</v>
      </c>
      <c r="AE658">
        <v>10586489</v>
      </c>
      <c r="AF658" t="s">
        <v>50</v>
      </c>
      <c r="AG658" t="s">
        <v>388</v>
      </c>
    </row>
    <row r="659" spans="1:33" x14ac:dyDescent="0.35">
      <c r="A659" s="1">
        <v>44893.92291666667</v>
      </c>
      <c r="B659">
        <v>5824874</v>
      </c>
      <c r="C659" t="s">
        <v>124</v>
      </c>
      <c r="D659" t="s">
        <v>125</v>
      </c>
      <c r="E659" s="2">
        <v>43672</v>
      </c>
      <c r="F659" t="str">
        <f>"9780192568052"</f>
        <v>9780192568052</v>
      </c>
      <c r="G659" t="str">
        <f>"9780198832102"</f>
        <v>9780198832102</v>
      </c>
      <c r="H659" t="s">
        <v>126</v>
      </c>
      <c r="I659">
        <v>621.03</v>
      </c>
      <c r="J659" t="s">
        <v>127</v>
      </c>
      <c r="K659" t="s">
        <v>55</v>
      </c>
      <c r="Q659" t="s">
        <v>47</v>
      </c>
      <c r="R659" t="s">
        <v>44</v>
      </c>
      <c r="S659">
        <v>0</v>
      </c>
      <c r="W659" s="3">
        <v>3.5879629629629629E-3</v>
      </c>
      <c r="X659" t="s">
        <v>1672</v>
      </c>
      <c r="Y659">
        <v>17</v>
      </c>
      <c r="Z659">
        <v>0</v>
      </c>
      <c r="AA659" t="s">
        <v>49</v>
      </c>
      <c r="AB659">
        <v>0</v>
      </c>
      <c r="AC659" t="s">
        <v>49</v>
      </c>
      <c r="AD659">
        <v>0</v>
      </c>
      <c r="AE659">
        <v>-1</v>
      </c>
      <c r="AF659" t="s">
        <v>50</v>
      </c>
      <c r="AG659" t="s">
        <v>1500</v>
      </c>
    </row>
    <row r="660" spans="1:33" x14ac:dyDescent="0.35">
      <c r="A660" s="1">
        <v>44893.898611111108</v>
      </c>
      <c r="B660">
        <v>367052</v>
      </c>
      <c r="C660" t="s">
        <v>1489</v>
      </c>
      <c r="D660" t="s">
        <v>502</v>
      </c>
      <c r="E660" s="2">
        <v>39737</v>
      </c>
      <c r="F660" t="str">
        <f>"9780511436314"</f>
        <v>9780511436314</v>
      </c>
      <c r="G660" t="str">
        <f>"9780521830447"</f>
        <v>9780521830447</v>
      </c>
      <c r="H660" t="s">
        <v>712</v>
      </c>
      <c r="I660" t="s">
        <v>1490</v>
      </c>
      <c r="J660" t="s">
        <v>1491</v>
      </c>
      <c r="K660" t="s">
        <v>44</v>
      </c>
      <c r="N660" t="s">
        <v>45</v>
      </c>
      <c r="O660" t="s">
        <v>46</v>
      </c>
      <c r="P660" t="s">
        <v>45</v>
      </c>
      <c r="Q660" t="s">
        <v>47</v>
      </c>
      <c r="R660" t="s">
        <v>44</v>
      </c>
      <c r="S660">
        <v>0</v>
      </c>
      <c r="W660" s="3">
        <v>0</v>
      </c>
      <c r="X660" t="s">
        <v>49</v>
      </c>
      <c r="Y660">
        <v>0</v>
      </c>
      <c r="Z660">
        <v>0</v>
      </c>
      <c r="AA660" t="s">
        <v>49</v>
      </c>
      <c r="AB660">
        <v>0</v>
      </c>
      <c r="AC660" t="s">
        <v>49</v>
      </c>
      <c r="AD660">
        <v>0</v>
      </c>
      <c r="AE660">
        <v>10257525</v>
      </c>
      <c r="AF660" t="s">
        <v>50</v>
      </c>
      <c r="AG660" t="s">
        <v>1476</v>
      </c>
    </row>
    <row r="661" spans="1:33" x14ac:dyDescent="0.35">
      <c r="A661" s="1">
        <v>44893.898611111108</v>
      </c>
      <c r="B661">
        <v>6526734</v>
      </c>
      <c r="C661" t="s">
        <v>1485</v>
      </c>
      <c r="D661" t="s">
        <v>1486</v>
      </c>
      <c r="E661" s="2">
        <v>41479</v>
      </c>
      <c r="F661" t="str">
        <f>"9781626370586"</f>
        <v>9781626370586</v>
      </c>
      <c r="G661" t="str">
        <f>"9781588269096"</f>
        <v>9781588269096</v>
      </c>
      <c r="H661" t="s">
        <v>1046</v>
      </c>
      <c r="I661">
        <v>305.42095599999999</v>
      </c>
      <c r="J661" t="s">
        <v>1487</v>
      </c>
      <c r="K661" t="s">
        <v>44</v>
      </c>
      <c r="N661" t="s">
        <v>45</v>
      </c>
      <c r="O661" t="s">
        <v>46</v>
      </c>
      <c r="P661" t="s">
        <v>45</v>
      </c>
      <c r="Q661" t="s">
        <v>47</v>
      </c>
      <c r="R661" t="s">
        <v>44</v>
      </c>
      <c r="S661">
        <v>0</v>
      </c>
      <c r="W661" s="3">
        <v>1.7743055555555557E-2</v>
      </c>
      <c r="X661" t="s">
        <v>1673</v>
      </c>
      <c r="Y661">
        <v>16</v>
      </c>
      <c r="Z661">
        <v>0</v>
      </c>
      <c r="AA661" t="s">
        <v>49</v>
      </c>
      <c r="AB661">
        <v>0</v>
      </c>
      <c r="AC661" t="s">
        <v>1674</v>
      </c>
      <c r="AD661">
        <v>2</v>
      </c>
      <c r="AE661">
        <v>-1</v>
      </c>
      <c r="AF661" t="s">
        <v>50</v>
      </c>
      <c r="AG661" t="s">
        <v>1476</v>
      </c>
    </row>
    <row r="662" spans="1:33" x14ac:dyDescent="0.35">
      <c r="A662" s="1">
        <v>44893.898611111108</v>
      </c>
      <c r="B662">
        <v>1780931</v>
      </c>
      <c r="C662" t="s">
        <v>1481</v>
      </c>
      <c r="D662" t="s">
        <v>1482</v>
      </c>
      <c r="E662" s="2">
        <v>41835</v>
      </c>
      <c r="F662" t="str">
        <f>"9781558618565"</f>
        <v>9781558618565</v>
      </c>
      <c r="G662" t="str">
        <f>"9781558618558"</f>
        <v>9781558618558</v>
      </c>
      <c r="H662" t="s">
        <v>1046</v>
      </c>
      <c r="I662">
        <v>305.48697091759198</v>
      </c>
      <c r="J662" t="s">
        <v>1483</v>
      </c>
      <c r="K662" t="s">
        <v>44</v>
      </c>
      <c r="N662" t="s">
        <v>45</v>
      </c>
      <c r="O662" t="s">
        <v>46</v>
      </c>
      <c r="P662" t="s">
        <v>45</v>
      </c>
      <c r="Q662" t="s">
        <v>47</v>
      </c>
      <c r="R662" t="s">
        <v>44</v>
      </c>
      <c r="S662">
        <v>0</v>
      </c>
      <c r="W662" s="3">
        <v>0</v>
      </c>
      <c r="X662" t="s">
        <v>49</v>
      </c>
      <c r="Y662">
        <v>0</v>
      </c>
      <c r="Z662">
        <v>0</v>
      </c>
      <c r="AA662" t="s">
        <v>49</v>
      </c>
      <c r="AB662">
        <v>0</v>
      </c>
      <c r="AC662" t="s">
        <v>49</v>
      </c>
      <c r="AD662">
        <v>0</v>
      </c>
      <c r="AE662">
        <v>10993187</v>
      </c>
      <c r="AF662" t="s">
        <v>50</v>
      </c>
      <c r="AG662" t="s">
        <v>1476</v>
      </c>
    </row>
    <row r="663" spans="1:33" x14ac:dyDescent="0.35">
      <c r="A663" s="1">
        <v>44893.898611111108</v>
      </c>
      <c r="B663">
        <v>617176</v>
      </c>
      <c r="C663" t="s">
        <v>1520</v>
      </c>
      <c r="D663" t="s">
        <v>497</v>
      </c>
      <c r="E663" s="2">
        <v>40542</v>
      </c>
      <c r="F663" t="str">
        <f>"9781441136251"</f>
        <v>9781441136251</v>
      </c>
      <c r="G663" t="str">
        <f>"9780826400871"</f>
        <v>9780826400871</v>
      </c>
      <c r="H663" t="s">
        <v>1186</v>
      </c>
      <c r="I663" t="s">
        <v>1521</v>
      </c>
      <c r="J663" t="s">
        <v>1522</v>
      </c>
      <c r="K663" t="s">
        <v>44</v>
      </c>
      <c r="N663" t="s">
        <v>45</v>
      </c>
      <c r="O663" t="s">
        <v>46</v>
      </c>
      <c r="P663" t="s">
        <v>45</v>
      </c>
      <c r="Q663" t="s">
        <v>47</v>
      </c>
      <c r="R663" t="s">
        <v>44</v>
      </c>
      <c r="S663">
        <v>0</v>
      </c>
      <c r="W663" s="3">
        <v>0</v>
      </c>
      <c r="X663" t="s">
        <v>49</v>
      </c>
      <c r="Y663">
        <v>0</v>
      </c>
      <c r="Z663">
        <v>0</v>
      </c>
      <c r="AA663" t="s">
        <v>49</v>
      </c>
      <c r="AB663">
        <v>0</v>
      </c>
      <c r="AC663" t="s">
        <v>49</v>
      </c>
      <c r="AD663">
        <v>0</v>
      </c>
      <c r="AE663">
        <v>10432531</v>
      </c>
      <c r="AF663" t="s">
        <v>50</v>
      </c>
      <c r="AG663" t="s">
        <v>1476</v>
      </c>
    </row>
    <row r="664" spans="1:33" x14ac:dyDescent="0.35">
      <c r="A664" s="1">
        <v>44893.898611111108</v>
      </c>
      <c r="B664">
        <v>4396575</v>
      </c>
      <c r="C664" t="s">
        <v>1474</v>
      </c>
      <c r="D664" t="s">
        <v>645</v>
      </c>
      <c r="E664" s="2">
        <v>42278</v>
      </c>
      <c r="F664" t="str">
        <f>"9781438457765"</f>
        <v>9781438457765</v>
      </c>
      <c r="G664" t="str">
        <f>"9781438457758"</f>
        <v>9781438457758</v>
      </c>
      <c r="H664" t="s">
        <v>1046</v>
      </c>
      <c r="I664" t="s">
        <v>1203</v>
      </c>
      <c r="K664" t="s">
        <v>44</v>
      </c>
      <c r="N664" t="s">
        <v>45</v>
      </c>
      <c r="O664" t="s">
        <v>46</v>
      </c>
      <c r="P664" t="s">
        <v>45</v>
      </c>
      <c r="Q664" t="s">
        <v>47</v>
      </c>
      <c r="R664" t="s">
        <v>44</v>
      </c>
      <c r="S664">
        <v>0</v>
      </c>
      <c r="W664" s="3">
        <v>1.494212962962963E-2</v>
      </c>
      <c r="X664" t="s">
        <v>1675</v>
      </c>
      <c r="Y664">
        <v>25</v>
      </c>
      <c r="Z664">
        <v>0</v>
      </c>
      <c r="AA664" t="s">
        <v>49</v>
      </c>
      <c r="AB664">
        <v>0</v>
      </c>
      <c r="AC664" t="s">
        <v>678</v>
      </c>
      <c r="AD664">
        <v>1</v>
      </c>
      <c r="AE664">
        <v>11155580</v>
      </c>
      <c r="AF664" t="s">
        <v>50</v>
      </c>
      <c r="AG664" t="s">
        <v>1476</v>
      </c>
    </row>
    <row r="665" spans="1:33" x14ac:dyDescent="0.35">
      <c r="A665" s="1">
        <v>44893.898611111108</v>
      </c>
      <c r="B665">
        <v>4737322</v>
      </c>
      <c r="C665" t="s">
        <v>1477</v>
      </c>
      <c r="D665" t="s">
        <v>507</v>
      </c>
      <c r="E665" s="2">
        <v>42247</v>
      </c>
      <c r="F665" t="str">
        <f>"9780748632244"</f>
        <v>9780748632244</v>
      </c>
      <c r="G665" t="str">
        <f>"9780748632763"</f>
        <v>9780748632763</v>
      </c>
      <c r="H665" t="s">
        <v>667</v>
      </c>
      <c r="I665" t="s">
        <v>1478</v>
      </c>
      <c r="J665" t="s">
        <v>1479</v>
      </c>
      <c r="K665" t="s">
        <v>44</v>
      </c>
      <c r="N665" t="s">
        <v>45</v>
      </c>
      <c r="O665" t="s">
        <v>46</v>
      </c>
      <c r="P665" t="s">
        <v>45</v>
      </c>
      <c r="Q665" t="s">
        <v>47</v>
      </c>
      <c r="R665" t="s">
        <v>44</v>
      </c>
      <c r="S665">
        <v>0</v>
      </c>
      <c r="W665" s="3">
        <v>1.5995370370370372E-2</v>
      </c>
      <c r="X665" t="s">
        <v>121</v>
      </c>
      <c r="Y665">
        <v>1</v>
      </c>
      <c r="Z665">
        <v>0</v>
      </c>
      <c r="AA665" t="s">
        <v>49</v>
      </c>
      <c r="AB665">
        <v>0</v>
      </c>
      <c r="AC665" t="s">
        <v>49</v>
      </c>
      <c r="AD665">
        <v>0</v>
      </c>
      <c r="AE665">
        <v>-1</v>
      </c>
      <c r="AF665" t="s">
        <v>50</v>
      </c>
      <c r="AG665" t="s">
        <v>1476</v>
      </c>
    </row>
    <row r="666" spans="1:33" x14ac:dyDescent="0.35">
      <c r="A666" s="1">
        <v>44893.885416666664</v>
      </c>
      <c r="B666">
        <v>997239</v>
      </c>
      <c r="C666" t="s">
        <v>1281</v>
      </c>
      <c r="D666" t="s">
        <v>1282</v>
      </c>
      <c r="E666" s="2">
        <v>34044</v>
      </c>
      <c r="F666" t="str">
        <f>"9781452254067"</f>
        <v>9781452254067</v>
      </c>
      <c r="G666" t="str">
        <f>"9780803947993"</f>
        <v>9780803947993</v>
      </c>
      <c r="H666" t="s">
        <v>1046</v>
      </c>
      <c r="I666">
        <v>361.70679999999999</v>
      </c>
      <c r="J666">
        <v>92043625</v>
      </c>
      <c r="K666" t="s">
        <v>44</v>
      </c>
      <c r="N666" t="s">
        <v>45</v>
      </c>
      <c r="O666" t="s">
        <v>46</v>
      </c>
      <c r="P666" t="s">
        <v>45</v>
      </c>
      <c r="Q666" t="s">
        <v>47</v>
      </c>
      <c r="R666" t="s">
        <v>44</v>
      </c>
      <c r="S666">
        <v>0</v>
      </c>
      <c r="W666" s="3">
        <v>3.4722222222222222E-5</v>
      </c>
      <c r="X666" t="s">
        <v>121</v>
      </c>
      <c r="Y666">
        <v>1</v>
      </c>
      <c r="Z666">
        <v>0</v>
      </c>
      <c r="AA666" t="s">
        <v>49</v>
      </c>
      <c r="AB666">
        <v>0</v>
      </c>
      <c r="AC666" t="s">
        <v>49</v>
      </c>
      <c r="AD666">
        <v>0</v>
      </c>
      <c r="AE666">
        <v>10593937</v>
      </c>
      <c r="AF666" t="s">
        <v>50</v>
      </c>
      <c r="AG666" t="s">
        <v>388</v>
      </c>
    </row>
    <row r="667" spans="1:33" x14ac:dyDescent="0.35">
      <c r="A667" s="1">
        <v>44893.884722222225</v>
      </c>
      <c r="B667">
        <v>1104757</v>
      </c>
      <c r="C667" t="s">
        <v>1676</v>
      </c>
      <c r="D667" t="s">
        <v>76</v>
      </c>
      <c r="E667" s="2">
        <v>41233</v>
      </c>
      <c r="F667" t="str">
        <f>"9781136302459"</f>
        <v>9781136302459</v>
      </c>
      <c r="G667" t="str">
        <f>"9780415530026"</f>
        <v>9780415530026</v>
      </c>
      <c r="H667" t="s">
        <v>658</v>
      </c>
      <c r="I667">
        <v>700.68</v>
      </c>
      <c r="J667" t="s">
        <v>1677</v>
      </c>
      <c r="K667" t="s">
        <v>44</v>
      </c>
      <c r="N667" t="s">
        <v>45</v>
      </c>
      <c r="O667" t="s">
        <v>46</v>
      </c>
      <c r="P667" t="s">
        <v>45</v>
      </c>
      <c r="Q667" t="s">
        <v>47</v>
      </c>
      <c r="R667" t="s">
        <v>44</v>
      </c>
      <c r="S667">
        <v>0</v>
      </c>
      <c r="W667" s="3">
        <v>1.2812499999999999E-2</v>
      </c>
      <c r="X667" t="s">
        <v>1678</v>
      </c>
      <c r="Y667">
        <v>54</v>
      </c>
      <c r="Z667">
        <v>0</v>
      </c>
      <c r="AA667" t="s">
        <v>49</v>
      </c>
      <c r="AB667">
        <v>0</v>
      </c>
      <c r="AC667" t="s">
        <v>1679</v>
      </c>
      <c r="AD667">
        <v>3</v>
      </c>
      <c r="AE667">
        <v>10641657</v>
      </c>
      <c r="AF667" t="s">
        <v>50</v>
      </c>
      <c r="AG667" t="s">
        <v>388</v>
      </c>
    </row>
    <row r="668" spans="1:33" x14ac:dyDescent="0.35">
      <c r="A668" s="1">
        <v>44893.870833333334</v>
      </c>
      <c r="B668">
        <v>6321187</v>
      </c>
      <c r="C668" t="s">
        <v>1680</v>
      </c>
      <c r="D668" t="s">
        <v>1681</v>
      </c>
      <c r="E668" s="2">
        <v>43941</v>
      </c>
      <c r="F668" t="str">
        <f>"9781928480556"</f>
        <v>9781928480556</v>
      </c>
      <c r="G668" t="str">
        <f>"9781928480549"</f>
        <v>9781928480549</v>
      </c>
      <c r="H668" t="s">
        <v>531</v>
      </c>
      <c r="I668">
        <v>355.03301723999903</v>
      </c>
      <c r="J668" t="s">
        <v>1682</v>
      </c>
      <c r="K668" t="s">
        <v>44</v>
      </c>
      <c r="N668" t="s">
        <v>45</v>
      </c>
      <c r="O668" t="s">
        <v>46</v>
      </c>
      <c r="P668" t="s">
        <v>45</v>
      </c>
      <c r="Q668" t="s">
        <v>47</v>
      </c>
      <c r="R668" t="s">
        <v>44</v>
      </c>
      <c r="S668">
        <v>0</v>
      </c>
      <c r="W668" s="3">
        <v>7.1412037037037043E-3</v>
      </c>
      <c r="X668" t="s">
        <v>1683</v>
      </c>
      <c r="Y668">
        <v>14</v>
      </c>
      <c r="Z668">
        <v>0</v>
      </c>
      <c r="AA668" t="s">
        <v>49</v>
      </c>
      <c r="AB668">
        <v>0</v>
      </c>
      <c r="AC668" t="s">
        <v>49</v>
      </c>
      <c r="AD668">
        <v>0</v>
      </c>
      <c r="AE668">
        <v>-1</v>
      </c>
      <c r="AF668" t="s">
        <v>50</v>
      </c>
      <c r="AG668" t="s">
        <v>388</v>
      </c>
    </row>
    <row r="669" spans="1:33" x14ac:dyDescent="0.35">
      <c r="A669" s="1">
        <v>44893.841666666667</v>
      </c>
      <c r="B669">
        <v>997259</v>
      </c>
      <c r="C669" t="s">
        <v>1436</v>
      </c>
      <c r="D669" t="s">
        <v>1282</v>
      </c>
      <c r="E669" s="2">
        <v>33815</v>
      </c>
      <c r="F669" t="str">
        <f>"9781452246260"</f>
        <v>9781452246260</v>
      </c>
      <c r="G669" t="str">
        <f>"9780803948051"</f>
        <v>9780803948051</v>
      </c>
      <c r="H669" t="s">
        <v>60</v>
      </c>
      <c r="I669">
        <v>658.40120000000002</v>
      </c>
      <c r="J669">
        <v>92017898</v>
      </c>
      <c r="K669" t="s">
        <v>44</v>
      </c>
      <c r="N669" t="s">
        <v>45</v>
      </c>
      <c r="O669" t="s">
        <v>46</v>
      </c>
      <c r="P669" t="s">
        <v>45</v>
      </c>
      <c r="Q669" t="s">
        <v>47</v>
      </c>
      <c r="R669" t="s">
        <v>44</v>
      </c>
      <c r="S669">
        <v>0</v>
      </c>
      <c r="W669" s="3">
        <v>3.9444444444444442E-2</v>
      </c>
      <c r="X669" t="s">
        <v>1684</v>
      </c>
      <c r="Y669">
        <v>105</v>
      </c>
      <c r="Z669">
        <v>0</v>
      </c>
      <c r="AA669" t="s">
        <v>49</v>
      </c>
      <c r="AB669">
        <v>0</v>
      </c>
      <c r="AC669" t="s">
        <v>1685</v>
      </c>
      <c r="AD669">
        <v>17</v>
      </c>
      <c r="AE669">
        <v>10593945</v>
      </c>
      <c r="AF669" t="s">
        <v>50</v>
      </c>
      <c r="AG669" t="s">
        <v>388</v>
      </c>
    </row>
    <row r="670" spans="1:33" x14ac:dyDescent="0.35">
      <c r="A670" s="1">
        <v>44893.832638888889</v>
      </c>
      <c r="B670">
        <v>875843</v>
      </c>
      <c r="C670" t="s">
        <v>1377</v>
      </c>
      <c r="D670" t="s">
        <v>59</v>
      </c>
      <c r="E670" s="2">
        <v>41134</v>
      </c>
      <c r="F670" t="str">
        <f>"9781118332856"</f>
        <v>9781118332856</v>
      </c>
      <c r="G670" t="str">
        <f>"9780470902936"</f>
        <v>9780470902936</v>
      </c>
      <c r="H670" t="s">
        <v>1378</v>
      </c>
      <c r="I670">
        <v>621.40219999999999</v>
      </c>
      <c r="J670" t="s">
        <v>1379</v>
      </c>
      <c r="K670" t="s">
        <v>44</v>
      </c>
      <c r="N670" t="s">
        <v>45</v>
      </c>
      <c r="O670" t="s">
        <v>46</v>
      </c>
      <c r="P670" t="s">
        <v>45</v>
      </c>
      <c r="Q670" t="s">
        <v>47</v>
      </c>
      <c r="R670" t="s">
        <v>44</v>
      </c>
      <c r="S670">
        <v>0</v>
      </c>
      <c r="W670" s="3">
        <v>5.7870370370370366E-5</v>
      </c>
      <c r="X670" t="s">
        <v>121</v>
      </c>
      <c r="Y670">
        <v>1</v>
      </c>
      <c r="Z670">
        <v>0</v>
      </c>
      <c r="AA670" t="s">
        <v>49</v>
      </c>
      <c r="AB670">
        <v>0</v>
      </c>
      <c r="AC670" t="s">
        <v>49</v>
      </c>
      <c r="AD670">
        <v>0</v>
      </c>
      <c r="AE670">
        <v>10593121</v>
      </c>
      <c r="AF670" t="s">
        <v>50</v>
      </c>
      <c r="AG670" t="s">
        <v>388</v>
      </c>
    </row>
    <row r="671" spans="1:33" x14ac:dyDescent="0.35">
      <c r="A671" s="1">
        <v>44893.818055555559</v>
      </c>
      <c r="B671">
        <v>996993</v>
      </c>
      <c r="C671" t="s">
        <v>1410</v>
      </c>
      <c r="D671" t="s">
        <v>1282</v>
      </c>
      <c r="E671" s="2">
        <v>36509</v>
      </c>
      <c r="F671" t="str">
        <f>"9781452221809"</f>
        <v>9781452221809</v>
      </c>
      <c r="G671" t="str">
        <f>"9780761913245"</f>
        <v>9780761913245</v>
      </c>
      <c r="H671" t="s">
        <v>60</v>
      </c>
      <c r="I671" t="s">
        <v>1279</v>
      </c>
      <c r="J671" t="s">
        <v>1411</v>
      </c>
      <c r="K671" t="s">
        <v>44</v>
      </c>
      <c r="N671" t="s">
        <v>45</v>
      </c>
      <c r="O671" t="s">
        <v>46</v>
      </c>
      <c r="P671" t="s">
        <v>45</v>
      </c>
      <c r="Q671" t="s">
        <v>47</v>
      </c>
      <c r="R671" t="s">
        <v>44</v>
      </c>
      <c r="S671">
        <v>0</v>
      </c>
      <c r="W671" s="3">
        <v>2.011574074074074E-2</v>
      </c>
      <c r="X671" t="s">
        <v>1686</v>
      </c>
      <c r="Y671">
        <v>22</v>
      </c>
      <c r="Z671">
        <v>0</v>
      </c>
      <c r="AA671" t="s">
        <v>49</v>
      </c>
      <c r="AB671">
        <v>0</v>
      </c>
      <c r="AC671" t="s">
        <v>49</v>
      </c>
      <c r="AD671">
        <v>0</v>
      </c>
      <c r="AE671">
        <v>10586489</v>
      </c>
      <c r="AF671" t="s">
        <v>50</v>
      </c>
      <c r="AG671" t="s">
        <v>388</v>
      </c>
    </row>
    <row r="672" spans="1:33" x14ac:dyDescent="0.35">
      <c r="A672" s="1">
        <v>44893.779861111114</v>
      </c>
      <c r="B672">
        <v>728806</v>
      </c>
      <c r="C672" t="s">
        <v>1687</v>
      </c>
      <c r="D672" t="s">
        <v>125</v>
      </c>
      <c r="E672" s="2">
        <v>40752</v>
      </c>
      <c r="F672" t="str">
        <f>"9780199830503"</f>
        <v>9780199830503</v>
      </c>
      <c r="G672" t="str">
        <f>"9780199791002"</f>
        <v>9780199791002</v>
      </c>
      <c r="H672" t="s">
        <v>151</v>
      </c>
      <c r="I672" t="s">
        <v>1688</v>
      </c>
      <c r="J672" t="s">
        <v>1689</v>
      </c>
      <c r="K672" t="s">
        <v>44</v>
      </c>
      <c r="N672" t="s">
        <v>45</v>
      </c>
      <c r="O672" t="s">
        <v>46</v>
      </c>
      <c r="P672" t="s">
        <v>45</v>
      </c>
      <c r="Q672" t="s">
        <v>47</v>
      </c>
      <c r="R672" t="s">
        <v>44</v>
      </c>
      <c r="S672">
        <v>0</v>
      </c>
      <c r="W672" s="3">
        <v>3.2407407407407406E-4</v>
      </c>
      <c r="X672" t="s">
        <v>1690</v>
      </c>
      <c r="Y672">
        <v>3</v>
      </c>
      <c r="Z672">
        <v>0</v>
      </c>
      <c r="AA672" t="s">
        <v>49</v>
      </c>
      <c r="AB672">
        <v>0</v>
      </c>
      <c r="AC672" t="s">
        <v>49</v>
      </c>
      <c r="AD672">
        <v>0</v>
      </c>
      <c r="AE672">
        <v>10477983</v>
      </c>
      <c r="AF672" t="s">
        <v>50</v>
      </c>
      <c r="AG672" t="s">
        <v>1691</v>
      </c>
    </row>
    <row r="673" spans="1:33" x14ac:dyDescent="0.35">
      <c r="A673" s="1">
        <v>44893.773611111108</v>
      </c>
      <c r="B673">
        <v>279494</v>
      </c>
      <c r="C673" t="s">
        <v>1333</v>
      </c>
      <c r="D673" t="s">
        <v>125</v>
      </c>
      <c r="E673" s="2">
        <v>37280</v>
      </c>
      <c r="F673" t="str">
        <f>"9780198032953"</f>
        <v>9780198032953</v>
      </c>
      <c r="G673" t="str">
        <f>"9780195144208"</f>
        <v>9780195144208</v>
      </c>
      <c r="H673" t="s">
        <v>667</v>
      </c>
      <c r="I673" t="s">
        <v>1334</v>
      </c>
      <c r="J673" t="s">
        <v>1335</v>
      </c>
      <c r="K673" t="s">
        <v>44</v>
      </c>
      <c r="N673" t="s">
        <v>45</v>
      </c>
      <c r="O673" t="s">
        <v>46</v>
      </c>
      <c r="P673" t="s">
        <v>45</v>
      </c>
      <c r="Q673" t="s">
        <v>47</v>
      </c>
      <c r="R673" t="s">
        <v>44</v>
      </c>
      <c r="S673">
        <v>0</v>
      </c>
      <c r="W673" s="3">
        <v>5.4398148148148144E-4</v>
      </c>
      <c r="X673" t="s">
        <v>1692</v>
      </c>
      <c r="Y673">
        <v>6</v>
      </c>
      <c r="Z673">
        <v>0</v>
      </c>
      <c r="AA673" t="s">
        <v>49</v>
      </c>
      <c r="AB673">
        <v>0</v>
      </c>
      <c r="AC673" t="s">
        <v>49</v>
      </c>
      <c r="AD673">
        <v>0</v>
      </c>
      <c r="AE673">
        <v>11303309</v>
      </c>
      <c r="AF673" t="s">
        <v>50</v>
      </c>
      <c r="AG673" t="s">
        <v>388</v>
      </c>
    </row>
    <row r="674" spans="1:33" x14ac:dyDescent="0.35">
      <c r="A674" s="1">
        <v>44893.768055555556</v>
      </c>
      <c r="B674">
        <v>4414604</v>
      </c>
      <c r="C674" t="s">
        <v>1584</v>
      </c>
      <c r="D674" t="s">
        <v>1585</v>
      </c>
      <c r="E674" s="2">
        <v>42359</v>
      </c>
      <c r="F674" t="str">
        <f>"9780809334452"</f>
        <v>9780809334452</v>
      </c>
      <c r="G674" t="str">
        <f>"9780809334445"</f>
        <v>9780809334445</v>
      </c>
      <c r="H674" t="s">
        <v>1102</v>
      </c>
      <c r="I674">
        <v>796.60820000000001</v>
      </c>
      <c r="J674" t="s">
        <v>1586</v>
      </c>
      <c r="K674" t="s">
        <v>44</v>
      </c>
      <c r="N674" t="s">
        <v>45</v>
      </c>
      <c r="O674" t="s">
        <v>46</v>
      </c>
      <c r="P674" t="s">
        <v>45</v>
      </c>
      <c r="Q674" t="s">
        <v>47</v>
      </c>
      <c r="R674" t="s">
        <v>44</v>
      </c>
      <c r="S674">
        <v>0</v>
      </c>
      <c r="W674" s="3">
        <v>4.9305555555555552E-3</v>
      </c>
      <c r="X674" t="s">
        <v>1693</v>
      </c>
      <c r="Y674">
        <v>10</v>
      </c>
      <c r="Z674">
        <v>0</v>
      </c>
      <c r="AA674" t="s">
        <v>49</v>
      </c>
      <c r="AB674">
        <v>0</v>
      </c>
      <c r="AC674" t="s">
        <v>49</v>
      </c>
      <c r="AD674">
        <v>0</v>
      </c>
      <c r="AE674">
        <v>11171332</v>
      </c>
      <c r="AF674" t="s">
        <v>50</v>
      </c>
      <c r="AG674" t="s">
        <v>388</v>
      </c>
    </row>
    <row r="675" spans="1:33" x14ac:dyDescent="0.35">
      <c r="A675" s="1">
        <v>44893.762499999997</v>
      </c>
      <c r="B675">
        <v>5560173</v>
      </c>
      <c r="C675" t="s">
        <v>656</v>
      </c>
      <c r="D675" t="s">
        <v>657</v>
      </c>
      <c r="E675" s="2">
        <v>43391</v>
      </c>
      <c r="F675" t="str">
        <f>"9781476632681"</f>
        <v>9781476632681</v>
      </c>
      <c r="G675" t="str">
        <f>"9781476673851"</f>
        <v>9781476673851</v>
      </c>
      <c r="H675" t="s">
        <v>658</v>
      </c>
      <c r="I675">
        <v>739.27820750000001</v>
      </c>
      <c r="J675" t="s">
        <v>659</v>
      </c>
      <c r="K675" t="s">
        <v>44</v>
      </c>
      <c r="N675" t="s">
        <v>45</v>
      </c>
      <c r="O675" t="s">
        <v>46</v>
      </c>
      <c r="P675" t="s">
        <v>45</v>
      </c>
      <c r="Q675" t="s">
        <v>47</v>
      </c>
      <c r="R675" t="s">
        <v>44</v>
      </c>
      <c r="S675">
        <v>0</v>
      </c>
      <c r="W675" s="3">
        <v>9.9768518518518531E-3</v>
      </c>
      <c r="X675" t="s">
        <v>1694</v>
      </c>
      <c r="Y675">
        <v>10</v>
      </c>
      <c r="Z675">
        <v>0</v>
      </c>
      <c r="AA675" t="s">
        <v>49</v>
      </c>
      <c r="AB675">
        <v>0</v>
      </c>
      <c r="AC675" t="s">
        <v>49</v>
      </c>
      <c r="AD675">
        <v>0</v>
      </c>
      <c r="AE675">
        <v>11625847</v>
      </c>
      <c r="AF675" t="s">
        <v>50</v>
      </c>
      <c r="AG675" t="s">
        <v>388</v>
      </c>
    </row>
    <row r="676" spans="1:33" x14ac:dyDescent="0.35">
      <c r="A676" s="1">
        <v>44893.73333333333</v>
      </c>
      <c r="B676">
        <v>5560173</v>
      </c>
      <c r="C676" t="s">
        <v>656</v>
      </c>
      <c r="D676" t="s">
        <v>657</v>
      </c>
      <c r="E676" s="2">
        <v>43391</v>
      </c>
      <c r="F676" t="str">
        <f>"9781476632681"</f>
        <v>9781476632681</v>
      </c>
      <c r="G676" t="str">
        <f>"9781476673851"</f>
        <v>9781476673851</v>
      </c>
      <c r="H676" t="s">
        <v>658</v>
      </c>
      <c r="I676">
        <v>739.27820750000001</v>
      </c>
      <c r="J676" t="s">
        <v>659</v>
      </c>
      <c r="K676" t="s">
        <v>44</v>
      </c>
      <c r="N676" t="s">
        <v>45</v>
      </c>
      <c r="O676" t="s">
        <v>46</v>
      </c>
      <c r="P676" t="s">
        <v>45</v>
      </c>
      <c r="Q676" t="s">
        <v>47</v>
      </c>
      <c r="R676" t="s">
        <v>44</v>
      </c>
      <c r="S676">
        <v>0</v>
      </c>
      <c r="W676" s="3">
        <v>1.25E-3</v>
      </c>
      <c r="X676" t="s">
        <v>1695</v>
      </c>
      <c r="Y676">
        <v>4</v>
      </c>
      <c r="Z676">
        <v>0</v>
      </c>
      <c r="AA676" t="s">
        <v>49</v>
      </c>
      <c r="AB676">
        <v>0</v>
      </c>
      <c r="AC676" t="s">
        <v>49</v>
      </c>
      <c r="AD676">
        <v>0</v>
      </c>
      <c r="AE676">
        <v>11625847</v>
      </c>
      <c r="AF676" t="s">
        <v>50</v>
      </c>
      <c r="AG676" t="s">
        <v>388</v>
      </c>
    </row>
    <row r="677" spans="1:33" x14ac:dyDescent="0.35">
      <c r="A677" s="1">
        <v>44893.726388888892</v>
      </c>
      <c r="B677">
        <v>6484277</v>
      </c>
      <c r="C677" t="s">
        <v>1302</v>
      </c>
      <c r="D677" t="s">
        <v>213</v>
      </c>
      <c r="E677" s="2">
        <v>44252</v>
      </c>
      <c r="F677" t="str">
        <f>"9780128231906"</f>
        <v>9780128231906</v>
      </c>
      <c r="G677" t="str">
        <f>"9780128210376"</f>
        <v>9780128210376</v>
      </c>
      <c r="H677" t="s">
        <v>1238</v>
      </c>
      <c r="I677">
        <v>621.44000000000005</v>
      </c>
      <c r="J677" t="s">
        <v>1303</v>
      </c>
      <c r="K677" t="s">
        <v>55</v>
      </c>
      <c r="Q677" t="s">
        <v>47</v>
      </c>
      <c r="R677" t="s">
        <v>44</v>
      </c>
      <c r="S677">
        <v>0</v>
      </c>
      <c r="W677" s="3">
        <v>1.9675925925925926E-4</v>
      </c>
      <c r="X677" t="s">
        <v>121</v>
      </c>
      <c r="Y677">
        <v>1</v>
      </c>
      <c r="Z677">
        <v>0</v>
      </c>
      <c r="AA677" t="s">
        <v>49</v>
      </c>
      <c r="AB677">
        <v>0</v>
      </c>
      <c r="AC677" t="s">
        <v>49</v>
      </c>
      <c r="AD677">
        <v>0</v>
      </c>
      <c r="AE677">
        <v>-1</v>
      </c>
      <c r="AF677" t="s">
        <v>50</v>
      </c>
      <c r="AG677" t="s">
        <v>388</v>
      </c>
    </row>
    <row r="678" spans="1:33" x14ac:dyDescent="0.35">
      <c r="A678" s="1">
        <v>44893.713888888888</v>
      </c>
      <c r="B678">
        <v>4013135</v>
      </c>
      <c r="C678" t="s">
        <v>1321</v>
      </c>
      <c r="D678" t="s">
        <v>1322</v>
      </c>
      <c r="E678" s="2">
        <v>42290</v>
      </c>
      <c r="F678" t="str">
        <f>"9781613128183"</f>
        <v>9781613128183</v>
      </c>
      <c r="G678" t="str">
        <f>"9781419717963"</f>
        <v>9781419717963</v>
      </c>
      <c r="H678" t="s">
        <v>1046</v>
      </c>
      <c r="I678">
        <v>391.63</v>
      </c>
      <c r="J678" t="s">
        <v>1323</v>
      </c>
      <c r="K678" t="s">
        <v>44</v>
      </c>
      <c r="N678" t="s">
        <v>45</v>
      </c>
      <c r="O678" t="s">
        <v>46</v>
      </c>
      <c r="P678" t="s">
        <v>45</v>
      </c>
      <c r="Q678" t="s">
        <v>47</v>
      </c>
      <c r="R678" t="s">
        <v>44</v>
      </c>
      <c r="S678">
        <v>0</v>
      </c>
      <c r="W678" s="3">
        <v>3.4722222222222222E-5</v>
      </c>
      <c r="X678" t="s">
        <v>121</v>
      </c>
      <c r="Y678">
        <v>1</v>
      </c>
      <c r="Z678">
        <v>0</v>
      </c>
      <c r="AA678" t="s">
        <v>49</v>
      </c>
      <c r="AB678">
        <v>0</v>
      </c>
      <c r="AC678" t="s">
        <v>49</v>
      </c>
      <c r="AD678">
        <v>0</v>
      </c>
      <c r="AE678">
        <v>11131154</v>
      </c>
      <c r="AF678" t="s">
        <v>50</v>
      </c>
      <c r="AG678" t="s">
        <v>630</v>
      </c>
    </row>
    <row r="679" spans="1:33" x14ac:dyDescent="0.35">
      <c r="A679" s="1">
        <v>44893.695138888892</v>
      </c>
      <c r="B679">
        <v>5047925</v>
      </c>
      <c r="C679" t="s">
        <v>1696</v>
      </c>
      <c r="D679" t="s">
        <v>59</v>
      </c>
      <c r="E679" s="2">
        <v>43073</v>
      </c>
      <c r="F679" t="str">
        <f>"9783527698141"</f>
        <v>9783527698141</v>
      </c>
      <c r="G679" t="str">
        <f>"9783527340712"</f>
        <v>9783527340712</v>
      </c>
      <c r="H679" t="s">
        <v>542</v>
      </c>
      <c r="J679" t="s">
        <v>1697</v>
      </c>
      <c r="K679" t="s">
        <v>44</v>
      </c>
      <c r="N679" t="s">
        <v>45</v>
      </c>
      <c r="O679" t="s">
        <v>46</v>
      </c>
      <c r="P679" t="s">
        <v>45</v>
      </c>
      <c r="Q679" t="s">
        <v>47</v>
      </c>
      <c r="R679" t="s">
        <v>44</v>
      </c>
      <c r="S679">
        <v>0</v>
      </c>
      <c r="W679" s="3">
        <v>6.5740740740740733E-3</v>
      </c>
      <c r="X679" t="s">
        <v>1698</v>
      </c>
      <c r="Y679">
        <v>16</v>
      </c>
      <c r="Z679">
        <v>0</v>
      </c>
      <c r="AA679" t="s">
        <v>49</v>
      </c>
      <c r="AB679">
        <v>0</v>
      </c>
      <c r="AC679" t="s">
        <v>49</v>
      </c>
      <c r="AD679">
        <v>0</v>
      </c>
      <c r="AE679">
        <v>11443012</v>
      </c>
      <c r="AF679" t="s">
        <v>50</v>
      </c>
      <c r="AG679" t="s">
        <v>1699</v>
      </c>
    </row>
    <row r="680" spans="1:33" x14ac:dyDescent="0.35">
      <c r="A680" s="1">
        <v>44893.693749999999</v>
      </c>
      <c r="B680">
        <v>6357706</v>
      </c>
      <c r="C680" t="s">
        <v>1700</v>
      </c>
      <c r="D680" t="s">
        <v>213</v>
      </c>
      <c r="E680" s="2">
        <v>44100</v>
      </c>
      <c r="F680" t="str">
        <f>"9780128184141"</f>
        <v>9780128184141</v>
      </c>
      <c r="G680" t="str">
        <f>"9780128184134"</f>
        <v>9780128184134</v>
      </c>
      <c r="H680" t="s">
        <v>460</v>
      </c>
      <c r="I680">
        <v>620.11297000000002</v>
      </c>
      <c r="J680" t="s">
        <v>1701</v>
      </c>
      <c r="K680" t="s">
        <v>55</v>
      </c>
      <c r="Q680" t="s">
        <v>47</v>
      </c>
      <c r="R680" t="s">
        <v>44</v>
      </c>
      <c r="S680">
        <v>0</v>
      </c>
      <c r="W680" s="3">
        <v>1.3773148148148147E-3</v>
      </c>
      <c r="X680" t="s">
        <v>1702</v>
      </c>
      <c r="Y680">
        <v>32</v>
      </c>
      <c r="Z680">
        <v>0</v>
      </c>
      <c r="AA680" t="s">
        <v>49</v>
      </c>
      <c r="AB680">
        <v>0</v>
      </c>
      <c r="AC680" t="s">
        <v>49</v>
      </c>
      <c r="AD680">
        <v>0</v>
      </c>
      <c r="AE680">
        <v>-1</v>
      </c>
      <c r="AF680" t="s">
        <v>50</v>
      </c>
      <c r="AG680" t="s">
        <v>1699</v>
      </c>
    </row>
    <row r="681" spans="1:33" x14ac:dyDescent="0.35">
      <c r="A681" s="1">
        <v>44893.691666666666</v>
      </c>
      <c r="B681">
        <v>6460382</v>
      </c>
      <c r="C681" t="s">
        <v>1703</v>
      </c>
      <c r="D681" t="s">
        <v>65</v>
      </c>
      <c r="E681" s="2">
        <v>44218</v>
      </c>
      <c r="F681" t="str">
        <f>"9780128199169"</f>
        <v>9780128199169</v>
      </c>
      <c r="G681" t="str">
        <f>"9780128185353"</f>
        <v>9780128185353</v>
      </c>
      <c r="H681" t="s">
        <v>546</v>
      </c>
      <c r="I681">
        <v>621.31242999999995</v>
      </c>
      <c r="J681" t="s">
        <v>1704</v>
      </c>
      <c r="K681" t="s">
        <v>55</v>
      </c>
      <c r="Q681" t="s">
        <v>47</v>
      </c>
      <c r="R681" t="s">
        <v>44</v>
      </c>
      <c r="S681">
        <v>0</v>
      </c>
      <c r="W681" s="3">
        <v>1.0532407407407407E-3</v>
      </c>
      <c r="X681" t="s">
        <v>1705</v>
      </c>
      <c r="Y681">
        <v>12</v>
      </c>
      <c r="Z681">
        <v>0</v>
      </c>
      <c r="AA681" t="s">
        <v>49</v>
      </c>
      <c r="AB681">
        <v>0</v>
      </c>
      <c r="AC681" t="s">
        <v>49</v>
      </c>
      <c r="AD681">
        <v>0</v>
      </c>
      <c r="AE681">
        <v>-1</v>
      </c>
      <c r="AF681" t="s">
        <v>50</v>
      </c>
      <c r="AG681" t="s">
        <v>1699</v>
      </c>
    </row>
    <row r="682" spans="1:33" x14ac:dyDescent="0.35">
      <c r="A682" s="1">
        <v>44893.654861111114</v>
      </c>
      <c r="B682">
        <v>835145</v>
      </c>
      <c r="C682" t="s">
        <v>1706</v>
      </c>
      <c r="D682" t="s">
        <v>59</v>
      </c>
      <c r="E682" s="2">
        <v>40952</v>
      </c>
      <c r="F682" t="str">
        <f>"9781119977001"</f>
        <v>9781119977001</v>
      </c>
      <c r="G682" t="str">
        <f>"9781119992851"</f>
        <v>9781119992851</v>
      </c>
      <c r="H682" t="s">
        <v>542</v>
      </c>
      <c r="I682">
        <v>621.31244000000004</v>
      </c>
      <c r="J682" t="s">
        <v>1707</v>
      </c>
      <c r="K682" t="s">
        <v>44</v>
      </c>
      <c r="N682" t="s">
        <v>45</v>
      </c>
      <c r="O682" t="s">
        <v>46</v>
      </c>
      <c r="P682" t="s">
        <v>45</v>
      </c>
      <c r="Q682" t="s">
        <v>47</v>
      </c>
      <c r="R682" t="s">
        <v>44</v>
      </c>
      <c r="S682">
        <v>0</v>
      </c>
      <c r="W682" s="3">
        <v>7.8703703703703713E-3</v>
      </c>
      <c r="X682" t="s">
        <v>1708</v>
      </c>
      <c r="Y682">
        <v>3</v>
      </c>
      <c r="Z682">
        <v>0</v>
      </c>
      <c r="AA682" t="s">
        <v>49</v>
      </c>
      <c r="AB682">
        <v>0</v>
      </c>
      <c r="AC682" t="s">
        <v>49</v>
      </c>
      <c r="AD682">
        <v>0</v>
      </c>
      <c r="AE682">
        <v>10526535</v>
      </c>
      <c r="AF682" t="s">
        <v>50</v>
      </c>
      <c r="AG682" t="s">
        <v>523</v>
      </c>
    </row>
    <row r="683" spans="1:33" x14ac:dyDescent="0.35">
      <c r="A683" s="1">
        <v>44893.557638888888</v>
      </c>
      <c r="B683">
        <v>4414604</v>
      </c>
      <c r="C683" t="s">
        <v>1584</v>
      </c>
      <c r="D683" t="s">
        <v>1585</v>
      </c>
      <c r="E683" s="2">
        <v>42359</v>
      </c>
      <c r="F683" t="str">
        <f>"9780809334452"</f>
        <v>9780809334452</v>
      </c>
      <c r="G683" t="str">
        <f>"9780809334445"</f>
        <v>9780809334445</v>
      </c>
      <c r="H683" t="s">
        <v>1102</v>
      </c>
      <c r="I683">
        <v>796.60820000000001</v>
      </c>
      <c r="J683" t="s">
        <v>1586</v>
      </c>
      <c r="K683" t="s">
        <v>44</v>
      </c>
      <c r="N683" t="s">
        <v>45</v>
      </c>
      <c r="O683" t="s">
        <v>46</v>
      </c>
      <c r="P683" t="s">
        <v>45</v>
      </c>
      <c r="Q683" t="s">
        <v>47</v>
      </c>
      <c r="R683" t="s">
        <v>44</v>
      </c>
      <c r="S683">
        <v>0</v>
      </c>
      <c r="W683" s="3">
        <v>1.1689814814814816E-3</v>
      </c>
      <c r="X683" t="s">
        <v>1709</v>
      </c>
      <c r="Y683">
        <v>15</v>
      </c>
      <c r="Z683">
        <v>0</v>
      </c>
      <c r="AA683" t="s">
        <v>49</v>
      </c>
      <c r="AB683">
        <v>0</v>
      </c>
      <c r="AC683" t="s">
        <v>49</v>
      </c>
      <c r="AD683">
        <v>0</v>
      </c>
      <c r="AE683">
        <v>11171332</v>
      </c>
      <c r="AF683" t="s">
        <v>50</v>
      </c>
      <c r="AG683" t="s">
        <v>388</v>
      </c>
    </row>
    <row r="684" spans="1:33" x14ac:dyDescent="0.35">
      <c r="A684" s="1">
        <v>44893.545138888891</v>
      </c>
      <c r="B684">
        <v>6819958</v>
      </c>
      <c r="C684" t="s">
        <v>1710</v>
      </c>
      <c r="D684" t="s">
        <v>65</v>
      </c>
      <c r="E684" s="2">
        <v>44533</v>
      </c>
      <c r="F684" t="str">
        <f>"9780128219324"</f>
        <v>9780128219324</v>
      </c>
      <c r="G684" t="str">
        <f>"9780128219317"</f>
        <v>9780128219317</v>
      </c>
      <c r="H684" t="s">
        <v>297</v>
      </c>
      <c r="I684">
        <v>622.33826999999997</v>
      </c>
      <c r="J684" t="s">
        <v>1711</v>
      </c>
      <c r="K684" t="s">
        <v>55</v>
      </c>
      <c r="Q684" t="s">
        <v>47</v>
      </c>
      <c r="R684" t="s">
        <v>44</v>
      </c>
      <c r="S684">
        <v>0</v>
      </c>
      <c r="W684" s="3">
        <v>8.9120370370370378E-3</v>
      </c>
      <c r="X684" t="s">
        <v>1712</v>
      </c>
      <c r="Y684">
        <v>29</v>
      </c>
      <c r="Z684">
        <v>0</v>
      </c>
      <c r="AA684" t="s">
        <v>49</v>
      </c>
      <c r="AB684">
        <v>0</v>
      </c>
      <c r="AC684" t="s">
        <v>49</v>
      </c>
      <c r="AD684">
        <v>0</v>
      </c>
      <c r="AE684">
        <v>-1</v>
      </c>
      <c r="AF684" t="s">
        <v>50</v>
      </c>
      <c r="AG684" t="s">
        <v>388</v>
      </c>
    </row>
    <row r="685" spans="1:33" x14ac:dyDescent="0.35">
      <c r="A685" s="1">
        <v>44893.538888888892</v>
      </c>
      <c r="B685">
        <v>1249496</v>
      </c>
      <c r="C685" t="s">
        <v>1713</v>
      </c>
      <c r="D685" t="s">
        <v>443</v>
      </c>
      <c r="E685" s="2">
        <v>41488</v>
      </c>
      <c r="F685" t="str">
        <f>"9780520956674"</f>
        <v>9780520956674</v>
      </c>
      <c r="G685" t="str">
        <f>"9780520276345"</f>
        <v>9780520276345</v>
      </c>
      <c r="H685" t="s">
        <v>60</v>
      </c>
      <c r="J685" t="s">
        <v>1714</v>
      </c>
      <c r="K685" t="s">
        <v>44</v>
      </c>
      <c r="N685" t="s">
        <v>45</v>
      </c>
      <c r="O685" t="s">
        <v>46</v>
      </c>
      <c r="P685" t="s">
        <v>177</v>
      </c>
      <c r="Q685" t="s">
        <v>47</v>
      </c>
      <c r="R685" t="s">
        <v>55</v>
      </c>
      <c r="S685">
        <v>0</v>
      </c>
      <c r="W685" s="3">
        <v>2.7777777777777778E-4</v>
      </c>
      <c r="X685" t="s">
        <v>1715</v>
      </c>
      <c r="Y685">
        <v>5</v>
      </c>
      <c r="Z685">
        <v>0</v>
      </c>
      <c r="AA685" t="s">
        <v>49</v>
      </c>
      <c r="AB685">
        <v>0</v>
      </c>
      <c r="AC685" t="s">
        <v>49</v>
      </c>
      <c r="AD685">
        <v>0</v>
      </c>
      <c r="AE685">
        <v>10729561</v>
      </c>
      <c r="AF685" t="s">
        <v>50</v>
      </c>
      <c r="AG685" t="s">
        <v>1500</v>
      </c>
    </row>
    <row r="686" spans="1:33" x14ac:dyDescent="0.35">
      <c r="A686" s="1">
        <v>44893.53402777778</v>
      </c>
      <c r="B686">
        <v>279494</v>
      </c>
      <c r="C686" t="s">
        <v>1333</v>
      </c>
      <c r="D686" t="s">
        <v>125</v>
      </c>
      <c r="E686" s="2">
        <v>37280</v>
      </c>
      <c r="F686" t="str">
        <f>"9780198032953"</f>
        <v>9780198032953</v>
      </c>
      <c r="G686" t="str">
        <f>"9780195144208"</f>
        <v>9780195144208</v>
      </c>
      <c r="H686" t="s">
        <v>667</v>
      </c>
      <c r="I686" t="s">
        <v>1334</v>
      </c>
      <c r="J686" t="s">
        <v>1335</v>
      </c>
      <c r="K686" t="s">
        <v>44</v>
      </c>
      <c r="N686" t="s">
        <v>45</v>
      </c>
      <c r="O686" t="s">
        <v>46</v>
      </c>
      <c r="P686" t="s">
        <v>45</v>
      </c>
      <c r="Q686" t="s">
        <v>47</v>
      </c>
      <c r="R686" t="s">
        <v>44</v>
      </c>
      <c r="S686">
        <v>0</v>
      </c>
      <c r="W686" s="3">
        <v>1.0763888888888889E-3</v>
      </c>
      <c r="X686" t="s">
        <v>1716</v>
      </c>
      <c r="Y686">
        <v>3</v>
      </c>
      <c r="Z686">
        <v>0</v>
      </c>
      <c r="AA686" t="s">
        <v>49</v>
      </c>
      <c r="AB686">
        <v>0</v>
      </c>
      <c r="AC686" t="s">
        <v>1717</v>
      </c>
      <c r="AD686">
        <v>1</v>
      </c>
      <c r="AE686">
        <v>11303309</v>
      </c>
      <c r="AF686" t="s">
        <v>50</v>
      </c>
      <c r="AG686" t="s">
        <v>1718</v>
      </c>
    </row>
    <row r="687" spans="1:33" x14ac:dyDescent="0.35">
      <c r="A687" s="1">
        <v>44893.519444444442</v>
      </c>
      <c r="B687">
        <v>5157550</v>
      </c>
      <c r="C687" t="s">
        <v>1217</v>
      </c>
      <c r="D687" t="s">
        <v>115</v>
      </c>
      <c r="E687" s="2">
        <v>43367</v>
      </c>
      <c r="F687" t="str">
        <f>"9783110545210"</f>
        <v>9783110545210</v>
      </c>
      <c r="G687" t="str">
        <f>"9783110543735"</f>
        <v>9783110543735</v>
      </c>
      <c r="H687" t="s">
        <v>1040</v>
      </c>
      <c r="I687">
        <v>547.23</v>
      </c>
      <c r="J687" t="s">
        <v>1218</v>
      </c>
      <c r="K687" t="s">
        <v>44</v>
      </c>
      <c r="N687" t="s">
        <v>45</v>
      </c>
      <c r="O687" t="s">
        <v>46</v>
      </c>
      <c r="P687" t="s">
        <v>45</v>
      </c>
      <c r="Q687" t="s">
        <v>47</v>
      </c>
      <c r="R687" t="s">
        <v>44</v>
      </c>
      <c r="S687">
        <v>0</v>
      </c>
      <c r="W687" s="3">
        <v>3.4722222222222222E-5</v>
      </c>
      <c r="X687" t="s">
        <v>121</v>
      </c>
      <c r="Y687">
        <v>1</v>
      </c>
      <c r="Z687">
        <v>0</v>
      </c>
      <c r="AA687" t="s">
        <v>49</v>
      </c>
      <c r="AB687">
        <v>0</v>
      </c>
      <c r="AC687" t="s">
        <v>49</v>
      </c>
      <c r="AD687">
        <v>0</v>
      </c>
      <c r="AE687">
        <v>-1</v>
      </c>
      <c r="AF687" t="s">
        <v>50</v>
      </c>
      <c r="AG687" t="s">
        <v>388</v>
      </c>
    </row>
    <row r="688" spans="1:33" x14ac:dyDescent="0.35">
      <c r="A688" s="1">
        <v>44893.518055555556</v>
      </c>
      <c r="B688">
        <v>6644558</v>
      </c>
      <c r="C688" t="s">
        <v>1719</v>
      </c>
      <c r="D688" t="s">
        <v>76</v>
      </c>
      <c r="E688" s="2">
        <v>44424</v>
      </c>
      <c r="F688" t="str">
        <f>"9781351347617"</f>
        <v>9781351347617</v>
      </c>
      <c r="G688" t="str">
        <f>"9781138564169"</f>
        <v>9781138564169</v>
      </c>
      <c r="H688" t="s">
        <v>1720</v>
      </c>
      <c r="I688">
        <v>624.17100000000005</v>
      </c>
      <c r="J688" t="s">
        <v>1721</v>
      </c>
      <c r="K688" t="s">
        <v>55</v>
      </c>
      <c r="Q688" t="s">
        <v>47</v>
      </c>
      <c r="R688" t="s">
        <v>44</v>
      </c>
      <c r="S688">
        <v>0</v>
      </c>
      <c r="W688" s="3">
        <v>1.4699074074074074E-3</v>
      </c>
      <c r="X688" t="s">
        <v>1722</v>
      </c>
      <c r="Y688">
        <v>25</v>
      </c>
      <c r="Z688">
        <v>0</v>
      </c>
      <c r="AA688" t="s">
        <v>49</v>
      </c>
      <c r="AB688">
        <v>0</v>
      </c>
      <c r="AC688" t="s">
        <v>49</v>
      </c>
      <c r="AD688">
        <v>0</v>
      </c>
      <c r="AE688">
        <v>-1</v>
      </c>
      <c r="AF688" t="s">
        <v>63</v>
      </c>
      <c r="AG688" t="s">
        <v>388</v>
      </c>
    </row>
    <row r="689" spans="1:33" x14ac:dyDescent="0.35">
      <c r="A689" s="1">
        <v>44893.513888888891</v>
      </c>
      <c r="B689">
        <v>1449722</v>
      </c>
      <c r="C689" t="s">
        <v>1723</v>
      </c>
      <c r="D689" t="s">
        <v>76</v>
      </c>
      <c r="E689" s="2">
        <v>40896</v>
      </c>
      <c r="F689" t="str">
        <f>"9781439860533"</f>
        <v>9781439860533</v>
      </c>
      <c r="G689" t="str">
        <f>"9781439860526"</f>
        <v>9781439860526</v>
      </c>
      <c r="H689" t="s">
        <v>252</v>
      </c>
      <c r="I689" t="s">
        <v>1724</v>
      </c>
      <c r="J689" t="s">
        <v>1725</v>
      </c>
      <c r="K689" t="s">
        <v>44</v>
      </c>
      <c r="N689" t="s">
        <v>45</v>
      </c>
      <c r="O689" t="s">
        <v>46</v>
      </c>
      <c r="P689" t="s">
        <v>45</v>
      </c>
      <c r="Q689" t="s">
        <v>47</v>
      </c>
      <c r="R689" t="s">
        <v>44</v>
      </c>
      <c r="S689">
        <v>0</v>
      </c>
      <c r="W689" s="3">
        <v>3.1481481481481482E-3</v>
      </c>
      <c r="X689" t="s">
        <v>1726</v>
      </c>
      <c r="Y689">
        <v>35</v>
      </c>
      <c r="Z689">
        <v>3</v>
      </c>
      <c r="AA689" t="s">
        <v>1727</v>
      </c>
      <c r="AB689">
        <v>111</v>
      </c>
      <c r="AC689" t="s">
        <v>49</v>
      </c>
      <c r="AD689">
        <v>0</v>
      </c>
      <c r="AE689">
        <v>11166417</v>
      </c>
      <c r="AF689" t="s">
        <v>63</v>
      </c>
      <c r="AG689" t="s">
        <v>388</v>
      </c>
    </row>
    <row r="690" spans="1:33" x14ac:dyDescent="0.35">
      <c r="A690" s="1">
        <v>44893.479861111111</v>
      </c>
      <c r="B690">
        <v>6940602</v>
      </c>
      <c r="C690" t="s">
        <v>1265</v>
      </c>
      <c r="D690" t="s">
        <v>65</v>
      </c>
      <c r="E690" s="2">
        <v>44669</v>
      </c>
      <c r="F690" t="str">
        <f>"9780323858762"</f>
        <v>9780323858762</v>
      </c>
      <c r="G690" t="str">
        <f>"9780323858731"</f>
        <v>9780323858731</v>
      </c>
      <c r="H690" t="s">
        <v>719</v>
      </c>
      <c r="I690">
        <v>615.6</v>
      </c>
      <c r="J690" t="s">
        <v>1266</v>
      </c>
      <c r="K690" t="s">
        <v>55</v>
      </c>
      <c r="Q690" t="s">
        <v>47</v>
      </c>
      <c r="R690" t="s">
        <v>44</v>
      </c>
      <c r="S690">
        <v>0</v>
      </c>
      <c r="W690" s="3">
        <v>2.5810185185185185E-3</v>
      </c>
      <c r="X690" t="s">
        <v>1728</v>
      </c>
      <c r="Y690">
        <v>28</v>
      </c>
      <c r="Z690">
        <v>0</v>
      </c>
      <c r="AA690" t="s">
        <v>49</v>
      </c>
      <c r="AB690">
        <v>0</v>
      </c>
      <c r="AC690" t="s">
        <v>49</v>
      </c>
      <c r="AD690">
        <v>0</v>
      </c>
      <c r="AE690">
        <v>-1</v>
      </c>
      <c r="AF690" t="s">
        <v>50</v>
      </c>
      <c r="AG690" t="s">
        <v>1160</v>
      </c>
    </row>
    <row r="691" spans="1:33" x14ac:dyDescent="0.35">
      <c r="A691" s="1">
        <v>44893.427083333336</v>
      </c>
      <c r="B691">
        <v>997239</v>
      </c>
      <c r="C691" t="s">
        <v>1281</v>
      </c>
      <c r="D691" t="s">
        <v>1282</v>
      </c>
      <c r="E691" s="2">
        <v>34044</v>
      </c>
      <c r="F691" t="str">
        <f>"9781452254067"</f>
        <v>9781452254067</v>
      </c>
      <c r="G691" t="str">
        <f>"9780803947993"</f>
        <v>9780803947993</v>
      </c>
      <c r="H691" t="s">
        <v>1046</v>
      </c>
      <c r="I691">
        <v>361.70679999999999</v>
      </c>
      <c r="J691">
        <v>92043625</v>
      </c>
      <c r="K691" t="s">
        <v>44</v>
      </c>
      <c r="N691" t="s">
        <v>45</v>
      </c>
      <c r="O691" t="s">
        <v>46</v>
      </c>
      <c r="P691" t="s">
        <v>45</v>
      </c>
      <c r="Q691" t="s">
        <v>47</v>
      </c>
      <c r="R691" t="s">
        <v>44</v>
      </c>
      <c r="S691">
        <v>0</v>
      </c>
      <c r="W691" s="3">
        <v>1.0416666666666667E-4</v>
      </c>
      <c r="X691" t="s">
        <v>121</v>
      </c>
      <c r="Y691">
        <v>1</v>
      </c>
      <c r="Z691">
        <v>0</v>
      </c>
      <c r="AA691" t="s">
        <v>49</v>
      </c>
      <c r="AB691">
        <v>0</v>
      </c>
      <c r="AC691" t="s">
        <v>49</v>
      </c>
      <c r="AD691">
        <v>0</v>
      </c>
      <c r="AE691">
        <v>10593937</v>
      </c>
      <c r="AF691" t="s">
        <v>50</v>
      </c>
      <c r="AG691" t="s">
        <v>388</v>
      </c>
    </row>
    <row r="692" spans="1:33" x14ac:dyDescent="0.35">
      <c r="A692" s="1">
        <v>44893.427083333336</v>
      </c>
      <c r="B692">
        <v>997259</v>
      </c>
      <c r="C692" t="s">
        <v>1436</v>
      </c>
      <c r="D692" t="s">
        <v>1282</v>
      </c>
      <c r="E692" s="2">
        <v>33815</v>
      </c>
      <c r="F692" t="str">
        <f>"9781452246260"</f>
        <v>9781452246260</v>
      </c>
      <c r="G692" t="str">
        <f>"9780803948051"</f>
        <v>9780803948051</v>
      </c>
      <c r="H692" t="s">
        <v>60</v>
      </c>
      <c r="I692">
        <v>658.40120000000002</v>
      </c>
      <c r="J692">
        <v>92017898</v>
      </c>
      <c r="K692" t="s">
        <v>44</v>
      </c>
      <c r="N692" t="s">
        <v>45</v>
      </c>
      <c r="O692" t="s">
        <v>46</v>
      </c>
      <c r="P692" t="s">
        <v>45</v>
      </c>
      <c r="Q692" t="s">
        <v>47</v>
      </c>
      <c r="R692" t="s">
        <v>44</v>
      </c>
      <c r="S692">
        <v>0</v>
      </c>
      <c r="W692" s="3">
        <v>1.0416666666666667E-4</v>
      </c>
      <c r="X692" t="s">
        <v>121</v>
      </c>
      <c r="Y692">
        <v>1</v>
      </c>
      <c r="Z692">
        <v>0</v>
      </c>
      <c r="AA692" t="s">
        <v>49</v>
      </c>
      <c r="AB692">
        <v>0</v>
      </c>
      <c r="AC692" t="s">
        <v>49</v>
      </c>
      <c r="AD692">
        <v>0</v>
      </c>
      <c r="AE692">
        <v>10593945</v>
      </c>
      <c r="AF692" t="s">
        <v>50</v>
      </c>
      <c r="AG692" t="s">
        <v>388</v>
      </c>
    </row>
    <row r="693" spans="1:33" x14ac:dyDescent="0.35">
      <c r="A693" s="1">
        <v>44893.426388888889</v>
      </c>
      <c r="B693">
        <v>1104757</v>
      </c>
      <c r="C693" t="s">
        <v>1676</v>
      </c>
      <c r="D693" t="s">
        <v>76</v>
      </c>
      <c r="E693" s="2">
        <v>41233</v>
      </c>
      <c r="F693" t="str">
        <f>"9781136302459"</f>
        <v>9781136302459</v>
      </c>
      <c r="G693" t="str">
        <f>"9780415530026"</f>
        <v>9780415530026</v>
      </c>
      <c r="H693" t="s">
        <v>658</v>
      </c>
      <c r="I693">
        <v>700.68</v>
      </c>
      <c r="J693" t="s">
        <v>1677</v>
      </c>
      <c r="K693" t="s">
        <v>44</v>
      </c>
      <c r="N693" t="s">
        <v>45</v>
      </c>
      <c r="O693" t="s">
        <v>46</v>
      </c>
      <c r="P693" t="s">
        <v>45</v>
      </c>
      <c r="Q693" t="s">
        <v>47</v>
      </c>
      <c r="R693" t="s">
        <v>44</v>
      </c>
      <c r="S693">
        <v>0</v>
      </c>
      <c r="W693" s="3">
        <v>1.1921296296296296E-3</v>
      </c>
      <c r="X693" t="s">
        <v>196</v>
      </c>
      <c r="Y693">
        <v>2</v>
      </c>
      <c r="Z693">
        <v>0</v>
      </c>
      <c r="AA693" t="s">
        <v>49</v>
      </c>
      <c r="AB693">
        <v>0</v>
      </c>
      <c r="AC693" t="s">
        <v>49</v>
      </c>
      <c r="AD693">
        <v>0</v>
      </c>
      <c r="AE693">
        <v>10641657</v>
      </c>
      <c r="AF693" t="s">
        <v>50</v>
      </c>
      <c r="AG693" t="s">
        <v>388</v>
      </c>
    </row>
    <row r="694" spans="1:33" x14ac:dyDescent="0.35">
      <c r="A694" s="1">
        <v>44893.426388888889</v>
      </c>
      <c r="B694">
        <v>996993</v>
      </c>
      <c r="C694" t="s">
        <v>1410</v>
      </c>
      <c r="D694" t="s">
        <v>1282</v>
      </c>
      <c r="E694" s="2">
        <v>36509</v>
      </c>
      <c r="F694" t="str">
        <f>"9781452221809"</f>
        <v>9781452221809</v>
      </c>
      <c r="G694" t="str">
        <f>"9780761913245"</f>
        <v>9780761913245</v>
      </c>
      <c r="H694" t="s">
        <v>60</v>
      </c>
      <c r="I694" t="s">
        <v>1279</v>
      </c>
      <c r="J694" t="s">
        <v>1411</v>
      </c>
      <c r="K694" t="s">
        <v>44</v>
      </c>
      <c r="N694" t="s">
        <v>45</v>
      </c>
      <c r="O694" t="s">
        <v>46</v>
      </c>
      <c r="P694" t="s">
        <v>45</v>
      </c>
      <c r="Q694" t="s">
        <v>47</v>
      </c>
      <c r="R694" t="s">
        <v>44</v>
      </c>
      <c r="S694">
        <v>0</v>
      </c>
      <c r="W694" s="3">
        <v>1.25E-3</v>
      </c>
      <c r="X694" t="s">
        <v>196</v>
      </c>
      <c r="Y694">
        <v>2</v>
      </c>
      <c r="Z694">
        <v>0</v>
      </c>
      <c r="AA694" t="s">
        <v>49</v>
      </c>
      <c r="AB694">
        <v>0</v>
      </c>
      <c r="AC694" t="s">
        <v>49</v>
      </c>
      <c r="AD694">
        <v>0</v>
      </c>
      <c r="AE694">
        <v>10586489</v>
      </c>
      <c r="AF694" t="s">
        <v>50</v>
      </c>
      <c r="AG694" t="s">
        <v>388</v>
      </c>
    </row>
    <row r="695" spans="1:33" x14ac:dyDescent="0.35">
      <c r="A695" s="1">
        <v>44893.425694444442</v>
      </c>
      <c r="B695">
        <v>271889</v>
      </c>
      <c r="C695" t="s">
        <v>1729</v>
      </c>
      <c r="D695" t="s">
        <v>507</v>
      </c>
      <c r="E695" s="2">
        <v>38918</v>
      </c>
      <c r="F695" t="str">
        <f>"9780748627240"</f>
        <v>9780748627240</v>
      </c>
      <c r="G695" t="str">
        <f>"9780748612918"</f>
        <v>9780748612918</v>
      </c>
      <c r="H695" t="s">
        <v>1069</v>
      </c>
      <c r="I695" t="s">
        <v>1730</v>
      </c>
      <c r="J695" t="s">
        <v>1731</v>
      </c>
      <c r="K695" t="s">
        <v>44</v>
      </c>
      <c r="N695" t="s">
        <v>45</v>
      </c>
      <c r="O695" t="s">
        <v>46</v>
      </c>
      <c r="P695" t="s">
        <v>45</v>
      </c>
      <c r="Q695" t="s">
        <v>47</v>
      </c>
      <c r="R695" t="s">
        <v>44</v>
      </c>
      <c r="S695">
        <v>0</v>
      </c>
      <c r="W695" s="3">
        <v>1.4733796296296295E-2</v>
      </c>
      <c r="X695" t="s">
        <v>1732</v>
      </c>
      <c r="Y695">
        <v>20</v>
      </c>
      <c r="Z695">
        <v>0</v>
      </c>
      <c r="AA695" t="s">
        <v>49</v>
      </c>
      <c r="AB695">
        <v>0</v>
      </c>
      <c r="AC695" t="s">
        <v>1733</v>
      </c>
      <c r="AD695">
        <v>7</v>
      </c>
      <c r="AE695">
        <v>10137883</v>
      </c>
      <c r="AF695" t="s">
        <v>50</v>
      </c>
      <c r="AG695" t="s">
        <v>122</v>
      </c>
    </row>
    <row r="696" spans="1:33" x14ac:dyDescent="0.35">
      <c r="A696" s="1">
        <v>44893.352777777778</v>
      </c>
      <c r="B696">
        <v>5969438</v>
      </c>
      <c r="C696" t="s">
        <v>917</v>
      </c>
      <c r="D696" t="s">
        <v>105</v>
      </c>
      <c r="E696" s="2">
        <v>43780</v>
      </c>
      <c r="F696" t="str">
        <f>"9783030244408"</f>
        <v>9783030244408</v>
      </c>
      <c r="G696" t="str">
        <f>"9783030244392"</f>
        <v>9783030244392</v>
      </c>
      <c r="H696" t="s">
        <v>918</v>
      </c>
      <c r="I696">
        <v>669.94</v>
      </c>
      <c r="J696" t="s">
        <v>919</v>
      </c>
      <c r="K696" t="s">
        <v>55</v>
      </c>
      <c r="Q696" t="s">
        <v>47</v>
      </c>
      <c r="R696" t="s">
        <v>44</v>
      </c>
      <c r="S696">
        <v>0</v>
      </c>
      <c r="W696" s="3">
        <v>2.6793981481481485E-2</v>
      </c>
      <c r="X696" t="s">
        <v>1734</v>
      </c>
      <c r="Y696">
        <v>9</v>
      </c>
      <c r="Z696">
        <v>0</v>
      </c>
      <c r="AA696" t="s">
        <v>49</v>
      </c>
      <c r="AB696">
        <v>0</v>
      </c>
      <c r="AC696" t="s">
        <v>49</v>
      </c>
      <c r="AD696">
        <v>0</v>
      </c>
      <c r="AE696">
        <v>-1</v>
      </c>
      <c r="AF696" t="s">
        <v>50</v>
      </c>
      <c r="AG696" t="s">
        <v>388</v>
      </c>
    </row>
    <row r="697" spans="1:33" x14ac:dyDescent="0.35">
      <c r="A697" s="1">
        <v>44893.274305555555</v>
      </c>
      <c r="B697">
        <v>5092525</v>
      </c>
      <c r="C697" t="s">
        <v>695</v>
      </c>
      <c r="D697" t="s">
        <v>696</v>
      </c>
      <c r="E697" s="2">
        <v>41683</v>
      </c>
      <c r="F697" t="str">
        <f>"9781909453692"</f>
        <v>9781909453692</v>
      </c>
      <c r="G697" t="str">
        <f>"9781909453715"</f>
        <v>9781909453715</v>
      </c>
      <c r="H697" t="s">
        <v>77</v>
      </c>
      <c r="I697">
        <v>610.28</v>
      </c>
      <c r="J697" t="s">
        <v>697</v>
      </c>
      <c r="K697" t="s">
        <v>44</v>
      </c>
      <c r="N697" t="s">
        <v>45</v>
      </c>
      <c r="O697" t="s">
        <v>46</v>
      </c>
      <c r="P697" t="s">
        <v>45</v>
      </c>
      <c r="Q697" t="s">
        <v>47</v>
      </c>
      <c r="R697" t="s">
        <v>44</v>
      </c>
      <c r="S697">
        <v>0</v>
      </c>
      <c r="W697" s="3">
        <v>4.6064814814814814E-3</v>
      </c>
      <c r="X697" t="s">
        <v>1735</v>
      </c>
      <c r="Y697">
        <v>11</v>
      </c>
      <c r="Z697">
        <v>0</v>
      </c>
      <c r="AA697" t="s">
        <v>49</v>
      </c>
      <c r="AB697">
        <v>0</v>
      </c>
      <c r="AC697" t="s">
        <v>49</v>
      </c>
      <c r="AD697">
        <v>0</v>
      </c>
      <c r="AE697">
        <v>11451412</v>
      </c>
      <c r="AF697" t="s">
        <v>50</v>
      </c>
      <c r="AG697" t="s">
        <v>388</v>
      </c>
    </row>
    <row r="698" spans="1:33" x14ac:dyDescent="0.35">
      <c r="A698" s="1">
        <v>44893.150694444441</v>
      </c>
      <c r="B698">
        <v>271889</v>
      </c>
      <c r="C698" t="s">
        <v>1729</v>
      </c>
      <c r="D698" t="s">
        <v>507</v>
      </c>
      <c r="E698" s="2">
        <v>38918</v>
      </c>
      <c r="F698" t="str">
        <f>"9780748627240"</f>
        <v>9780748627240</v>
      </c>
      <c r="G698" t="str">
        <f>"9780748612918"</f>
        <v>9780748612918</v>
      </c>
      <c r="H698" t="s">
        <v>1069</v>
      </c>
      <c r="I698" t="s">
        <v>1730</v>
      </c>
      <c r="J698" t="s">
        <v>1731</v>
      </c>
      <c r="K698" t="s">
        <v>44</v>
      </c>
      <c r="N698" t="s">
        <v>45</v>
      </c>
      <c r="O698" t="s">
        <v>46</v>
      </c>
      <c r="P698" t="s">
        <v>45</v>
      </c>
      <c r="Q698" t="s">
        <v>47</v>
      </c>
      <c r="R698" t="s">
        <v>44</v>
      </c>
      <c r="S698">
        <v>0</v>
      </c>
      <c r="W698" s="3">
        <v>1.5243055555555557E-2</v>
      </c>
      <c r="X698" t="s">
        <v>1736</v>
      </c>
      <c r="Y698">
        <v>155</v>
      </c>
      <c r="Z698">
        <v>0</v>
      </c>
      <c r="AA698" t="s">
        <v>49</v>
      </c>
      <c r="AB698">
        <v>0</v>
      </c>
      <c r="AC698" t="s">
        <v>1025</v>
      </c>
      <c r="AD698">
        <v>1</v>
      </c>
      <c r="AE698">
        <v>10137883</v>
      </c>
      <c r="AF698" t="s">
        <v>50</v>
      </c>
      <c r="AG698" t="s">
        <v>122</v>
      </c>
    </row>
    <row r="699" spans="1:33" x14ac:dyDescent="0.35">
      <c r="A699" s="1">
        <v>44893.132638888892</v>
      </c>
      <c r="B699">
        <v>996993</v>
      </c>
      <c r="C699" t="s">
        <v>1410</v>
      </c>
      <c r="D699" t="s">
        <v>1282</v>
      </c>
      <c r="E699" s="2">
        <v>36509</v>
      </c>
      <c r="F699" t="str">
        <f>"9781452221809"</f>
        <v>9781452221809</v>
      </c>
      <c r="G699" t="str">
        <f>"9780761913245"</f>
        <v>9780761913245</v>
      </c>
      <c r="H699" t="s">
        <v>60</v>
      </c>
      <c r="I699" t="s">
        <v>1279</v>
      </c>
      <c r="J699" t="s">
        <v>1411</v>
      </c>
      <c r="K699" t="s">
        <v>44</v>
      </c>
      <c r="N699" t="s">
        <v>45</v>
      </c>
      <c r="O699" t="s">
        <v>46</v>
      </c>
      <c r="P699" t="s">
        <v>45</v>
      </c>
      <c r="Q699" t="s">
        <v>47</v>
      </c>
      <c r="R699" t="s">
        <v>44</v>
      </c>
      <c r="S699">
        <v>0</v>
      </c>
      <c r="W699" s="3">
        <v>4.5138888888888892E-4</v>
      </c>
      <c r="X699" t="s">
        <v>1737</v>
      </c>
      <c r="Y699">
        <v>4</v>
      </c>
      <c r="Z699">
        <v>0</v>
      </c>
      <c r="AA699" t="s">
        <v>49</v>
      </c>
      <c r="AB699">
        <v>0</v>
      </c>
      <c r="AC699" t="s">
        <v>49</v>
      </c>
      <c r="AD699">
        <v>0</v>
      </c>
      <c r="AE699">
        <v>10586489</v>
      </c>
      <c r="AF699" t="s">
        <v>50</v>
      </c>
      <c r="AG699" t="s">
        <v>388</v>
      </c>
    </row>
    <row r="700" spans="1:33" x14ac:dyDescent="0.35">
      <c r="A700" s="1">
        <v>44893.127083333333</v>
      </c>
      <c r="B700">
        <v>997259</v>
      </c>
      <c r="C700" t="s">
        <v>1436</v>
      </c>
      <c r="D700" t="s">
        <v>1282</v>
      </c>
      <c r="E700" s="2">
        <v>33815</v>
      </c>
      <c r="F700" t="str">
        <f>"9781452246260"</f>
        <v>9781452246260</v>
      </c>
      <c r="G700" t="str">
        <f>"9780803948051"</f>
        <v>9780803948051</v>
      </c>
      <c r="H700" t="s">
        <v>60</v>
      </c>
      <c r="I700">
        <v>658.40120000000002</v>
      </c>
      <c r="J700">
        <v>92017898</v>
      </c>
      <c r="K700" t="s">
        <v>44</v>
      </c>
      <c r="N700" t="s">
        <v>45</v>
      </c>
      <c r="O700" t="s">
        <v>46</v>
      </c>
      <c r="P700" t="s">
        <v>45</v>
      </c>
      <c r="Q700" t="s">
        <v>47</v>
      </c>
      <c r="R700" t="s">
        <v>44</v>
      </c>
      <c r="S700">
        <v>0</v>
      </c>
      <c r="W700" s="3">
        <v>6.9444444444444444E-5</v>
      </c>
      <c r="X700" t="s">
        <v>121</v>
      </c>
      <c r="Y700">
        <v>1</v>
      </c>
      <c r="Z700">
        <v>0</v>
      </c>
      <c r="AA700" t="s">
        <v>49</v>
      </c>
      <c r="AB700">
        <v>0</v>
      </c>
      <c r="AC700" t="s">
        <v>49</v>
      </c>
      <c r="AD700">
        <v>0</v>
      </c>
      <c r="AE700">
        <v>10593945</v>
      </c>
      <c r="AF700" t="s">
        <v>50</v>
      </c>
      <c r="AG700" t="s">
        <v>388</v>
      </c>
    </row>
    <row r="701" spans="1:33" x14ac:dyDescent="0.35">
      <c r="A701" s="1">
        <v>44893.116666666669</v>
      </c>
      <c r="B701">
        <v>997239</v>
      </c>
      <c r="C701" t="s">
        <v>1281</v>
      </c>
      <c r="D701" t="s">
        <v>1282</v>
      </c>
      <c r="E701" s="2">
        <v>34044</v>
      </c>
      <c r="F701" t="str">
        <f>"9781452254067"</f>
        <v>9781452254067</v>
      </c>
      <c r="G701" t="str">
        <f>"9780803947993"</f>
        <v>9780803947993</v>
      </c>
      <c r="H701" t="s">
        <v>1046</v>
      </c>
      <c r="I701">
        <v>361.70679999999999</v>
      </c>
      <c r="J701">
        <v>92043625</v>
      </c>
      <c r="K701" t="s">
        <v>44</v>
      </c>
      <c r="N701" t="s">
        <v>45</v>
      </c>
      <c r="O701" t="s">
        <v>46</v>
      </c>
      <c r="P701" t="s">
        <v>45</v>
      </c>
      <c r="Q701" t="s">
        <v>47</v>
      </c>
      <c r="R701" t="s">
        <v>44</v>
      </c>
      <c r="S701">
        <v>0</v>
      </c>
      <c r="W701" s="3">
        <v>8.0092592592592594E-3</v>
      </c>
      <c r="X701" t="s">
        <v>1738</v>
      </c>
      <c r="Y701">
        <v>9</v>
      </c>
      <c r="Z701">
        <v>0</v>
      </c>
      <c r="AA701" t="s">
        <v>49</v>
      </c>
      <c r="AB701">
        <v>0</v>
      </c>
      <c r="AC701" t="s">
        <v>49</v>
      </c>
      <c r="AD701">
        <v>0</v>
      </c>
      <c r="AE701">
        <v>10593937</v>
      </c>
      <c r="AF701" t="s">
        <v>50</v>
      </c>
      <c r="AG701" t="s">
        <v>388</v>
      </c>
    </row>
    <row r="702" spans="1:33" x14ac:dyDescent="0.35">
      <c r="A702" s="1">
        <v>44893.115972222222</v>
      </c>
      <c r="B702">
        <v>5703982</v>
      </c>
      <c r="C702" t="s">
        <v>1739</v>
      </c>
      <c r="D702" t="s">
        <v>59</v>
      </c>
      <c r="E702" s="2">
        <v>43543</v>
      </c>
      <c r="F702" t="str">
        <f>"9781119530879"</f>
        <v>9781119530879</v>
      </c>
      <c r="G702" t="str">
        <f>"9781119530824"</f>
        <v>9781119530824</v>
      </c>
      <c r="H702" t="s">
        <v>60</v>
      </c>
      <c r="I702" t="s">
        <v>1740</v>
      </c>
      <c r="J702" t="s">
        <v>1741</v>
      </c>
      <c r="K702" t="s">
        <v>55</v>
      </c>
      <c r="N702" t="s">
        <v>45</v>
      </c>
      <c r="O702" t="s">
        <v>46</v>
      </c>
      <c r="P702" t="s">
        <v>45</v>
      </c>
      <c r="Q702" t="s">
        <v>47</v>
      </c>
      <c r="R702" t="s">
        <v>44</v>
      </c>
      <c r="S702">
        <v>0</v>
      </c>
      <c r="W702" s="3">
        <v>3.8194444444444446E-4</v>
      </c>
      <c r="X702" t="s">
        <v>1742</v>
      </c>
      <c r="Y702">
        <v>3</v>
      </c>
      <c r="Z702">
        <v>0</v>
      </c>
      <c r="AA702" t="s">
        <v>49</v>
      </c>
      <c r="AB702">
        <v>0</v>
      </c>
      <c r="AC702" t="s">
        <v>49</v>
      </c>
      <c r="AD702">
        <v>0</v>
      </c>
      <c r="AE702">
        <v>-1</v>
      </c>
      <c r="AF702" t="s">
        <v>50</v>
      </c>
      <c r="AG702" t="s">
        <v>388</v>
      </c>
    </row>
    <row r="703" spans="1:33" x14ac:dyDescent="0.35">
      <c r="A703" s="1">
        <v>44893.114583333336</v>
      </c>
      <c r="B703">
        <v>3004411</v>
      </c>
      <c r="C703" t="s">
        <v>1743</v>
      </c>
      <c r="D703" t="s">
        <v>891</v>
      </c>
      <c r="E703" s="2">
        <v>37833</v>
      </c>
      <c r="F703" t="str">
        <f>"9780815796077"</f>
        <v>9780815796077</v>
      </c>
      <c r="G703" t="str">
        <f>"9780815708445"</f>
        <v>9780815708445</v>
      </c>
      <c r="H703" t="s">
        <v>531</v>
      </c>
      <c r="I703" t="s">
        <v>1744</v>
      </c>
      <c r="J703" t="s">
        <v>1745</v>
      </c>
      <c r="K703" t="s">
        <v>44</v>
      </c>
      <c r="N703" t="s">
        <v>45</v>
      </c>
      <c r="O703" t="s">
        <v>46</v>
      </c>
      <c r="P703" t="s">
        <v>45</v>
      </c>
      <c r="Q703" t="s">
        <v>47</v>
      </c>
      <c r="R703" t="s">
        <v>44</v>
      </c>
      <c r="S703">
        <v>0</v>
      </c>
      <c r="W703" s="3">
        <v>6.4814814814814813E-4</v>
      </c>
      <c r="X703" t="s">
        <v>1746</v>
      </c>
      <c r="Y703">
        <v>9</v>
      </c>
      <c r="Z703">
        <v>0</v>
      </c>
      <c r="AA703" t="s">
        <v>49</v>
      </c>
      <c r="AB703">
        <v>0</v>
      </c>
      <c r="AC703" t="s">
        <v>49</v>
      </c>
      <c r="AD703">
        <v>0</v>
      </c>
      <c r="AE703">
        <v>10063885</v>
      </c>
      <c r="AF703" t="s">
        <v>50</v>
      </c>
      <c r="AG703" t="s">
        <v>388</v>
      </c>
    </row>
    <row r="704" spans="1:33" x14ac:dyDescent="0.35">
      <c r="A704" s="1">
        <v>44893.1</v>
      </c>
      <c r="B704">
        <v>271889</v>
      </c>
      <c r="C704" t="s">
        <v>1729</v>
      </c>
      <c r="D704" t="s">
        <v>507</v>
      </c>
      <c r="E704" s="2">
        <v>38918</v>
      </c>
      <c r="F704" t="str">
        <f>"9780748627240"</f>
        <v>9780748627240</v>
      </c>
      <c r="G704" t="str">
        <f>"9780748612918"</f>
        <v>9780748612918</v>
      </c>
      <c r="H704" t="s">
        <v>1069</v>
      </c>
      <c r="I704" t="s">
        <v>1730</v>
      </c>
      <c r="J704" t="s">
        <v>1731</v>
      </c>
      <c r="K704" t="s">
        <v>44</v>
      </c>
      <c r="N704" t="s">
        <v>45</v>
      </c>
      <c r="O704" t="s">
        <v>46</v>
      </c>
      <c r="P704" t="s">
        <v>45</v>
      </c>
      <c r="Q704" t="s">
        <v>47</v>
      </c>
      <c r="R704" t="s">
        <v>44</v>
      </c>
      <c r="S704">
        <v>0</v>
      </c>
      <c r="W704" s="3">
        <v>1.0069444444444444E-3</v>
      </c>
      <c r="X704" t="s">
        <v>1747</v>
      </c>
      <c r="Y704">
        <v>10</v>
      </c>
      <c r="Z704">
        <v>0</v>
      </c>
      <c r="AA704" t="s">
        <v>49</v>
      </c>
      <c r="AB704">
        <v>0</v>
      </c>
      <c r="AC704" t="s">
        <v>49</v>
      </c>
      <c r="AD704">
        <v>0</v>
      </c>
      <c r="AE704">
        <v>10137883</v>
      </c>
      <c r="AF704" t="s">
        <v>50</v>
      </c>
      <c r="AG704" t="s">
        <v>122</v>
      </c>
    </row>
    <row r="705" spans="1:33" x14ac:dyDescent="0.35">
      <c r="A705" s="1">
        <v>44893.099305555559</v>
      </c>
      <c r="B705">
        <v>144768</v>
      </c>
      <c r="C705" t="s">
        <v>1748</v>
      </c>
      <c r="D705" t="s">
        <v>502</v>
      </c>
      <c r="E705" s="2">
        <v>36720</v>
      </c>
      <c r="F705" t="str">
        <f>"9780511151118"</f>
        <v>9780511151118</v>
      </c>
      <c r="G705" t="str">
        <f>"9780521772303"</f>
        <v>9780521772303</v>
      </c>
      <c r="H705" t="s">
        <v>1069</v>
      </c>
      <c r="I705">
        <v>892.70899999999995</v>
      </c>
      <c r="J705" t="s">
        <v>1749</v>
      </c>
      <c r="K705" t="s">
        <v>44</v>
      </c>
      <c r="N705" t="s">
        <v>45</v>
      </c>
      <c r="O705" t="s">
        <v>46</v>
      </c>
      <c r="P705" t="s">
        <v>45</v>
      </c>
      <c r="Q705" t="s">
        <v>47</v>
      </c>
      <c r="R705" t="s">
        <v>44</v>
      </c>
      <c r="S705">
        <v>0</v>
      </c>
      <c r="W705" s="3">
        <v>5.063657407407407E-2</v>
      </c>
      <c r="X705" t="s">
        <v>1750</v>
      </c>
      <c r="Y705">
        <v>82</v>
      </c>
      <c r="Z705">
        <v>0</v>
      </c>
      <c r="AA705" t="s">
        <v>49</v>
      </c>
      <c r="AB705">
        <v>0</v>
      </c>
      <c r="AC705" t="s">
        <v>1751</v>
      </c>
      <c r="AD705">
        <v>10</v>
      </c>
      <c r="AE705">
        <v>10014925</v>
      </c>
      <c r="AF705" t="s">
        <v>50</v>
      </c>
      <c r="AG705" t="s">
        <v>122</v>
      </c>
    </row>
    <row r="706" spans="1:33" x14ac:dyDescent="0.35">
      <c r="A706" s="1">
        <v>44893.065972222219</v>
      </c>
      <c r="B706">
        <v>144768</v>
      </c>
      <c r="C706" t="s">
        <v>1748</v>
      </c>
      <c r="D706" t="s">
        <v>502</v>
      </c>
      <c r="E706" s="2">
        <v>36720</v>
      </c>
      <c r="F706" t="str">
        <f>"9780511151118"</f>
        <v>9780511151118</v>
      </c>
      <c r="G706" t="str">
        <f>"9780521772303"</f>
        <v>9780521772303</v>
      </c>
      <c r="H706" t="s">
        <v>1069</v>
      </c>
      <c r="I706">
        <v>892.70899999999995</v>
      </c>
      <c r="J706" t="s">
        <v>1749</v>
      </c>
      <c r="K706" t="s">
        <v>44</v>
      </c>
      <c r="N706" t="s">
        <v>45</v>
      </c>
      <c r="O706" t="s">
        <v>46</v>
      </c>
      <c r="P706" t="s">
        <v>45</v>
      </c>
      <c r="Q706" t="s">
        <v>47</v>
      </c>
      <c r="R706" t="s">
        <v>44</v>
      </c>
      <c r="S706">
        <v>0</v>
      </c>
      <c r="W706" s="3">
        <v>1.1689814814814816E-3</v>
      </c>
      <c r="X706" t="s">
        <v>1752</v>
      </c>
      <c r="Y706">
        <v>5</v>
      </c>
      <c r="Z706">
        <v>0</v>
      </c>
      <c r="AA706" t="s">
        <v>49</v>
      </c>
      <c r="AB706">
        <v>0</v>
      </c>
      <c r="AC706" t="s">
        <v>49</v>
      </c>
      <c r="AD706">
        <v>0</v>
      </c>
      <c r="AE706">
        <v>10014925</v>
      </c>
      <c r="AF706" t="s">
        <v>50</v>
      </c>
      <c r="AG706" t="s">
        <v>122</v>
      </c>
    </row>
    <row r="707" spans="1:33" x14ac:dyDescent="0.35">
      <c r="A707" s="1">
        <v>44893.05</v>
      </c>
      <c r="B707">
        <v>997259</v>
      </c>
      <c r="C707" t="s">
        <v>1436</v>
      </c>
      <c r="D707" t="s">
        <v>1282</v>
      </c>
      <c r="E707" s="2">
        <v>33815</v>
      </c>
      <c r="F707" t="str">
        <f>"9781452246260"</f>
        <v>9781452246260</v>
      </c>
      <c r="G707" t="str">
        <f>"9780803948051"</f>
        <v>9780803948051</v>
      </c>
      <c r="H707" t="s">
        <v>60</v>
      </c>
      <c r="I707">
        <v>658.40120000000002</v>
      </c>
      <c r="J707">
        <v>92017898</v>
      </c>
      <c r="K707" t="s">
        <v>44</v>
      </c>
      <c r="N707" t="s">
        <v>45</v>
      </c>
      <c r="O707" t="s">
        <v>46</v>
      </c>
      <c r="P707" t="s">
        <v>45</v>
      </c>
      <c r="Q707" t="s">
        <v>47</v>
      </c>
      <c r="R707" t="s">
        <v>44</v>
      </c>
      <c r="S707">
        <v>0</v>
      </c>
      <c r="W707" s="3">
        <v>4.2569444444444444E-2</v>
      </c>
      <c r="X707" t="s">
        <v>1753</v>
      </c>
      <c r="Y707">
        <v>32</v>
      </c>
      <c r="Z707">
        <v>0</v>
      </c>
      <c r="AA707" t="s">
        <v>49</v>
      </c>
      <c r="AB707">
        <v>0</v>
      </c>
      <c r="AC707" t="s">
        <v>49</v>
      </c>
      <c r="AD707">
        <v>0</v>
      </c>
      <c r="AE707">
        <v>10593945</v>
      </c>
      <c r="AF707" t="s">
        <v>50</v>
      </c>
      <c r="AG707" t="s">
        <v>388</v>
      </c>
    </row>
    <row r="708" spans="1:33" x14ac:dyDescent="0.35">
      <c r="A708" s="1">
        <v>44893.018750000003</v>
      </c>
      <c r="B708">
        <v>3318877</v>
      </c>
      <c r="C708" t="s">
        <v>1389</v>
      </c>
      <c r="D708" t="s">
        <v>1390</v>
      </c>
      <c r="E708" s="2">
        <v>42109</v>
      </c>
      <c r="F708" t="str">
        <f>"9781421416274"</f>
        <v>9781421416274</v>
      </c>
      <c r="G708" t="str">
        <f>"9781421416250"</f>
        <v>9781421416250</v>
      </c>
      <c r="H708" t="s">
        <v>90</v>
      </c>
      <c r="I708" t="s">
        <v>1391</v>
      </c>
      <c r="K708" t="s">
        <v>44</v>
      </c>
      <c r="N708" t="s">
        <v>45</v>
      </c>
      <c r="O708" t="s">
        <v>46</v>
      </c>
      <c r="P708" t="s">
        <v>45</v>
      </c>
      <c r="Q708" t="s">
        <v>47</v>
      </c>
      <c r="R708" t="s">
        <v>44</v>
      </c>
      <c r="S708">
        <v>0</v>
      </c>
      <c r="W708" s="3">
        <v>2.3495370370370371E-3</v>
      </c>
      <c r="X708" t="s">
        <v>1754</v>
      </c>
      <c r="Y708">
        <v>10</v>
      </c>
      <c r="Z708">
        <v>0</v>
      </c>
      <c r="AA708" t="s">
        <v>49</v>
      </c>
      <c r="AB708">
        <v>0</v>
      </c>
      <c r="AC708" t="s">
        <v>49</v>
      </c>
      <c r="AD708">
        <v>0</v>
      </c>
      <c r="AE708">
        <v>11030149</v>
      </c>
      <c r="AF708" t="s">
        <v>50</v>
      </c>
      <c r="AG708" t="s">
        <v>388</v>
      </c>
    </row>
    <row r="709" spans="1:33" x14ac:dyDescent="0.35">
      <c r="A709" s="1">
        <v>44892.911805555559</v>
      </c>
      <c r="B709">
        <v>3318877</v>
      </c>
      <c r="C709" t="s">
        <v>1389</v>
      </c>
      <c r="D709" t="s">
        <v>1390</v>
      </c>
      <c r="E709" s="2">
        <v>42109</v>
      </c>
      <c r="F709" t="str">
        <f>"9781421416274"</f>
        <v>9781421416274</v>
      </c>
      <c r="G709" t="str">
        <f>"9781421416250"</f>
        <v>9781421416250</v>
      </c>
      <c r="H709" t="s">
        <v>90</v>
      </c>
      <c r="I709" t="s">
        <v>1391</v>
      </c>
      <c r="K709" t="s">
        <v>44</v>
      </c>
      <c r="N709" t="s">
        <v>45</v>
      </c>
      <c r="O709" t="s">
        <v>46</v>
      </c>
      <c r="P709" t="s">
        <v>45</v>
      </c>
      <c r="Q709" t="s">
        <v>47</v>
      </c>
      <c r="R709" t="s">
        <v>44</v>
      </c>
      <c r="S709">
        <v>0</v>
      </c>
      <c r="W709" s="3">
        <v>1.1574074074074073E-5</v>
      </c>
      <c r="X709" t="s">
        <v>121</v>
      </c>
      <c r="Y709">
        <v>1</v>
      </c>
      <c r="Z709">
        <v>0</v>
      </c>
      <c r="AA709" t="s">
        <v>49</v>
      </c>
      <c r="AB709">
        <v>0</v>
      </c>
      <c r="AC709" t="s">
        <v>49</v>
      </c>
      <c r="AD709">
        <v>0</v>
      </c>
      <c r="AE709">
        <v>11030149</v>
      </c>
      <c r="AF709" t="s">
        <v>50</v>
      </c>
      <c r="AG709" t="s">
        <v>388</v>
      </c>
    </row>
    <row r="710" spans="1:33" x14ac:dyDescent="0.35">
      <c r="A710" s="1">
        <v>44892.911805555559</v>
      </c>
      <c r="B710">
        <v>6578515</v>
      </c>
      <c r="C710" t="s">
        <v>1755</v>
      </c>
      <c r="D710" t="s">
        <v>76</v>
      </c>
      <c r="E710" s="2">
        <v>44197</v>
      </c>
      <c r="F710" t="str">
        <f>"9781498743143"</f>
        <v>9781498743143</v>
      </c>
      <c r="G710" t="str">
        <f>"9780367754136"</f>
        <v>9780367754136</v>
      </c>
      <c r="H710" t="s">
        <v>542</v>
      </c>
      <c r="I710">
        <v>621.31028600000002</v>
      </c>
      <c r="K710" t="s">
        <v>55</v>
      </c>
      <c r="N710" t="s">
        <v>79</v>
      </c>
      <c r="P710" t="s">
        <v>80</v>
      </c>
      <c r="Q710" t="s">
        <v>47</v>
      </c>
      <c r="R710" t="s">
        <v>44</v>
      </c>
      <c r="S710">
        <v>0</v>
      </c>
      <c r="W710" s="3">
        <v>2.7430555555555559E-3</v>
      </c>
      <c r="X710" t="s">
        <v>1756</v>
      </c>
      <c r="Y710">
        <v>32</v>
      </c>
      <c r="Z710">
        <v>2</v>
      </c>
      <c r="AA710" t="s">
        <v>1757</v>
      </c>
      <c r="AB710">
        <v>61</v>
      </c>
      <c r="AC710" t="s">
        <v>49</v>
      </c>
      <c r="AD710">
        <v>0</v>
      </c>
      <c r="AE710">
        <v>-1</v>
      </c>
      <c r="AF710" t="s">
        <v>50</v>
      </c>
      <c r="AG710" t="s">
        <v>1451</v>
      </c>
    </row>
    <row r="711" spans="1:33" x14ac:dyDescent="0.35">
      <c r="A711" s="1">
        <v>44892.90347222222</v>
      </c>
      <c r="B711">
        <v>6484277</v>
      </c>
      <c r="C711" t="s">
        <v>1302</v>
      </c>
      <c r="D711" t="s">
        <v>213</v>
      </c>
      <c r="E711" s="2">
        <v>44252</v>
      </c>
      <c r="F711" t="str">
        <f>"9780128231906"</f>
        <v>9780128231906</v>
      </c>
      <c r="G711" t="str">
        <f>"9780128210376"</f>
        <v>9780128210376</v>
      </c>
      <c r="H711" t="s">
        <v>1238</v>
      </c>
      <c r="I711">
        <v>621.44000000000005</v>
      </c>
      <c r="J711" t="s">
        <v>1303</v>
      </c>
      <c r="K711" t="s">
        <v>55</v>
      </c>
      <c r="Q711" t="s">
        <v>47</v>
      </c>
      <c r="R711" t="s">
        <v>44</v>
      </c>
      <c r="S711">
        <v>0</v>
      </c>
      <c r="W711" s="3">
        <v>3.0092592592592595E-4</v>
      </c>
      <c r="X711" t="s">
        <v>121</v>
      </c>
      <c r="Y711">
        <v>1</v>
      </c>
      <c r="Z711">
        <v>0</v>
      </c>
      <c r="AA711" t="s">
        <v>49</v>
      </c>
      <c r="AB711">
        <v>0</v>
      </c>
      <c r="AC711" t="s">
        <v>49</v>
      </c>
      <c r="AD711">
        <v>0</v>
      </c>
      <c r="AE711">
        <v>-1</v>
      </c>
      <c r="AF711" t="s">
        <v>50</v>
      </c>
      <c r="AG711" t="s">
        <v>1500</v>
      </c>
    </row>
    <row r="712" spans="1:33" x14ac:dyDescent="0.35">
      <c r="A712" s="1">
        <v>44892.894444444442</v>
      </c>
      <c r="B712">
        <v>3080492</v>
      </c>
      <c r="C712" t="s">
        <v>1758</v>
      </c>
      <c r="D712" t="s">
        <v>1166</v>
      </c>
      <c r="E712" s="2">
        <v>35064</v>
      </c>
      <c r="F712" t="str">
        <f>"9781461518136"</f>
        <v>9781461518136</v>
      </c>
      <c r="G712" t="str">
        <f>"9781461357322"</f>
        <v>9781461357322</v>
      </c>
      <c r="H712" t="s">
        <v>1759</v>
      </c>
      <c r="I712">
        <v>637</v>
      </c>
      <c r="J712" t="s">
        <v>1760</v>
      </c>
      <c r="K712" t="s">
        <v>44</v>
      </c>
      <c r="N712" t="s">
        <v>45</v>
      </c>
      <c r="O712" t="s">
        <v>46</v>
      </c>
      <c r="P712" t="s">
        <v>45</v>
      </c>
      <c r="Q712" t="s">
        <v>47</v>
      </c>
      <c r="R712" t="s">
        <v>44</v>
      </c>
      <c r="S712">
        <v>1</v>
      </c>
      <c r="W712" s="3">
        <v>0</v>
      </c>
      <c r="X712" t="s">
        <v>49</v>
      </c>
      <c r="Y712">
        <v>0</v>
      </c>
      <c r="Z712">
        <v>0</v>
      </c>
      <c r="AA712" t="s">
        <v>49</v>
      </c>
      <c r="AB712">
        <v>0</v>
      </c>
      <c r="AC712" t="s">
        <v>49</v>
      </c>
      <c r="AD712">
        <v>0</v>
      </c>
      <c r="AE712">
        <v>10931594</v>
      </c>
      <c r="AF712" t="s">
        <v>63</v>
      </c>
      <c r="AG712" t="s">
        <v>670</v>
      </c>
    </row>
    <row r="713" spans="1:33" x14ac:dyDescent="0.35">
      <c r="A713" s="1">
        <v>44892.873611111114</v>
      </c>
      <c r="B713">
        <v>6484277</v>
      </c>
      <c r="C713" t="s">
        <v>1302</v>
      </c>
      <c r="D713" t="s">
        <v>213</v>
      </c>
      <c r="E713" s="2">
        <v>44252</v>
      </c>
      <c r="F713" t="str">
        <f>"9780128231906"</f>
        <v>9780128231906</v>
      </c>
      <c r="G713" t="str">
        <f>"9780128210376"</f>
        <v>9780128210376</v>
      </c>
      <c r="H713" t="s">
        <v>1238</v>
      </c>
      <c r="I713">
        <v>621.44000000000005</v>
      </c>
      <c r="J713" t="s">
        <v>1303</v>
      </c>
      <c r="K713" t="s">
        <v>55</v>
      </c>
      <c r="Q713" t="s">
        <v>47</v>
      </c>
      <c r="R713" t="s">
        <v>44</v>
      </c>
      <c r="S713">
        <v>0</v>
      </c>
      <c r="W713" s="3">
        <v>3.4027777777777784E-3</v>
      </c>
      <c r="X713" t="s">
        <v>1761</v>
      </c>
      <c r="Y713">
        <v>11</v>
      </c>
      <c r="Z713">
        <v>0</v>
      </c>
      <c r="AA713" t="s">
        <v>49</v>
      </c>
      <c r="AB713">
        <v>0</v>
      </c>
      <c r="AC713" t="s">
        <v>49</v>
      </c>
      <c r="AD713">
        <v>0</v>
      </c>
      <c r="AE713">
        <v>-1</v>
      </c>
      <c r="AF713" t="s">
        <v>50</v>
      </c>
      <c r="AG713" t="s">
        <v>1500</v>
      </c>
    </row>
    <row r="714" spans="1:33" x14ac:dyDescent="0.35">
      <c r="A714" s="1">
        <v>44892.863888888889</v>
      </c>
      <c r="B714">
        <v>6852854</v>
      </c>
      <c r="C714" t="s">
        <v>943</v>
      </c>
      <c r="D714" t="s">
        <v>944</v>
      </c>
      <c r="E714" s="2">
        <v>44595</v>
      </c>
      <c r="F714" t="str">
        <f>"9780861543212"</f>
        <v>9780861543212</v>
      </c>
      <c r="G714" t="str">
        <f>""</f>
        <v/>
      </c>
      <c r="H714" t="s">
        <v>945</v>
      </c>
      <c r="I714">
        <v>681.11309000000006</v>
      </c>
      <c r="J714" t="s">
        <v>946</v>
      </c>
      <c r="K714" t="s">
        <v>55</v>
      </c>
      <c r="Q714" t="s">
        <v>47</v>
      </c>
      <c r="R714" t="s">
        <v>44</v>
      </c>
      <c r="S714">
        <v>0</v>
      </c>
      <c r="W714" s="3">
        <v>8.3796296296296292E-3</v>
      </c>
      <c r="X714" t="s">
        <v>1762</v>
      </c>
      <c r="Y714">
        <v>5</v>
      </c>
      <c r="Z714">
        <v>0</v>
      </c>
      <c r="AA714" t="s">
        <v>49</v>
      </c>
      <c r="AB714">
        <v>0</v>
      </c>
      <c r="AC714" t="s">
        <v>49</v>
      </c>
      <c r="AD714">
        <v>0</v>
      </c>
      <c r="AE714">
        <v>-1</v>
      </c>
      <c r="AF714" t="s">
        <v>50</v>
      </c>
      <c r="AG714" t="s">
        <v>388</v>
      </c>
    </row>
    <row r="715" spans="1:33" x14ac:dyDescent="0.35">
      <c r="A715" s="1">
        <v>44892.86041666667</v>
      </c>
      <c r="B715">
        <v>1104757</v>
      </c>
      <c r="C715" t="s">
        <v>1676</v>
      </c>
      <c r="D715" t="s">
        <v>76</v>
      </c>
      <c r="E715" s="2">
        <v>41233</v>
      </c>
      <c r="F715" t="str">
        <f>"9781136302459"</f>
        <v>9781136302459</v>
      </c>
      <c r="G715" t="str">
        <f>"9780415530026"</f>
        <v>9780415530026</v>
      </c>
      <c r="H715" t="s">
        <v>658</v>
      </c>
      <c r="I715">
        <v>700.68</v>
      </c>
      <c r="J715" t="s">
        <v>1677</v>
      </c>
      <c r="K715" t="s">
        <v>44</v>
      </c>
      <c r="N715" t="s">
        <v>45</v>
      </c>
      <c r="O715" t="s">
        <v>46</v>
      </c>
      <c r="P715" t="s">
        <v>45</v>
      </c>
      <c r="Q715" t="s">
        <v>47</v>
      </c>
      <c r="R715" t="s">
        <v>44</v>
      </c>
      <c r="S715">
        <v>0</v>
      </c>
      <c r="W715" s="3">
        <v>1.3599537037037037E-2</v>
      </c>
      <c r="X715" t="s">
        <v>1763</v>
      </c>
      <c r="Y715">
        <v>8</v>
      </c>
      <c r="Z715">
        <v>0</v>
      </c>
      <c r="AA715" t="s">
        <v>49</v>
      </c>
      <c r="AB715">
        <v>0</v>
      </c>
      <c r="AC715" t="s">
        <v>49</v>
      </c>
      <c r="AD715">
        <v>0</v>
      </c>
      <c r="AE715">
        <v>10641657</v>
      </c>
      <c r="AF715" t="s">
        <v>50</v>
      </c>
      <c r="AG715" t="s">
        <v>388</v>
      </c>
    </row>
    <row r="716" spans="1:33" x14ac:dyDescent="0.35">
      <c r="A716" s="1">
        <v>44892.833333333336</v>
      </c>
      <c r="B716">
        <v>997259</v>
      </c>
      <c r="C716" t="s">
        <v>1436</v>
      </c>
      <c r="D716" t="s">
        <v>1282</v>
      </c>
      <c r="E716" s="2">
        <v>33815</v>
      </c>
      <c r="F716" t="str">
        <f>"9781452246260"</f>
        <v>9781452246260</v>
      </c>
      <c r="G716" t="str">
        <f>"9780803948051"</f>
        <v>9780803948051</v>
      </c>
      <c r="H716" t="s">
        <v>60</v>
      </c>
      <c r="I716">
        <v>658.40120000000002</v>
      </c>
      <c r="J716">
        <v>92017898</v>
      </c>
      <c r="K716" t="s">
        <v>44</v>
      </c>
      <c r="N716" t="s">
        <v>45</v>
      </c>
      <c r="O716" t="s">
        <v>46</v>
      </c>
      <c r="P716" t="s">
        <v>45</v>
      </c>
      <c r="Q716" t="s">
        <v>47</v>
      </c>
      <c r="R716" t="s">
        <v>44</v>
      </c>
      <c r="S716">
        <v>0</v>
      </c>
      <c r="W716" s="3">
        <v>4.0138888888888884E-2</v>
      </c>
      <c r="X716" t="s">
        <v>1764</v>
      </c>
      <c r="Y716">
        <v>21</v>
      </c>
      <c r="Z716">
        <v>0</v>
      </c>
      <c r="AA716" t="s">
        <v>49</v>
      </c>
      <c r="AB716">
        <v>0</v>
      </c>
      <c r="AC716" t="s">
        <v>49</v>
      </c>
      <c r="AD716">
        <v>0</v>
      </c>
      <c r="AE716">
        <v>10593945</v>
      </c>
      <c r="AF716" t="s">
        <v>50</v>
      </c>
      <c r="AG716" t="s">
        <v>388</v>
      </c>
    </row>
    <row r="717" spans="1:33" x14ac:dyDescent="0.35">
      <c r="A717" s="1">
        <v>44892.817361111112</v>
      </c>
      <c r="B717">
        <v>3318877</v>
      </c>
      <c r="C717" t="s">
        <v>1389</v>
      </c>
      <c r="D717" t="s">
        <v>1390</v>
      </c>
      <c r="E717" s="2">
        <v>42109</v>
      </c>
      <c r="F717" t="str">
        <f>"9781421416274"</f>
        <v>9781421416274</v>
      </c>
      <c r="G717" t="str">
        <f>"9781421416250"</f>
        <v>9781421416250</v>
      </c>
      <c r="H717" t="s">
        <v>90</v>
      </c>
      <c r="I717" t="s">
        <v>1391</v>
      </c>
      <c r="K717" t="s">
        <v>44</v>
      </c>
      <c r="N717" t="s">
        <v>45</v>
      </c>
      <c r="O717" t="s">
        <v>46</v>
      </c>
      <c r="P717" t="s">
        <v>45</v>
      </c>
      <c r="Q717" t="s">
        <v>47</v>
      </c>
      <c r="R717" t="s">
        <v>44</v>
      </c>
      <c r="S717">
        <v>0</v>
      </c>
      <c r="W717" s="3">
        <v>4.6296296296296294E-5</v>
      </c>
      <c r="X717" t="s">
        <v>121</v>
      </c>
      <c r="Y717">
        <v>1</v>
      </c>
      <c r="Z717">
        <v>0</v>
      </c>
      <c r="AA717" t="s">
        <v>49</v>
      </c>
      <c r="AB717">
        <v>0</v>
      </c>
      <c r="AC717" t="s">
        <v>49</v>
      </c>
      <c r="AD717">
        <v>0</v>
      </c>
      <c r="AE717">
        <v>11030149</v>
      </c>
      <c r="AF717" t="s">
        <v>50</v>
      </c>
      <c r="AG717" t="s">
        <v>388</v>
      </c>
    </row>
    <row r="718" spans="1:33" x14ac:dyDescent="0.35">
      <c r="A718" s="1">
        <v>44892.774305555555</v>
      </c>
      <c r="B718">
        <v>294304</v>
      </c>
      <c r="C718" t="s">
        <v>1765</v>
      </c>
      <c r="D718" t="s">
        <v>65</v>
      </c>
      <c r="E718" s="2">
        <v>39176</v>
      </c>
      <c r="F718" t="str">
        <f>"9780080479958"</f>
        <v>9780080479958</v>
      </c>
      <c r="G718" t="str">
        <f>"9780750682701"</f>
        <v>9780750682701</v>
      </c>
      <c r="H718" t="s">
        <v>1766</v>
      </c>
      <c r="I718">
        <v>665.5</v>
      </c>
      <c r="J718" t="s">
        <v>1767</v>
      </c>
      <c r="K718" t="s">
        <v>44</v>
      </c>
      <c r="N718" t="s">
        <v>45</v>
      </c>
      <c r="O718" t="s">
        <v>46</v>
      </c>
      <c r="P718" t="s">
        <v>45</v>
      </c>
      <c r="Q718" t="s">
        <v>47</v>
      </c>
      <c r="R718" t="s">
        <v>44</v>
      </c>
      <c r="S718">
        <v>0</v>
      </c>
      <c r="W718" s="3">
        <v>1.3888888888888889E-4</v>
      </c>
      <c r="X718" t="s">
        <v>1768</v>
      </c>
      <c r="Y718">
        <v>4</v>
      </c>
      <c r="Z718">
        <v>0</v>
      </c>
      <c r="AA718" t="s">
        <v>49</v>
      </c>
      <c r="AB718">
        <v>0</v>
      </c>
      <c r="AC718" t="s">
        <v>49</v>
      </c>
      <c r="AD718">
        <v>0</v>
      </c>
      <c r="AE718">
        <v>10186217</v>
      </c>
      <c r="AF718" t="s">
        <v>50</v>
      </c>
      <c r="AG718" t="s">
        <v>388</v>
      </c>
    </row>
    <row r="719" spans="1:33" x14ac:dyDescent="0.35">
      <c r="A719" s="1">
        <v>44892.774305555555</v>
      </c>
      <c r="B719">
        <v>5845887</v>
      </c>
      <c r="C719" t="s">
        <v>1769</v>
      </c>
      <c r="D719" t="s">
        <v>65</v>
      </c>
      <c r="E719" s="2">
        <v>43678</v>
      </c>
      <c r="F719" t="str">
        <f>"9780128182659"</f>
        <v>9780128182659</v>
      </c>
      <c r="G719" t="str">
        <f>"9780128182642"</f>
        <v>9780128182642</v>
      </c>
      <c r="H719" t="s">
        <v>297</v>
      </c>
      <c r="I719">
        <v>622.33799999999997</v>
      </c>
      <c r="J719" t="s">
        <v>1770</v>
      </c>
      <c r="K719" t="s">
        <v>55</v>
      </c>
      <c r="Q719" t="s">
        <v>47</v>
      </c>
      <c r="R719" t="s">
        <v>44</v>
      </c>
      <c r="S719">
        <v>0</v>
      </c>
      <c r="W719" s="3">
        <v>1.4965277777777779E-2</v>
      </c>
      <c r="X719" t="s">
        <v>1771</v>
      </c>
      <c r="Y719">
        <v>21</v>
      </c>
      <c r="Z719">
        <v>0</v>
      </c>
      <c r="AA719" t="s">
        <v>49</v>
      </c>
      <c r="AB719">
        <v>0</v>
      </c>
      <c r="AC719" t="s">
        <v>49</v>
      </c>
      <c r="AD719">
        <v>0</v>
      </c>
      <c r="AE719">
        <v>-1</v>
      </c>
      <c r="AF719" t="s">
        <v>63</v>
      </c>
      <c r="AG719" t="s">
        <v>388</v>
      </c>
    </row>
    <row r="720" spans="1:33" x14ac:dyDescent="0.35">
      <c r="A720" s="1">
        <v>44892.765277777777</v>
      </c>
      <c r="B720">
        <v>3378659</v>
      </c>
      <c r="C720" t="s">
        <v>1772</v>
      </c>
      <c r="D720" t="s">
        <v>175</v>
      </c>
      <c r="E720" s="2">
        <v>40413</v>
      </c>
      <c r="F720" t="str">
        <f>"9780309154147"</f>
        <v>9780309154147</v>
      </c>
      <c r="G720" t="str">
        <f>"9780309154130"</f>
        <v>9780309154130</v>
      </c>
      <c r="H720" t="s">
        <v>1773</v>
      </c>
      <c r="K720" t="s">
        <v>44</v>
      </c>
      <c r="N720" t="s">
        <v>45</v>
      </c>
      <c r="O720" t="s">
        <v>46</v>
      </c>
      <c r="P720" t="s">
        <v>177</v>
      </c>
      <c r="Q720" t="s">
        <v>47</v>
      </c>
      <c r="R720" t="s">
        <v>55</v>
      </c>
      <c r="S720">
        <v>0</v>
      </c>
      <c r="W720" s="3">
        <v>9.3750000000000007E-4</v>
      </c>
      <c r="X720" t="s">
        <v>1774</v>
      </c>
      <c r="Y720">
        <v>19</v>
      </c>
      <c r="Z720">
        <v>0</v>
      </c>
      <c r="AA720" t="s">
        <v>49</v>
      </c>
      <c r="AB720">
        <v>0</v>
      </c>
      <c r="AC720" t="s">
        <v>49</v>
      </c>
      <c r="AD720">
        <v>0</v>
      </c>
      <c r="AE720">
        <v>10410338</v>
      </c>
      <c r="AF720" t="s">
        <v>50</v>
      </c>
      <c r="AG720" t="s">
        <v>388</v>
      </c>
    </row>
    <row r="721" spans="1:33" x14ac:dyDescent="0.35">
      <c r="A721" s="1">
        <v>44892.740972222222</v>
      </c>
      <c r="B721">
        <v>5896257</v>
      </c>
      <c r="C721" t="s">
        <v>479</v>
      </c>
      <c r="D721" t="s">
        <v>59</v>
      </c>
      <c r="E721" s="2">
        <v>44167</v>
      </c>
      <c r="F721" t="str">
        <f>"9781119551737"</f>
        <v>9781119551737</v>
      </c>
      <c r="G721" t="str">
        <f>"9781119551720"</f>
        <v>9781119551720</v>
      </c>
      <c r="H721" t="s">
        <v>261</v>
      </c>
      <c r="I721">
        <v>628.51</v>
      </c>
      <c r="J721" t="s">
        <v>480</v>
      </c>
      <c r="K721" t="s">
        <v>55</v>
      </c>
      <c r="N721" t="s">
        <v>45</v>
      </c>
      <c r="O721" t="s">
        <v>46</v>
      </c>
      <c r="P721" t="s">
        <v>45</v>
      </c>
      <c r="Q721" t="s">
        <v>47</v>
      </c>
      <c r="R721" t="s">
        <v>44</v>
      </c>
      <c r="S721">
        <v>0</v>
      </c>
      <c r="W721" s="3">
        <v>1.9560185185185184E-3</v>
      </c>
      <c r="X721" t="s">
        <v>1775</v>
      </c>
      <c r="Y721">
        <v>23</v>
      </c>
      <c r="Z721">
        <v>0</v>
      </c>
      <c r="AA721" t="s">
        <v>49</v>
      </c>
      <c r="AB721">
        <v>0</v>
      </c>
      <c r="AC721" t="s">
        <v>49</v>
      </c>
      <c r="AD721">
        <v>0</v>
      </c>
      <c r="AE721">
        <v>-1</v>
      </c>
      <c r="AF721" t="s">
        <v>50</v>
      </c>
      <c r="AG721" t="s">
        <v>1160</v>
      </c>
    </row>
    <row r="722" spans="1:33" x14ac:dyDescent="0.35">
      <c r="A722" s="1">
        <v>44892.64166666667</v>
      </c>
      <c r="B722">
        <v>5896257</v>
      </c>
      <c r="C722" t="s">
        <v>479</v>
      </c>
      <c r="D722" t="s">
        <v>59</v>
      </c>
      <c r="E722" s="2">
        <v>44167</v>
      </c>
      <c r="F722" t="str">
        <f>"9781119551737"</f>
        <v>9781119551737</v>
      </c>
      <c r="G722" t="str">
        <f>"9781119551720"</f>
        <v>9781119551720</v>
      </c>
      <c r="H722" t="s">
        <v>261</v>
      </c>
      <c r="I722">
        <v>628.51</v>
      </c>
      <c r="J722" t="s">
        <v>480</v>
      </c>
      <c r="K722" t="s">
        <v>55</v>
      </c>
      <c r="N722" t="s">
        <v>45</v>
      </c>
      <c r="O722" t="s">
        <v>46</v>
      </c>
      <c r="P722" t="s">
        <v>45</v>
      </c>
      <c r="Q722" t="s">
        <v>47</v>
      </c>
      <c r="R722" t="s">
        <v>44</v>
      </c>
      <c r="S722">
        <v>1</v>
      </c>
      <c r="W722" s="3">
        <v>9.7222222222222209E-4</v>
      </c>
      <c r="X722" t="s">
        <v>1776</v>
      </c>
      <c r="Y722">
        <v>9</v>
      </c>
      <c r="Z722">
        <v>0</v>
      </c>
      <c r="AA722" t="s">
        <v>49</v>
      </c>
      <c r="AB722">
        <v>0</v>
      </c>
      <c r="AC722" t="s">
        <v>49</v>
      </c>
      <c r="AD722">
        <v>0</v>
      </c>
      <c r="AE722">
        <v>-1</v>
      </c>
      <c r="AF722" t="s">
        <v>63</v>
      </c>
      <c r="AG722" t="s">
        <v>1777</v>
      </c>
    </row>
    <row r="723" spans="1:33" x14ac:dyDescent="0.35">
      <c r="A723" s="1">
        <v>44892.63958333333</v>
      </c>
      <c r="B723">
        <v>5896257</v>
      </c>
      <c r="C723" t="s">
        <v>479</v>
      </c>
      <c r="D723" t="s">
        <v>59</v>
      </c>
      <c r="E723" s="2">
        <v>44167</v>
      </c>
      <c r="F723" t="str">
        <f>"9781119551737"</f>
        <v>9781119551737</v>
      </c>
      <c r="G723" t="str">
        <f>"9781119551720"</f>
        <v>9781119551720</v>
      </c>
      <c r="H723" t="s">
        <v>261</v>
      </c>
      <c r="I723">
        <v>628.51</v>
      </c>
      <c r="J723" t="s">
        <v>480</v>
      </c>
      <c r="K723" t="s">
        <v>55</v>
      </c>
      <c r="N723" t="s">
        <v>45</v>
      </c>
      <c r="O723" t="s">
        <v>46</v>
      </c>
      <c r="P723" t="s">
        <v>45</v>
      </c>
      <c r="Q723" t="s">
        <v>47</v>
      </c>
      <c r="R723" t="s">
        <v>44</v>
      </c>
      <c r="S723">
        <v>1</v>
      </c>
      <c r="W723" s="3">
        <v>0</v>
      </c>
      <c r="X723" t="s">
        <v>49</v>
      </c>
      <c r="Y723">
        <v>0</v>
      </c>
      <c r="Z723">
        <v>0</v>
      </c>
      <c r="AA723" t="s">
        <v>49</v>
      </c>
      <c r="AB723">
        <v>0</v>
      </c>
      <c r="AC723" t="s">
        <v>49</v>
      </c>
      <c r="AD723">
        <v>0</v>
      </c>
      <c r="AE723">
        <v>-1</v>
      </c>
      <c r="AF723" t="s">
        <v>63</v>
      </c>
      <c r="AG723" t="s">
        <v>1160</v>
      </c>
    </row>
    <row r="724" spans="1:33" x14ac:dyDescent="0.35">
      <c r="A724" s="1">
        <v>44892.636111111111</v>
      </c>
      <c r="B724">
        <v>5896257</v>
      </c>
      <c r="C724" t="s">
        <v>479</v>
      </c>
      <c r="D724" t="s">
        <v>59</v>
      </c>
      <c r="E724" s="2">
        <v>44167</v>
      </c>
      <c r="F724" t="str">
        <f>"9781119551737"</f>
        <v>9781119551737</v>
      </c>
      <c r="G724" t="str">
        <f>"9781119551720"</f>
        <v>9781119551720</v>
      </c>
      <c r="H724" t="s">
        <v>261</v>
      </c>
      <c r="I724">
        <v>628.51</v>
      </c>
      <c r="J724" t="s">
        <v>480</v>
      </c>
      <c r="K724" t="s">
        <v>55</v>
      </c>
      <c r="N724" t="s">
        <v>45</v>
      </c>
      <c r="O724" t="s">
        <v>46</v>
      </c>
      <c r="P724" t="s">
        <v>45</v>
      </c>
      <c r="Q724" t="s">
        <v>47</v>
      </c>
      <c r="R724" t="s">
        <v>44</v>
      </c>
      <c r="S724">
        <v>0</v>
      </c>
      <c r="W724" s="3">
        <v>2.9513888888888888E-3</v>
      </c>
      <c r="X724" t="s">
        <v>1778</v>
      </c>
      <c r="Y724">
        <v>16</v>
      </c>
      <c r="Z724">
        <v>0</v>
      </c>
      <c r="AA724" t="s">
        <v>49</v>
      </c>
      <c r="AB724">
        <v>0</v>
      </c>
      <c r="AC724" t="s">
        <v>49</v>
      </c>
      <c r="AD724">
        <v>0</v>
      </c>
      <c r="AE724">
        <v>-1</v>
      </c>
      <c r="AF724" t="s">
        <v>63</v>
      </c>
      <c r="AG724" t="s">
        <v>1160</v>
      </c>
    </row>
    <row r="725" spans="1:33" x14ac:dyDescent="0.35">
      <c r="A725" s="1">
        <v>44892.626388888886</v>
      </c>
      <c r="B725">
        <v>6531443</v>
      </c>
      <c r="C725" t="s">
        <v>1779</v>
      </c>
      <c r="D725" t="s">
        <v>141</v>
      </c>
      <c r="E725" s="2">
        <v>44281</v>
      </c>
      <c r="F725" t="str">
        <f>"9781800206571"</f>
        <v>9781800206571</v>
      </c>
      <c r="G725" t="str">
        <f>"9781800203907"</f>
        <v>9781800203907</v>
      </c>
      <c r="H725" t="s">
        <v>106</v>
      </c>
      <c r="I725">
        <v>6.31</v>
      </c>
      <c r="J725" t="s">
        <v>1780</v>
      </c>
      <c r="K725" t="s">
        <v>55</v>
      </c>
      <c r="Q725" t="s">
        <v>47</v>
      </c>
      <c r="R725" t="s">
        <v>44</v>
      </c>
      <c r="S725">
        <v>0</v>
      </c>
      <c r="W725" s="3">
        <v>8.1018518518518516E-5</v>
      </c>
      <c r="X725" t="s">
        <v>121</v>
      </c>
      <c r="Y725">
        <v>1</v>
      </c>
      <c r="Z725">
        <v>0</v>
      </c>
      <c r="AA725" t="s">
        <v>49</v>
      </c>
      <c r="AB725">
        <v>0</v>
      </c>
      <c r="AC725" t="s">
        <v>49</v>
      </c>
      <c r="AD725">
        <v>0</v>
      </c>
      <c r="AE725">
        <v>-1</v>
      </c>
      <c r="AF725" t="s">
        <v>50</v>
      </c>
      <c r="AG725" t="s">
        <v>388</v>
      </c>
    </row>
    <row r="726" spans="1:33" x14ac:dyDescent="0.35">
      <c r="A726" s="1">
        <v>44892.618750000001</v>
      </c>
      <c r="B726">
        <v>5092525</v>
      </c>
      <c r="C726" t="s">
        <v>695</v>
      </c>
      <c r="D726" t="s">
        <v>696</v>
      </c>
      <c r="E726" s="2">
        <v>41683</v>
      </c>
      <c r="F726" t="str">
        <f>"9781909453692"</f>
        <v>9781909453692</v>
      </c>
      <c r="G726" t="str">
        <f>"9781909453715"</f>
        <v>9781909453715</v>
      </c>
      <c r="H726" t="s">
        <v>77</v>
      </c>
      <c r="I726">
        <v>610.28</v>
      </c>
      <c r="J726" t="s">
        <v>697</v>
      </c>
      <c r="K726" t="s">
        <v>44</v>
      </c>
      <c r="N726" t="s">
        <v>45</v>
      </c>
      <c r="O726" t="s">
        <v>46</v>
      </c>
      <c r="P726" t="s">
        <v>45</v>
      </c>
      <c r="Q726" t="s">
        <v>47</v>
      </c>
      <c r="R726" t="s">
        <v>44</v>
      </c>
      <c r="S726">
        <v>0</v>
      </c>
      <c r="W726" s="3">
        <v>3.1712962962962958E-3</v>
      </c>
      <c r="X726" t="s">
        <v>1781</v>
      </c>
      <c r="Y726">
        <v>5</v>
      </c>
      <c r="Z726">
        <v>0</v>
      </c>
      <c r="AA726" t="s">
        <v>49</v>
      </c>
      <c r="AB726">
        <v>0</v>
      </c>
      <c r="AC726" t="s">
        <v>49</v>
      </c>
      <c r="AD726">
        <v>0</v>
      </c>
      <c r="AE726">
        <v>11451412</v>
      </c>
      <c r="AF726" t="s">
        <v>50</v>
      </c>
      <c r="AG726" t="s">
        <v>388</v>
      </c>
    </row>
    <row r="727" spans="1:33" x14ac:dyDescent="0.35">
      <c r="A727" s="1">
        <v>44892.59097222222</v>
      </c>
      <c r="B727">
        <v>6373380</v>
      </c>
      <c r="C727" t="s">
        <v>584</v>
      </c>
      <c r="D727" t="s">
        <v>76</v>
      </c>
      <c r="E727" s="2">
        <v>44001</v>
      </c>
      <c r="F727" t="str">
        <f>"9781000710540"</f>
        <v>9781000710540</v>
      </c>
      <c r="G727" t="str">
        <f>""</f>
        <v/>
      </c>
      <c r="H727" t="s">
        <v>585</v>
      </c>
      <c r="I727">
        <v>537.62260000000003</v>
      </c>
      <c r="J727" t="s">
        <v>586</v>
      </c>
      <c r="K727" t="s">
        <v>55</v>
      </c>
      <c r="Q727" t="s">
        <v>47</v>
      </c>
      <c r="R727" t="s">
        <v>44</v>
      </c>
      <c r="S727">
        <v>0</v>
      </c>
      <c r="W727" s="3">
        <v>3.0092592592592595E-4</v>
      </c>
      <c r="X727" t="s">
        <v>1782</v>
      </c>
      <c r="Y727">
        <v>5</v>
      </c>
      <c r="Z727">
        <v>0</v>
      </c>
      <c r="AA727" t="s">
        <v>49</v>
      </c>
      <c r="AB727">
        <v>0</v>
      </c>
      <c r="AC727" t="s">
        <v>49</v>
      </c>
      <c r="AD727">
        <v>0</v>
      </c>
      <c r="AE727">
        <v>-1</v>
      </c>
      <c r="AF727" t="s">
        <v>50</v>
      </c>
      <c r="AG727" t="s">
        <v>388</v>
      </c>
    </row>
    <row r="728" spans="1:33" x14ac:dyDescent="0.35">
      <c r="A728" s="1">
        <v>44892.588194444441</v>
      </c>
      <c r="B728">
        <v>6792356</v>
      </c>
      <c r="C728" t="s">
        <v>512</v>
      </c>
      <c r="D728" t="s">
        <v>213</v>
      </c>
      <c r="E728" s="2">
        <v>44496</v>
      </c>
      <c r="F728" t="str">
        <f>"9780128209073"</f>
        <v>9780128209073</v>
      </c>
      <c r="G728" t="str">
        <f>"9780128206294"</f>
        <v>9780128206294</v>
      </c>
      <c r="H728" t="s">
        <v>513</v>
      </c>
      <c r="I728">
        <v>620.5</v>
      </c>
      <c r="J728" t="s">
        <v>514</v>
      </c>
      <c r="K728" t="s">
        <v>55</v>
      </c>
      <c r="Q728" t="s">
        <v>47</v>
      </c>
      <c r="R728" t="s">
        <v>44</v>
      </c>
      <c r="S728">
        <v>0</v>
      </c>
      <c r="W728" s="3">
        <v>6.5972222222222213E-4</v>
      </c>
      <c r="X728" t="s">
        <v>1783</v>
      </c>
      <c r="Y728">
        <v>5</v>
      </c>
      <c r="Z728">
        <v>0</v>
      </c>
      <c r="AA728" t="s">
        <v>49</v>
      </c>
      <c r="AB728">
        <v>0</v>
      </c>
      <c r="AC728" t="s">
        <v>49</v>
      </c>
      <c r="AD728">
        <v>0</v>
      </c>
      <c r="AE728">
        <v>-1</v>
      </c>
      <c r="AF728" t="s">
        <v>50</v>
      </c>
      <c r="AG728" t="s">
        <v>388</v>
      </c>
    </row>
    <row r="729" spans="1:33" x14ac:dyDescent="0.35">
      <c r="A729" s="1">
        <v>44892.556250000001</v>
      </c>
      <c r="B729">
        <v>5092525</v>
      </c>
      <c r="C729" t="s">
        <v>695</v>
      </c>
      <c r="D729" t="s">
        <v>696</v>
      </c>
      <c r="E729" s="2">
        <v>41683</v>
      </c>
      <c r="F729" t="str">
        <f>"9781909453692"</f>
        <v>9781909453692</v>
      </c>
      <c r="G729" t="str">
        <f>"9781909453715"</f>
        <v>9781909453715</v>
      </c>
      <c r="H729" t="s">
        <v>77</v>
      </c>
      <c r="I729">
        <v>610.28</v>
      </c>
      <c r="J729" t="s">
        <v>697</v>
      </c>
      <c r="K729" t="s">
        <v>44</v>
      </c>
      <c r="N729" t="s">
        <v>45</v>
      </c>
      <c r="O729" t="s">
        <v>46</v>
      </c>
      <c r="P729" t="s">
        <v>45</v>
      </c>
      <c r="Q729" t="s">
        <v>47</v>
      </c>
      <c r="R729" t="s">
        <v>44</v>
      </c>
      <c r="S729">
        <v>0</v>
      </c>
      <c r="W729" s="3">
        <v>1.7939814814814815E-3</v>
      </c>
      <c r="X729" t="s">
        <v>1784</v>
      </c>
      <c r="Y729">
        <v>20</v>
      </c>
      <c r="Z729">
        <v>0</v>
      </c>
      <c r="AA729" t="s">
        <v>49</v>
      </c>
      <c r="AB729">
        <v>0</v>
      </c>
      <c r="AC729" t="s">
        <v>49</v>
      </c>
      <c r="AD729">
        <v>0</v>
      </c>
      <c r="AE729">
        <v>11451412</v>
      </c>
      <c r="AF729" t="s">
        <v>50</v>
      </c>
      <c r="AG729" t="s">
        <v>1500</v>
      </c>
    </row>
    <row r="730" spans="1:33" x14ac:dyDescent="0.35">
      <c r="A730" s="1">
        <v>44892.555555555555</v>
      </c>
      <c r="B730">
        <v>5092525</v>
      </c>
      <c r="C730" t="s">
        <v>695</v>
      </c>
      <c r="D730" t="s">
        <v>696</v>
      </c>
      <c r="E730" s="2">
        <v>41683</v>
      </c>
      <c r="F730" t="str">
        <f>"9781909453692"</f>
        <v>9781909453692</v>
      </c>
      <c r="G730" t="str">
        <f>"9781909453715"</f>
        <v>9781909453715</v>
      </c>
      <c r="H730" t="s">
        <v>77</v>
      </c>
      <c r="I730">
        <v>610.28</v>
      </c>
      <c r="J730" t="s">
        <v>697</v>
      </c>
      <c r="K730" t="s">
        <v>44</v>
      </c>
      <c r="N730" t="s">
        <v>45</v>
      </c>
      <c r="O730" t="s">
        <v>46</v>
      </c>
      <c r="P730" t="s">
        <v>45</v>
      </c>
      <c r="Q730" t="s">
        <v>47</v>
      </c>
      <c r="R730" t="s">
        <v>44</v>
      </c>
      <c r="S730">
        <v>0</v>
      </c>
      <c r="W730" s="3">
        <v>1.5046296296296295E-2</v>
      </c>
      <c r="X730" t="s">
        <v>1785</v>
      </c>
      <c r="Y730">
        <v>23</v>
      </c>
      <c r="Z730">
        <v>1</v>
      </c>
      <c r="AA730" t="s">
        <v>1786</v>
      </c>
      <c r="AB730">
        <v>24</v>
      </c>
      <c r="AC730" t="s">
        <v>49</v>
      </c>
      <c r="AD730">
        <v>0</v>
      </c>
      <c r="AE730">
        <v>11451412</v>
      </c>
      <c r="AF730" t="s">
        <v>50</v>
      </c>
      <c r="AG730" t="s">
        <v>388</v>
      </c>
    </row>
    <row r="731" spans="1:33" x14ac:dyDescent="0.35">
      <c r="A731" s="1">
        <v>44892.541666666664</v>
      </c>
      <c r="B731">
        <v>5719694</v>
      </c>
      <c r="C731" t="s">
        <v>1661</v>
      </c>
      <c r="D731" t="s">
        <v>65</v>
      </c>
      <c r="E731" s="2">
        <v>43522</v>
      </c>
      <c r="F731" t="str">
        <f>"9780128182550"</f>
        <v>9780128182550</v>
      </c>
      <c r="G731" t="str">
        <f>"9780081026311"</f>
        <v>9780081026311</v>
      </c>
      <c r="H731" t="s">
        <v>1662</v>
      </c>
      <c r="I731" t="s">
        <v>1663</v>
      </c>
      <c r="J731" t="s">
        <v>1664</v>
      </c>
      <c r="K731" t="s">
        <v>55</v>
      </c>
      <c r="Q731" t="s">
        <v>47</v>
      </c>
      <c r="R731" t="s">
        <v>44</v>
      </c>
      <c r="S731">
        <v>0</v>
      </c>
      <c r="W731" s="3">
        <v>7.8356481481481489E-3</v>
      </c>
      <c r="X731" t="s">
        <v>1787</v>
      </c>
      <c r="Y731">
        <v>13</v>
      </c>
      <c r="Z731">
        <v>0</v>
      </c>
      <c r="AA731" t="s">
        <v>49</v>
      </c>
      <c r="AB731">
        <v>0</v>
      </c>
      <c r="AC731" t="s">
        <v>49</v>
      </c>
      <c r="AD731">
        <v>0</v>
      </c>
      <c r="AE731">
        <v>11656711</v>
      </c>
      <c r="AF731" t="s">
        <v>50</v>
      </c>
      <c r="AG731" t="s">
        <v>1500</v>
      </c>
    </row>
    <row r="732" spans="1:33" x14ac:dyDescent="0.35">
      <c r="A732" s="1">
        <v>44892.511805555558</v>
      </c>
      <c r="B732">
        <v>4013135</v>
      </c>
      <c r="C732" t="s">
        <v>1321</v>
      </c>
      <c r="D732" t="s">
        <v>1322</v>
      </c>
      <c r="E732" s="2">
        <v>42290</v>
      </c>
      <c r="F732" t="str">
        <f>"9781613128183"</f>
        <v>9781613128183</v>
      </c>
      <c r="G732" t="str">
        <f>"9781419717963"</f>
        <v>9781419717963</v>
      </c>
      <c r="H732" t="s">
        <v>1046</v>
      </c>
      <c r="I732">
        <v>391.63</v>
      </c>
      <c r="J732" t="s">
        <v>1323</v>
      </c>
      <c r="K732" t="s">
        <v>44</v>
      </c>
      <c r="N732" t="s">
        <v>45</v>
      </c>
      <c r="O732" t="s">
        <v>46</v>
      </c>
      <c r="P732" t="s">
        <v>45</v>
      </c>
      <c r="Q732" t="s">
        <v>47</v>
      </c>
      <c r="R732" t="s">
        <v>44</v>
      </c>
      <c r="S732">
        <v>0</v>
      </c>
      <c r="W732" s="3">
        <v>8.3449074074074085E-3</v>
      </c>
      <c r="X732" t="s">
        <v>1788</v>
      </c>
      <c r="Y732">
        <v>49</v>
      </c>
      <c r="Z732">
        <v>0</v>
      </c>
      <c r="AA732" t="s">
        <v>49</v>
      </c>
      <c r="AB732">
        <v>0</v>
      </c>
      <c r="AC732" t="s">
        <v>1789</v>
      </c>
      <c r="AD732">
        <v>1</v>
      </c>
      <c r="AE732">
        <v>11131154</v>
      </c>
      <c r="AF732" t="s">
        <v>50</v>
      </c>
      <c r="AG732" t="s">
        <v>630</v>
      </c>
    </row>
    <row r="733" spans="1:33" x14ac:dyDescent="0.35">
      <c r="A733" s="1">
        <v>44892.504166666666</v>
      </c>
      <c r="B733">
        <v>488156</v>
      </c>
      <c r="C733" t="s">
        <v>1790</v>
      </c>
      <c r="D733" t="s">
        <v>352</v>
      </c>
      <c r="E733" s="2">
        <v>40584</v>
      </c>
      <c r="F733" t="str">
        <f>"9781848134096"</f>
        <v>9781848134096</v>
      </c>
      <c r="G733" t="str">
        <f>"9781848138612"</f>
        <v>9781848138612</v>
      </c>
      <c r="H733" t="s">
        <v>1046</v>
      </c>
      <c r="I733">
        <v>391.209</v>
      </c>
      <c r="J733" t="s">
        <v>1791</v>
      </c>
      <c r="K733" t="s">
        <v>44</v>
      </c>
      <c r="N733" t="s">
        <v>45</v>
      </c>
      <c r="O733" t="s">
        <v>46</v>
      </c>
      <c r="P733" t="s">
        <v>45</v>
      </c>
      <c r="Q733" t="s">
        <v>47</v>
      </c>
      <c r="R733" t="s">
        <v>44</v>
      </c>
      <c r="S733">
        <v>0</v>
      </c>
      <c r="W733" s="3">
        <v>7.2222222222222228E-3</v>
      </c>
      <c r="X733" t="s">
        <v>1792</v>
      </c>
      <c r="Y733">
        <v>41</v>
      </c>
      <c r="Z733">
        <v>0</v>
      </c>
      <c r="AA733" t="s">
        <v>49</v>
      </c>
      <c r="AB733">
        <v>0</v>
      </c>
      <c r="AC733" t="s">
        <v>49</v>
      </c>
      <c r="AD733">
        <v>0</v>
      </c>
      <c r="AE733">
        <v>10370406</v>
      </c>
      <c r="AF733" t="s">
        <v>50</v>
      </c>
      <c r="AG733" t="s">
        <v>630</v>
      </c>
    </row>
    <row r="734" spans="1:33" x14ac:dyDescent="0.35">
      <c r="A734" s="1">
        <v>44892.474999999999</v>
      </c>
      <c r="B734">
        <v>6172792</v>
      </c>
      <c r="C734" t="s">
        <v>1793</v>
      </c>
      <c r="D734" t="s">
        <v>105</v>
      </c>
      <c r="E734" s="2">
        <v>43930</v>
      </c>
      <c r="F734" t="str">
        <f>"9783030430443"</f>
        <v>9783030430443</v>
      </c>
      <c r="G734" t="str">
        <f>"9783030430436"</f>
        <v>9783030430436</v>
      </c>
      <c r="H734" t="s">
        <v>133</v>
      </c>
      <c r="I734">
        <v>338.9</v>
      </c>
      <c r="J734" t="s">
        <v>1794</v>
      </c>
      <c r="K734" t="s">
        <v>55</v>
      </c>
      <c r="Q734" t="s">
        <v>47</v>
      </c>
      <c r="R734" t="s">
        <v>44</v>
      </c>
      <c r="S734">
        <v>0</v>
      </c>
      <c r="W734" s="3">
        <v>3.4722222222222222E-5</v>
      </c>
      <c r="X734" t="s">
        <v>121</v>
      </c>
      <c r="Y734">
        <v>1</v>
      </c>
      <c r="Z734">
        <v>0</v>
      </c>
      <c r="AA734" t="s">
        <v>49</v>
      </c>
      <c r="AB734">
        <v>0</v>
      </c>
      <c r="AC734" t="s">
        <v>49</v>
      </c>
      <c r="AD734">
        <v>0</v>
      </c>
      <c r="AE734">
        <v>-1</v>
      </c>
      <c r="AF734" t="s">
        <v>50</v>
      </c>
      <c r="AG734" t="s">
        <v>1160</v>
      </c>
    </row>
    <row r="735" spans="1:33" x14ac:dyDescent="0.35">
      <c r="A735" s="1">
        <v>44892.474999999999</v>
      </c>
      <c r="B735">
        <v>6796468</v>
      </c>
      <c r="C735" t="s">
        <v>1795</v>
      </c>
      <c r="D735" t="s">
        <v>1796</v>
      </c>
      <c r="E735" s="2">
        <v>44440</v>
      </c>
      <c r="F735" t="str">
        <f>"9781000450941"</f>
        <v>9781000450941</v>
      </c>
      <c r="G735" t="str">
        <f>"9781859469545"</f>
        <v>9781859469545</v>
      </c>
      <c r="H735" t="s">
        <v>84</v>
      </c>
      <c r="I735">
        <v>690.02859999999998</v>
      </c>
      <c r="J735" t="s">
        <v>1797</v>
      </c>
      <c r="K735" t="s">
        <v>55</v>
      </c>
      <c r="Q735" t="s">
        <v>47</v>
      </c>
      <c r="R735" t="s">
        <v>44</v>
      </c>
      <c r="S735">
        <v>0</v>
      </c>
      <c r="W735" s="3">
        <v>1.3541666666666667E-3</v>
      </c>
      <c r="X735" t="s">
        <v>1798</v>
      </c>
      <c r="Y735">
        <v>27</v>
      </c>
      <c r="Z735">
        <v>0</v>
      </c>
      <c r="AA735" t="s">
        <v>49</v>
      </c>
      <c r="AB735">
        <v>0</v>
      </c>
      <c r="AC735" t="s">
        <v>49</v>
      </c>
      <c r="AD735">
        <v>0</v>
      </c>
      <c r="AE735">
        <v>-1</v>
      </c>
      <c r="AF735" t="s">
        <v>50</v>
      </c>
      <c r="AG735" t="s">
        <v>1160</v>
      </c>
    </row>
    <row r="736" spans="1:33" x14ac:dyDescent="0.35">
      <c r="A736" s="1">
        <v>44892.474999999999</v>
      </c>
      <c r="B736">
        <v>6644873</v>
      </c>
      <c r="C736" t="s">
        <v>1799</v>
      </c>
      <c r="D736" t="s">
        <v>76</v>
      </c>
      <c r="E736" s="2">
        <v>44420</v>
      </c>
      <c r="F736" t="str">
        <f>"9781000427158"</f>
        <v>9781000427158</v>
      </c>
      <c r="G736" t="str">
        <f>"9780367418663"</f>
        <v>9780367418663</v>
      </c>
      <c r="H736" t="s">
        <v>60</v>
      </c>
      <c r="I736">
        <v>658.40800000000002</v>
      </c>
      <c r="J736" t="s">
        <v>1800</v>
      </c>
      <c r="K736" t="s">
        <v>55</v>
      </c>
      <c r="Q736" t="s">
        <v>47</v>
      </c>
      <c r="R736" t="s">
        <v>44</v>
      </c>
      <c r="S736">
        <v>0</v>
      </c>
      <c r="W736" s="3">
        <v>2.7546296296296294E-3</v>
      </c>
      <c r="X736" t="s">
        <v>1801</v>
      </c>
      <c r="Y736">
        <v>30</v>
      </c>
      <c r="Z736">
        <v>0</v>
      </c>
      <c r="AA736" t="s">
        <v>49</v>
      </c>
      <c r="AB736">
        <v>0</v>
      </c>
      <c r="AC736" t="s">
        <v>49</v>
      </c>
      <c r="AD736">
        <v>0</v>
      </c>
      <c r="AE736">
        <v>-1</v>
      </c>
      <c r="AF736" t="s">
        <v>50</v>
      </c>
      <c r="AG736" t="s">
        <v>1160</v>
      </c>
    </row>
    <row r="737" spans="1:33" x14ac:dyDescent="0.35">
      <c r="A737" s="1">
        <v>44892.472916666666</v>
      </c>
      <c r="B737">
        <v>5157550</v>
      </c>
      <c r="C737" t="s">
        <v>1217</v>
      </c>
      <c r="D737" t="s">
        <v>115</v>
      </c>
      <c r="E737" s="2">
        <v>43367</v>
      </c>
      <c r="F737" t="str">
        <f>"9783110545210"</f>
        <v>9783110545210</v>
      </c>
      <c r="G737" t="str">
        <f>"9783110543735"</f>
        <v>9783110543735</v>
      </c>
      <c r="H737" t="s">
        <v>1040</v>
      </c>
      <c r="I737">
        <v>547.23</v>
      </c>
      <c r="J737" t="s">
        <v>1218</v>
      </c>
      <c r="K737" t="s">
        <v>44</v>
      </c>
      <c r="N737" t="s">
        <v>45</v>
      </c>
      <c r="O737" t="s">
        <v>46</v>
      </c>
      <c r="P737" t="s">
        <v>45</v>
      </c>
      <c r="Q737" t="s">
        <v>47</v>
      </c>
      <c r="R737" t="s">
        <v>44</v>
      </c>
      <c r="S737">
        <v>0</v>
      </c>
      <c r="W737" s="3">
        <v>1.5046296296296294E-3</v>
      </c>
      <c r="X737" t="s">
        <v>1802</v>
      </c>
      <c r="Y737">
        <v>7</v>
      </c>
      <c r="Z737">
        <v>0</v>
      </c>
      <c r="AA737" t="s">
        <v>49</v>
      </c>
      <c r="AB737">
        <v>0</v>
      </c>
      <c r="AC737" t="s">
        <v>678</v>
      </c>
      <c r="AD737">
        <v>1</v>
      </c>
      <c r="AE737">
        <v>-1</v>
      </c>
      <c r="AF737" t="s">
        <v>50</v>
      </c>
      <c r="AG737" t="s">
        <v>388</v>
      </c>
    </row>
    <row r="738" spans="1:33" x14ac:dyDescent="0.35">
      <c r="A738" s="1">
        <v>44892.470833333333</v>
      </c>
      <c r="B738">
        <v>5378555</v>
      </c>
      <c r="C738" t="s">
        <v>1803</v>
      </c>
      <c r="D738" t="s">
        <v>76</v>
      </c>
      <c r="E738" s="2">
        <v>40532</v>
      </c>
      <c r="F738" t="str">
        <f>"9781439891155"</f>
        <v>9781439891155</v>
      </c>
      <c r="G738" t="str">
        <f>"9781439815335"</f>
        <v>9781439815335</v>
      </c>
      <c r="H738" t="s">
        <v>546</v>
      </c>
      <c r="I738" t="s">
        <v>559</v>
      </c>
      <c r="J738" t="s">
        <v>1804</v>
      </c>
      <c r="K738" t="s">
        <v>44</v>
      </c>
      <c r="N738" t="s">
        <v>45</v>
      </c>
      <c r="O738" t="s">
        <v>46</v>
      </c>
      <c r="P738" t="s">
        <v>45</v>
      </c>
      <c r="Q738" t="s">
        <v>47</v>
      </c>
      <c r="R738" t="s">
        <v>44</v>
      </c>
      <c r="S738">
        <v>0</v>
      </c>
      <c r="W738" s="3">
        <v>4.6296296296296294E-5</v>
      </c>
      <c r="X738" t="s">
        <v>1805</v>
      </c>
      <c r="Y738">
        <v>1</v>
      </c>
      <c r="Z738">
        <v>0</v>
      </c>
      <c r="AA738" t="s">
        <v>49</v>
      </c>
      <c r="AB738">
        <v>0</v>
      </c>
      <c r="AC738" t="s">
        <v>49</v>
      </c>
      <c r="AD738">
        <v>0</v>
      </c>
      <c r="AE738">
        <v>11554332</v>
      </c>
      <c r="AF738" t="s">
        <v>50</v>
      </c>
      <c r="AG738" t="s">
        <v>1500</v>
      </c>
    </row>
    <row r="739" spans="1:33" x14ac:dyDescent="0.35">
      <c r="A739" s="1">
        <v>44892.447222222225</v>
      </c>
      <c r="B739">
        <v>667623</v>
      </c>
      <c r="C739" t="s">
        <v>1806</v>
      </c>
      <c r="D739" t="s">
        <v>502</v>
      </c>
      <c r="E739" s="2">
        <v>40543</v>
      </c>
      <c r="F739" t="str">
        <f>"9781139007962"</f>
        <v>9781139007962</v>
      </c>
      <c r="G739" t="str">
        <f>"9780521840408"</f>
        <v>9780521840408</v>
      </c>
      <c r="H739" t="s">
        <v>244</v>
      </c>
      <c r="I739" t="s">
        <v>1807</v>
      </c>
      <c r="J739" t="s">
        <v>1808</v>
      </c>
      <c r="K739" t="s">
        <v>44</v>
      </c>
      <c r="N739" t="s">
        <v>45</v>
      </c>
      <c r="O739" t="s">
        <v>46</v>
      </c>
      <c r="P739" t="s">
        <v>45</v>
      </c>
      <c r="Q739" t="s">
        <v>47</v>
      </c>
      <c r="R739" t="s">
        <v>44</v>
      </c>
      <c r="S739">
        <v>0</v>
      </c>
      <c r="W739" s="3">
        <v>0</v>
      </c>
      <c r="X739" t="s">
        <v>49</v>
      </c>
      <c r="Y739">
        <v>0</v>
      </c>
      <c r="Z739">
        <v>1</v>
      </c>
      <c r="AA739" t="s">
        <v>1809</v>
      </c>
      <c r="AB739">
        <v>48</v>
      </c>
      <c r="AC739" t="s">
        <v>49</v>
      </c>
      <c r="AD739">
        <v>0</v>
      </c>
      <c r="AE739">
        <v>10452886</v>
      </c>
      <c r="AF739" t="s">
        <v>50</v>
      </c>
      <c r="AG739" t="s">
        <v>1190</v>
      </c>
    </row>
    <row r="740" spans="1:33" x14ac:dyDescent="0.35">
      <c r="A740" s="1">
        <v>44892.432638888888</v>
      </c>
      <c r="B740">
        <v>3338361</v>
      </c>
      <c r="C740" t="s">
        <v>1810</v>
      </c>
      <c r="D740" t="s">
        <v>1811</v>
      </c>
      <c r="E740" s="2">
        <v>38483</v>
      </c>
      <c r="F740" t="str">
        <f>"9781609174460"</f>
        <v>9781609174460</v>
      </c>
      <c r="G740" t="str">
        <f>"9780870137464"</f>
        <v>9780870137464</v>
      </c>
      <c r="H740" t="s">
        <v>60</v>
      </c>
      <c r="I740" t="s">
        <v>1652</v>
      </c>
      <c r="J740" t="s">
        <v>1812</v>
      </c>
      <c r="K740" t="s">
        <v>44</v>
      </c>
      <c r="N740" t="s">
        <v>45</v>
      </c>
      <c r="O740" t="s">
        <v>46</v>
      </c>
      <c r="P740" t="s">
        <v>177</v>
      </c>
      <c r="Q740" t="s">
        <v>47</v>
      </c>
      <c r="R740" t="s">
        <v>55</v>
      </c>
      <c r="S740">
        <v>0</v>
      </c>
      <c r="W740" s="3">
        <v>5.7870370370370366E-5</v>
      </c>
      <c r="X740" t="s">
        <v>121</v>
      </c>
      <c r="Y740">
        <v>1</v>
      </c>
      <c r="Z740">
        <v>0</v>
      </c>
      <c r="AA740" t="s">
        <v>49</v>
      </c>
      <c r="AB740">
        <v>0</v>
      </c>
      <c r="AC740" t="s">
        <v>49</v>
      </c>
      <c r="AD740">
        <v>0</v>
      </c>
      <c r="AE740">
        <v>10872730</v>
      </c>
      <c r="AF740" t="s">
        <v>50</v>
      </c>
      <c r="AG740" t="s">
        <v>1500</v>
      </c>
    </row>
    <row r="741" spans="1:33" x14ac:dyDescent="0.35">
      <c r="A741" s="1">
        <v>44892.370138888888</v>
      </c>
      <c r="B741">
        <v>1334456</v>
      </c>
      <c r="C741" t="s">
        <v>1813</v>
      </c>
      <c r="D741" t="s">
        <v>497</v>
      </c>
      <c r="E741" s="2">
        <v>39535</v>
      </c>
      <c r="F741" t="str">
        <f>"9781408127216"</f>
        <v>9781408127216</v>
      </c>
      <c r="G741" t="str">
        <f>"9780713682687"</f>
        <v>9780713682687</v>
      </c>
      <c r="H741" t="s">
        <v>811</v>
      </c>
      <c r="I741">
        <v>623.89</v>
      </c>
      <c r="J741" t="s">
        <v>1814</v>
      </c>
      <c r="K741" t="s">
        <v>44</v>
      </c>
      <c r="N741" t="s">
        <v>45</v>
      </c>
      <c r="O741" t="s">
        <v>46</v>
      </c>
      <c r="P741" t="s">
        <v>45</v>
      </c>
      <c r="Q741" t="s">
        <v>47</v>
      </c>
      <c r="R741" t="s">
        <v>44</v>
      </c>
      <c r="S741">
        <v>0</v>
      </c>
      <c r="W741" s="3">
        <v>1.5011574074074075E-2</v>
      </c>
      <c r="X741" t="s">
        <v>1815</v>
      </c>
      <c r="Y741">
        <v>31</v>
      </c>
      <c r="Z741">
        <v>0</v>
      </c>
      <c r="AA741" t="s">
        <v>49</v>
      </c>
      <c r="AB741">
        <v>0</v>
      </c>
      <c r="AC741" t="s">
        <v>49</v>
      </c>
      <c r="AD741">
        <v>0</v>
      </c>
      <c r="AE741">
        <v>10739199</v>
      </c>
      <c r="AF741" t="s">
        <v>50</v>
      </c>
      <c r="AG741" t="s">
        <v>1816</v>
      </c>
    </row>
    <row r="742" spans="1:33" x14ac:dyDescent="0.35">
      <c r="A742" s="1">
        <v>44892.369444444441</v>
      </c>
      <c r="B742">
        <v>1582318</v>
      </c>
      <c r="C742" t="s">
        <v>1817</v>
      </c>
      <c r="D742" t="s">
        <v>213</v>
      </c>
      <c r="E742" s="2">
        <v>41626</v>
      </c>
      <c r="F742" t="str">
        <f>"9780080969893"</f>
        <v>9780080969893</v>
      </c>
      <c r="G742" t="str">
        <f>"9780080969886"</f>
        <v>9780080969886</v>
      </c>
      <c r="H742" t="s">
        <v>1818</v>
      </c>
      <c r="I742">
        <v>669</v>
      </c>
      <c r="J742" t="s">
        <v>1819</v>
      </c>
      <c r="K742" t="s">
        <v>44</v>
      </c>
      <c r="N742" t="s">
        <v>45</v>
      </c>
      <c r="O742" t="s">
        <v>46</v>
      </c>
      <c r="P742" t="s">
        <v>45</v>
      </c>
      <c r="Q742" t="s">
        <v>47</v>
      </c>
      <c r="R742" t="s">
        <v>44</v>
      </c>
      <c r="S742">
        <v>0</v>
      </c>
      <c r="W742" s="3">
        <v>6.3657407407407402E-4</v>
      </c>
      <c r="X742" t="s">
        <v>577</v>
      </c>
      <c r="Y742">
        <v>2</v>
      </c>
      <c r="Z742">
        <v>0</v>
      </c>
      <c r="AA742" t="s">
        <v>49</v>
      </c>
      <c r="AB742">
        <v>0</v>
      </c>
      <c r="AC742" t="s">
        <v>49</v>
      </c>
      <c r="AD742">
        <v>0</v>
      </c>
      <c r="AE742">
        <v>10822528</v>
      </c>
      <c r="AF742" t="s">
        <v>50</v>
      </c>
      <c r="AG742" t="s">
        <v>388</v>
      </c>
    </row>
    <row r="743" spans="1:33" x14ac:dyDescent="0.35">
      <c r="A743" s="1">
        <v>44892.320138888892</v>
      </c>
      <c r="B743">
        <v>279494</v>
      </c>
      <c r="C743" t="s">
        <v>1333</v>
      </c>
      <c r="D743" t="s">
        <v>125</v>
      </c>
      <c r="E743" s="2">
        <v>37280</v>
      </c>
      <c r="F743" t="str">
        <f>"9780198032953"</f>
        <v>9780198032953</v>
      </c>
      <c r="G743" t="str">
        <f>"9780195144208"</f>
        <v>9780195144208</v>
      </c>
      <c r="H743" t="s">
        <v>667</v>
      </c>
      <c r="I743" t="s">
        <v>1334</v>
      </c>
      <c r="J743" t="s">
        <v>1335</v>
      </c>
      <c r="K743" t="s">
        <v>44</v>
      </c>
      <c r="N743" t="s">
        <v>45</v>
      </c>
      <c r="O743" t="s">
        <v>46</v>
      </c>
      <c r="P743" t="s">
        <v>45</v>
      </c>
      <c r="Q743" t="s">
        <v>47</v>
      </c>
      <c r="R743" t="s">
        <v>44</v>
      </c>
      <c r="S743">
        <v>0</v>
      </c>
      <c r="W743" s="3">
        <v>1.9212962962962962E-3</v>
      </c>
      <c r="X743" t="s">
        <v>1820</v>
      </c>
      <c r="Y743">
        <v>19</v>
      </c>
      <c r="Z743">
        <v>0</v>
      </c>
      <c r="AA743" t="s">
        <v>49</v>
      </c>
      <c r="AB743">
        <v>0</v>
      </c>
      <c r="AC743" t="s">
        <v>49</v>
      </c>
      <c r="AD743">
        <v>0</v>
      </c>
      <c r="AE743">
        <v>11303309</v>
      </c>
      <c r="AF743" t="s">
        <v>50</v>
      </c>
      <c r="AG743" t="s">
        <v>1190</v>
      </c>
    </row>
    <row r="744" spans="1:33" x14ac:dyDescent="0.35">
      <c r="A744" s="1">
        <v>44892.273611111108</v>
      </c>
      <c r="B744">
        <v>279494</v>
      </c>
      <c r="C744" t="s">
        <v>1333</v>
      </c>
      <c r="D744" t="s">
        <v>125</v>
      </c>
      <c r="E744" s="2">
        <v>37280</v>
      </c>
      <c r="F744" t="str">
        <f>"9780198032953"</f>
        <v>9780198032953</v>
      </c>
      <c r="G744" t="str">
        <f>"9780195144208"</f>
        <v>9780195144208</v>
      </c>
      <c r="H744" t="s">
        <v>667</v>
      </c>
      <c r="I744" t="s">
        <v>1334</v>
      </c>
      <c r="J744" t="s">
        <v>1335</v>
      </c>
      <c r="K744" t="s">
        <v>44</v>
      </c>
      <c r="N744" t="s">
        <v>45</v>
      </c>
      <c r="O744" t="s">
        <v>46</v>
      </c>
      <c r="P744" t="s">
        <v>45</v>
      </c>
      <c r="Q744" t="s">
        <v>47</v>
      </c>
      <c r="R744" t="s">
        <v>44</v>
      </c>
      <c r="S744">
        <v>0</v>
      </c>
      <c r="W744" s="3">
        <v>2.2418981481481481E-2</v>
      </c>
      <c r="X744" t="s">
        <v>1821</v>
      </c>
      <c r="Y744">
        <v>14</v>
      </c>
      <c r="Z744">
        <v>0</v>
      </c>
      <c r="AA744" t="s">
        <v>49</v>
      </c>
      <c r="AB744">
        <v>0</v>
      </c>
      <c r="AC744" t="s">
        <v>1822</v>
      </c>
      <c r="AD744">
        <v>6</v>
      </c>
      <c r="AE744">
        <v>11303309</v>
      </c>
      <c r="AF744" t="s">
        <v>50</v>
      </c>
      <c r="AG744" t="s">
        <v>1190</v>
      </c>
    </row>
    <row r="745" spans="1:33" x14ac:dyDescent="0.35">
      <c r="A745" s="1">
        <v>44892.195833333331</v>
      </c>
      <c r="B745">
        <v>6578515</v>
      </c>
      <c r="C745" t="s">
        <v>1755</v>
      </c>
      <c r="D745" t="s">
        <v>76</v>
      </c>
      <c r="E745" s="2">
        <v>44197</v>
      </c>
      <c r="F745" t="str">
        <f>"9781498743143"</f>
        <v>9781498743143</v>
      </c>
      <c r="G745" t="str">
        <f>"9780367754136"</f>
        <v>9780367754136</v>
      </c>
      <c r="H745" t="s">
        <v>542</v>
      </c>
      <c r="I745">
        <v>621.31028600000002</v>
      </c>
      <c r="K745" t="s">
        <v>55</v>
      </c>
      <c r="N745" t="s">
        <v>79</v>
      </c>
      <c r="P745" t="s">
        <v>80</v>
      </c>
      <c r="Q745" t="s">
        <v>47</v>
      </c>
      <c r="R745" t="s">
        <v>44</v>
      </c>
      <c r="S745">
        <v>0</v>
      </c>
      <c r="W745" s="3">
        <v>4.6874999999999998E-3</v>
      </c>
      <c r="X745" t="s">
        <v>1823</v>
      </c>
      <c r="Y745">
        <v>43</v>
      </c>
      <c r="Z745">
        <v>0</v>
      </c>
      <c r="AA745" t="s">
        <v>49</v>
      </c>
      <c r="AB745">
        <v>0</v>
      </c>
      <c r="AC745" t="s">
        <v>49</v>
      </c>
      <c r="AD745">
        <v>0</v>
      </c>
      <c r="AE745">
        <v>-1</v>
      </c>
      <c r="AF745" t="s">
        <v>50</v>
      </c>
      <c r="AG745" t="s">
        <v>1451</v>
      </c>
    </row>
    <row r="746" spans="1:33" x14ac:dyDescent="0.35">
      <c r="A746" s="1">
        <v>44892.15625</v>
      </c>
      <c r="B746">
        <v>967284</v>
      </c>
      <c r="C746" t="s">
        <v>1824</v>
      </c>
      <c r="D746" t="s">
        <v>59</v>
      </c>
      <c r="E746" s="2">
        <v>41169</v>
      </c>
      <c r="F746" t="str">
        <f>"9781118396803"</f>
        <v>9781118396803</v>
      </c>
      <c r="G746" t="str">
        <f>"9781118396780"</f>
        <v>9781118396780</v>
      </c>
      <c r="H746" t="s">
        <v>1825</v>
      </c>
      <c r="I746">
        <v>623.74689999999998</v>
      </c>
      <c r="J746" t="s">
        <v>1826</v>
      </c>
      <c r="K746" t="s">
        <v>44</v>
      </c>
      <c r="N746" t="s">
        <v>45</v>
      </c>
      <c r="O746" t="s">
        <v>46</v>
      </c>
      <c r="P746" t="s">
        <v>45</v>
      </c>
      <c r="Q746" t="s">
        <v>47</v>
      </c>
      <c r="R746" t="s">
        <v>44</v>
      </c>
      <c r="S746">
        <v>0</v>
      </c>
      <c r="W746" s="3">
        <v>8.2986111111111108E-3</v>
      </c>
      <c r="X746" t="s">
        <v>1827</v>
      </c>
      <c r="Y746">
        <v>13</v>
      </c>
      <c r="Z746">
        <v>0</v>
      </c>
      <c r="AA746" t="s">
        <v>49</v>
      </c>
      <c r="AB746">
        <v>0</v>
      </c>
      <c r="AC746" t="s">
        <v>49</v>
      </c>
      <c r="AD746">
        <v>0</v>
      </c>
      <c r="AE746">
        <v>10580221</v>
      </c>
      <c r="AF746" t="s">
        <v>50</v>
      </c>
      <c r="AG746" t="s">
        <v>670</v>
      </c>
    </row>
    <row r="747" spans="1:33" x14ac:dyDescent="0.35">
      <c r="A747" s="1">
        <v>44892.154166666667</v>
      </c>
      <c r="B747">
        <v>3030297</v>
      </c>
      <c r="C747" t="s">
        <v>1828</v>
      </c>
      <c r="D747" t="s">
        <v>53</v>
      </c>
      <c r="E747" s="2">
        <v>38214</v>
      </c>
      <c r="F747" t="str">
        <f>"9781400824069"</f>
        <v>9781400824069</v>
      </c>
      <c r="G747" t="str">
        <f>"9780691120263"</f>
        <v>9780691120263</v>
      </c>
      <c r="H747" t="s">
        <v>1829</v>
      </c>
      <c r="I747" t="s">
        <v>1830</v>
      </c>
      <c r="J747" t="s">
        <v>1831</v>
      </c>
      <c r="K747" t="s">
        <v>44</v>
      </c>
      <c r="N747" t="s">
        <v>45</v>
      </c>
      <c r="O747" t="s">
        <v>46</v>
      </c>
      <c r="P747" t="s">
        <v>45</v>
      </c>
      <c r="Q747" t="s">
        <v>47</v>
      </c>
      <c r="R747" t="s">
        <v>44</v>
      </c>
      <c r="S747">
        <v>0</v>
      </c>
      <c r="W747" s="3">
        <v>1.3425925925925925E-3</v>
      </c>
      <c r="X747" t="s">
        <v>1832</v>
      </c>
      <c r="Y747">
        <v>13</v>
      </c>
      <c r="Z747">
        <v>0</v>
      </c>
      <c r="AA747" t="s">
        <v>49</v>
      </c>
      <c r="AB747">
        <v>0</v>
      </c>
      <c r="AC747" t="s">
        <v>49</v>
      </c>
      <c r="AD747">
        <v>0</v>
      </c>
      <c r="AE747">
        <v>10522513</v>
      </c>
      <c r="AF747" t="s">
        <v>50</v>
      </c>
      <c r="AG747" t="s">
        <v>1451</v>
      </c>
    </row>
    <row r="748" spans="1:33" x14ac:dyDescent="0.35">
      <c r="A748" s="1">
        <v>44892.089583333334</v>
      </c>
      <c r="B748">
        <v>832065</v>
      </c>
      <c r="C748" t="s">
        <v>1833</v>
      </c>
      <c r="D748" t="s">
        <v>53</v>
      </c>
      <c r="E748" s="2">
        <v>40965</v>
      </c>
      <c r="F748" t="str">
        <f>"9781400840601"</f>
        <v>9781400840601</v>
      </c>
      <c r="G748" t="str">
        <f>"9780691149219"</f>
        <v>9780691149219</v>
      </c>
      <c r="H748" t="s">
        <v>1834</v>
      </c>
      <c r="I748">
        <v>623.74689999999998</v>
      </c>
      <c r="J748" t="s">
        <v>1835</v>
      </c>
      <c r="K748" t="s">
        <v>44</v>
      </c>
      <c r="N748" t="s">
        <v>45</v>
      </c>
      <c r="O748" t="s">
        <v>46</v>
      </c>
      <c r="P748" t="s">
        <v>45</v>
      </c>
      <c r="Q748" t="s">
        <v>47</v>
      </c>
      <c r="R748" t="s">
        <v>44</v>
      </c>
      <c r="S748">
        <v>1</v>
      </c>
      <c r="W748" s="3">
        <v>1.4467592592592594E-3</v>
      </c>
      <c r="X748" t="s">
        <v>1836</v>
      </c>
      <c r="Y748">
        <v>3</v>
      </c>
      <c r="Z748">
        <v>0</v>
      </c>
      <c r="AA748" t="s">
        <v>49</v>
      </c>
      <c r="AB748">
        <v>0</v>
      </c>
      <c r="AC748" t="s">
        <v>49</v>
      </c>
      <c r="AD748">
        <v>0</v>
      </c>
      <c r="AE748">
        <v>10522526</v>
      </c>
      <c r="AF748" t="s">
        <v>63</v>
      </c>
      <c r="AG748" t="s">
        <v>670</v>
      </c>
    </row>
    <row r="749" spans="1:33" x14ac:dyDescent="0.35">
      <c r="A749" s="1">
        <v>44892.080555555556</v>
      </c>
      <c r="B749">
        <v>279494</v>
      </c>
      <c r="C749" t="s">
        <v>1333</v>
      </c>
      <c r="D749" t="s">
        <v>125</v>
      </c>
      <c r="E749" s="2">
        <v>37280</v>
      </c>
      <c r="F749" t="str">
        <f>"9780198032953"</f>
        <v>9780198032953</v>
      </c>
      <c r="G749" t="str">
        <f>"9780195144208"</f>
        <v>9780195144208</v>
      </c>
      <c r="H749" t="s">
        <v>667</v>
      </c>
      <c r="I749" t="s">
        <v>1334</v>
      </c>
      <c r="J749" t="s">
        <v>1335</v>
      </c>
      <c r="K749" t="s">
        <v>44</v>
      </c>
      <c r="N749" t="s">
        <v>45</v>
      </c>
      <c r="O749" t="s">
        <v>46</v>
      </c>
      <c r="P749" t="s">
        <v>45</v>
      </c>
      <c r="Q749" t="s">
        <v>47</v>
      </c>
      <c r="R749" t="s">
        <v>44</v>
      </c>
      <c r="S749">
        <v>0</v>
      </c>
      <c r="W749" s="3">
        <v>8.8773148148148143E-2</v>
      </c>
      <c r="X749" t="s">
        <v>1837</v>
      </c>
      <c r="Y749">
        <v>32</v>
      </c>
      <c r="Z749">
        <v>0</v>
      </c>
      <c r="AA749" t="s">
        <v>49</v>
      </c>
      <c r="AB749">
        <v>0</v>
      </c>
      <c r="AC749" t="s">
        <v>1838</v>
      </c>
      <c r="AD749">
        <v>2</v>
      </c>
      <c r="AE749">
        <v>11303309</v>
      </c>
      <c r="AF749" t="s">
        <v>50</v>
      </c>
      <c r="AG749" t="s">
        <v>1190</v>
      </c>
    </row>
    <row r="750" spans="1:33" x14ac:dyDescent="0.35">
      <c r="A750" s="1">
        <v>44892.038194444445</v>
      </c>
      <c r="B750">
        <v>6940602</v>
      </c>
      <c r="C750" t="s">
        <v>1265</v>
      </c>
      <c r="D750" t="s">
        <v>65</v>
      </c>
      <c r="E750" s="2">
        <v>44669</v>
      </c>
      <c r="F750" t="str">
        <f>"9780323858762"</f>
        <v>9780323858762</v>
      </c>
      <c r="G750" t="str">
        <f>"9780323858731"</f>
        <v>9780323858731</v>
      </c>
      <c r="H750" t="s">
        <v>719</v>
      </c>
      <c r="I750">
        <v>615.6</v>
      </c>
      <c r="J750" t="s">
        <v>1266</v>
      </c>
      <c r="K750" t="s">
        <v>55</v>
      </c>
      <c r="Q750" t="s">
        <v>47</v>
      </c>
      <c r="R750" t="s">
        <v>44</v>
      </c>
      <c r="S750">
        <v>0</v>
      </c>
      <c r="W750" s="3">
        <v>4.6296296296296294E-5</v>
      </c>
      <c r="X750" t="s">
        <v>121</v>
      </c>
      <c r="Y750">
        <v>1</v>
      </c>
      <c r="Z750">
        <v>0</v>
      </c>
      <c r="AA750" t="s">
        <v>49</v>
      </c>
      <c r="AB750">
        <v>0</v>
      </c>
      <c r="AC750" t="s">
        <v>49</v>
      </c>
      <c r="AD750">
        <v>0</v>
      </c>
      <c r="AE750">
        <v>-1</v>
      </c>
      <c r="AF750" t="s">
        <v>50</v>
      </c>
      <c r="AG750" t="s">
        <v>1160</v>
      </c>
    </row>
    <row r="751" spans="1:33" x14ac:dyDescent="0.35">
      <c r="A751" s="1">
        <v>44892.029166666667</v>
      </c>
      <c r="B751">
        <v>1895869</v>
      </c>
      <c r="C751" t="s">
        <v>1839</v>
      </c>
      <c r="D751" t="s">
        <v>59</v>
      </c>
      <c r="E751" s="2">
        <v>42037</v>
      </c>
      <c r="F751" t="str">
        <f>"9781118989319"</f>
        <v>9781118989319</v>
      </c>
      <c r="G751" t="str">
        <f>"9781118299487"</f>
        <v>9781118299487</v>
      </c>
      <c r="H751" t="s">
        <v>90</v>
      </c>
      <c r="I751" t="s">
        <v>1391</v>
      </c>
      <c r="J751" t="s">
        <v>1840</v>
      </c>
      <c r="K751" t="s">
        <v>44</v>
      </c>
      <c r="N751" t="s">
        <v>45</v>
      </c>
      <c r="O751" t="s">
        <v>46</v>
      </c>
      <c r="P751" t="s">
        <v>45</v>
      </c>
      <c r="Q751" t="s">
        <v>47</v>
      </c>
      <c r="R751" t="s">
        <v>44</v>
      </c>
      <c r="S751">
        <v>0</v>
      </c>
      <c r="W751" s="3">
        <v>3.4722222222222222E-5</v>
      </c>
      <c r="X751" t="s">
        <v>1841</v>
      </c>
      <c r="Y751">
        <v>1</v>
      </c>
      <c r="Z751">
        <v>0</v>
      </c>
      <c r="AA751" t="s">
        <v>49</v>
      </c>
      <c r="AB751">
        <v>0</v>
      </c>
      <c r="AC751" t="s">
        <v>49</v>
      </c>
      <c r="AD751">
        <v>0</v>
      </c>
      <c r="AE751">
        <v>11004536</v>
      </c>
      <c r="AF751" t="s">
        <v>50</v>
      </c>
      <c r="AG751" t="s">
        <v>1500</v>
      </c>
    </row>
    <row r="752" spans="1:33" x14ac:dyDescent="0.35">
      <c r="A752" s="1">
        <v>44892.023611111108</v>
      </c>
      <c r="B752">
        <v>5719694</v>
      </c>
      <c r="C752" t="s">
        <v>1661</v>
      </c>
      <c r="D752" t="s">
        <v>65</v>
      </c>
      <c r="E752" s="2">
        <v>43522</v>
      </c>
      <c r="F752" t="str">
        <f>"9780128182550"</f>
        <v>9780128182550</v>
      </c>
      <c r="G752" t="str">
        <f>"9780081026311"</f>
        <v>9780081026311</v>
      </c>
      <c r="H752" t="s">
        <v>1662</v>
      </c>
      <c r="I752" t="s">
        <v>1663</v>
      </c>
      <c r="J752" t="s">
        <v>1664</v>
      </c>
      <c r="K752" t="s">
        <v>55</v>
      </c>
      <c r="Q752" t="s">
        <v>47</v>
      </c>
      <c r="R752" t="s">
        <v>44</v>
      </c>
      <c r="S752">
        <v>0</v>
      </c>
      <c r="W752" s="3">
        <v>5.8680555555555543E-3</v>
      </c>
      <c r="X752" t="s">
        <v>1842</v>
      </c>
      <c r="Y752">
        <v>14</v>
      </c>
      <c r="Z752">
        <v>0</v>
      </c>
      <c r="AA752" t="s">
        <v>49</v>
      </c>
      <c r="AB752">
        <v>0</v>
      </c>
      <c r="AC752" t="s">
        <v>49</v>
      </c>
      <c r="AD752">
        <v>0</v>
      </c>
      <c r="AE752">
        <v>11656711</v>
      </c>
      <c r="AF752" t="s">
        <v>50</v>
      </c>
      <c r="AG752" t="s">
        <v>1500</v>
      </c>
    </row>
    <row r="753" spans="1:33" x14ac:dyDescent="0.35">
      <c r="A753" s="1">
        <v>44892.021527777775</v>
      </c>
      <c r="B753">
        <v>866810</v>
      </c>
      <c r="C753" t="s">
        <v>1843</v>
      </c>
      <c r="D753" t="s">
        <v>502</v>
      </c>
      <c r="E753" s="2">
        <v>40969</v>
      </c>
      <c r="F753" t="str">
        <f>"9781139340076"</f>
        <v>9781139340076</v>
      </c>
      <c r="G753" t="str">
        <f>"9781107008984"</f>
        <v>9781107008984</v>
      </c>
      <c r="H753" t="s">
        <v>712</v>
      </c>
      <c r="I753" t="s">
        <v>1844</v>
      </c>
      <c r="J753" t="s">
        <v>1845</v>
      </c>
      <c r="K753" t="s">
        <v>44</v>
      </c>
      <c r="N753" t="s">
        <v>45</v>
      </c>
      <c r="O753" t="s">
        <v>46</v>
      </c>
      <c r="P753" t="s">
        <v>45</v>
      </c>
      <c r="Q753" t="s">
        <v>47</v>
      </c>
      <c r="R753" t="s">
        <v>44</v>
      </c>
      <c r="S753">
        <v>0</v>
      </c>
      <c r="W753" s="3">
        <v>1.2152777777777778E-3</v>
      </c>
      <c r="X753" t="s">
        <v>1846</v>
      </c>
      <c r="Y753">
        <v>4</v>
      </c>
      <c r="Z753">
        <v>0</v>
      </c>
      <c r="AA753" t="s">
        <v>49</v>
      </c>
      <c r="AB753">
        <v>0</v>
      </c>
      <c r="AC753" t="s">
        <v>49</v>
      </c>
      <c r="AD753">
        <v>0</v>
      </c>
      <c r="AE753">
        <v>10558204</v>
      </c>
      <c r="AF753" t="s">
        <v>63</v>
      </c>
      <c r="AG753" t="s">
        <v>528</v>
      </c>
    </row>
    <row r="754" spans="1:33" x14ac:dyDescent="0.35">
      <c r="A754" s="1">
        <v>44891.995138888888</v>
      </c>
      <c r="B754">
        <v>5719694</v>
      </c>
      <c r="C754" t="s">
        <v>1661</v>
      </c>
      <c r="D754" t="s">
        <v>65</v>
      </c>
      <c r="E754" s="2">
        <v>43522</v>
      </c>
      <c r="F754" t="str">
        <f>"9780128182550"</f>
        <v>9780128182550</v>
      </c>
      <c r="G754" t="str">
        <f>"9780081026311"</f>
        <v>9780081026311</v>
      </c>
      <c r="H754" t="s">
        <v>1662</v>
      </c>
      <c r="I754" t="s">
        <v>1663</v>
      </c>
      <c r="J754" t="s">
        <v>1664</v>
      </c>
      <c r="K754" t="s">
        <v>55</v>
      </c>
      <c r="Q754" t="s">
        <v>47</v>
      </c>
      <c r="R754" t="s">
        <v>44</v>
      </c>
      <c r="S754">
        <v>0</v>
      </c>
      <c r="W754" s="3">
        <v>8.6805555555555551E-4</v>
      </c>
      <c r="X754" t="s">
        <v>1847</v>
      </c>
      <c r="Y754">
        <v>8</v>
      </c>
      <c r="Z754">
        <v>0</v>
      </c>
      <c r="AA754" t="s">
        <v>49</v>
      </c>
      <c r="AB754">
        <v>0</v>
      </c>
      <c r="AC754" t="s">
        <v>49</v>
      </c>
      <c r="AD754">
        <v>0</v>
      </c>
      <c r="AE754">
        <v>11656711</v>
      </c>
      <c r="AF754" t="s">
        <v>50</v>
      </c>
      <c r="AG754" t="s">
        <v>1500</v>
      </c>
    </row>
    <row r="755" spans="1:33" x14ac:dyDescent="0.35">
      <c r="A755" s="1">
        <v>44891.968055555553</v>
      </c>
      <c r="B755">
        <v>1895869</v>
      </c>
      <c r="C755" t="s">
        <v>1839</v>
      </c>
      <c r="D755" t="s">
        <v>59</v>
      </c>
      <c r="E755" s="2">
        <v>42037</v>
      </c>
      <c r="F755" t="str">
        <f>"9781118989319"</f>
        <v>9781118989319</v>
      </c>
      <c r="G755" t="str">
        <f>"9781118299487"</f>
        <v>9781118299487</v>
      </c>
      <c r="H755" t="s">
        <v>90</v>
      </c>
      <c r="I755" t="s">
        <v>1391</v>
      </c>
      <c r="J755" t="s">
        <v>1840</v>
      </c>
      <c r="K755" t="s">
        <v>44</v>
      </c>
      <c r="N755" t="s">
        <v>45</v>
      </c>
      <c r="O755" t="s">
        <v>46</v>
      </c>
      <c r="P755" t="s">
        <v>45</v>
      </c>
      <c r="Q755" t="s">
        <v>47</v>
      </c>
      <c r="R755" t="s">
        <v>44</v>
      </c>
      <c r="S755">
        <v>0</v>
      </c>
      <c r="W755" s="3">
        <v>1.2152777777777778E-2</v>
      </c>
      <c r="X755" t="s">
        <v>1848</v>
      </c>
      <c r="Y755">
        <v>5</v>
      </c>
      <c r="Z755">
        <v>0</v>
      </c>
      <c r="AA755" t="s">
        <v>49</v>
      </c>
      <c r="AB755">
        <v>0</v>
      </c>
      <c r="AC755" t="s">
        <v>49</v>
      </c>
      <c r="AD755">
        <v>0</v>
      </c>
      <c r="AE755">
        <v>11004536</v>
      </c>
      <c r="AF755" t="s">
        <v>50</v>
      </c>
      <c r="AG755" t="s">
        <v>1500</v>
      </c>
    </row>
    <row r="756" spans="1:33" x14ac:dyDescent="0.35">
      <c r="A756" s="1">
        <v>44891.95416666667</v>
      </c>
      <c r="B756">
        <v>279494</v>
      </c>
      <c r="C756" t="s">
        <v>1333</v>
      </c>
      <c r="D756" t="s">
        <v>125</v>
      </c>
      <c r="E756" s="2">
        <v>37280</v>
      </c>
      <c r="F756" t="str">
        <f>"9780198032953"</f>
        <v>9780198032953</v>
      </c>
      <c r="G756" t="str">
        <f>"9780195144208"</f>
        <v>9780195144208</v>
      </c>
      <c r="H756" t="s">
        <v>667</v>
      </c>
      <c r="I756" t="s">
        <v>1334</v>
      </c>
      <c r="J756" t="s">
        <v>1335</v>
      </c>
      <c r="K756" t="s">
        <v>44</v>
      </c>
      <c r="N756" t="s">
        <v>45</v>
      </c>
      <c r="O756" t="s">
        <v>46</v>
      </c>
      <c r="P756" t="s">
        <v>45</v>
      </c>
      <c r="Q756" t="s">
        <v>47</v>
      </c>
      <c r="R756" t="s">
        <v>44</v>
      </c>
      <c r="S756">
        <v>0</v>
      </c>
      <c r="W756" s="3">
        <v>0</v>
      </c>
      <c r="X756" t="s">
        <v>49</v>
      </c>
      <c r="Y756">
        <v>0</v>
      </c>
      <c r="Z756">
        <v>1</v>
      </c>
      <c r="AA756" t="s">
        <v>1849</v>
      </c>
      <c r="AB756">
        <v>18</v>
      </c>
      <c r="AC756" t="s">
        <v>49</v>
      </c>
      <c r="AD756">
        <v>0</v>
      </c>
      <c r="AE756">
        <v>11303309</v>
      </c>
      <c r="AF756" t="s">
        <v>50</v>
      </c>
      <c r="AG756" t="s">
        <v>523</v>
      </c>
    </row>
    <row r="757" spans="1:33" x14ac:dyDescent="0.35">
      <c r="A757" s="1">
        <v>44891.911111111112</v>
      </c>
      <c r="B757">
        <v>144768</v>
      </c>
      <c r="C757" t="s">
        <v>1748</v>
      </c>
      <c r="D757" t="s">
        <v>502</v>
      </c>
      <c r="E757" s="2">
        <v>36720</v>
      </c>
      <c r="F757" t="str">
        <f>"9780511151118"</f>
        <v>9780511151118</v>
      </c>
      <c r="G757" t="str">
        <f>"9780521772303"</f>
        <v>9780521772303</v>
      </c>
      <c r="H757" t="s">
        <v>1069</v>
      </c>
      <c r="I757">
        <v>892.70899999999995</v>
      </c>
      <c r="J757" t="s">
        <v>1749</v>
      </c>
      <c r="K757" t="s">
        <v>44</v>
      </c>
      <c r="N757" t="s">
        <v>45</v>
      </c>
      <c r="O757" t="s">
        <v>46</v>
      </c>
      <c r="P757" t="s">
        <v>45</v>
      </c>
      <c r="Q757" t="s">
        <v>47</v>
      </c>
      <c r="R757" t="s">
        <v>44</v>
      </c>
      <c r="S757">
        <v>0</v>
      </c>
      <c r="W757" s="3">
        <v>3.0046296296296297E-2</v>
      </c>
      <c r="X757" t="s">
        <v>1850</v>
      </c>
      <c r="Y757">
        <v>29</v>
      </c>
      <c r="Z757">
        <v>0</v>
      </c>
      <c r="AA757" t="s">
        <v>49</v>
      </c>
      <c r="AB757">
        <v>0</v>
      </c>
      <c r="AC757" t="s">
        <v>49</v>
      </c>
      <c r="AD757">
        <v>0</v>
      </c>
      <c r="AE757">
        <v>10014925</v>
      </c>
      <c r="AF757" t="s">
        <v>50</v>
      </c>
      <c r="AG757" t="s">
        <v>122</v>
      </c>
    </row>
    <row r="758" spans="1:33" x14ac:dyDescent="0.35">
      <c r="A758" s="1">
        <v>44891.875694444447</v>
      </c>
      <c r="B758">
        <v>144768</v>
      </c>
      <c r="C758" t="s">
        <v>1748</v>
      </c>
      <c r="D758" t="s">
        <v>502</v>
      </c>
      <c r="E758" s="2">
        <v>36720</v>
      </c>
      <c r="F758" t="str">
        <f>"9780511151118"</f>
        <v>9780511151118</v>
      </c>
      <c r="G758" t="str">
        <f>"9780521772303"</f>
        <v>9780521772303</v>
      </c>
      <c r="H758" t="s">
        <v>1069</v>
      </c>
      <c r="I758">
        <v>892.70899999999995</v>
      </c>
      <c r="J758" t="s">
        <v>1749</v>
      </c>
      <c r="K758" t="s">
        <v>44</v>
      </c>
      <c r="N758" t="s">
        <v>45</v>
      </c>
      <c r="O758" t="s">
        <v>46</v>
      </c>
      <c r="P758" t="s">
        <v>45</v>
      </c>
      <c r="Q758" t="s">
        <v>47</v>
      </c>
      <c r="R758" t="s">
        <v>44</v>
      </c>
      <c r="S758">
        <v>0</v>
      </c>
      <c r="W758" s="3">
        <v>1.9097222222222222E-3</v>
      </c>
      <c r="X758" t="s">
        <v>1851</v>
      </c>
      <c r="Y758">
        <v>11</v>
      </c>
      <c r="Z758">
        <v>0</v>
      </c>
      <c r="AA758" t="s">
        <v>49</v>
      </c>
      <c r="AB758">
        <v>0</v>
      </c>
      <c r="AC758" t="s">
        <v>49</v>
      </c>
      <c r="AD758">
        <v>0</v>
      </c>
      <c r="AE758">
        <v>10014925</v>
      </c>
      <c r="AF758" t="s">
        <v>50</v>
      </c>
      <c r="AG758" t="s">
        <v>122</v>
      </c>
    </row>
    <row r="759" spans="1:33" x14ac:dyDescent="0.35">
      <c r="A759" s="1">
        <v>44891.855555555558</v>
      </c>
      <c r="B759">
        <v>4186519</v>
      </c>
      <c r="C759" t="s">
        <v>1852</v>
      </c>
      <c r="D759" t="s">
        <v>329</v>
      </c>
      <c r="E759" s="2">
        <v>42348</v>
      </c>
      <c r="F759" t="str">
        <f>"9780128029176"</f>
        <v>9780128029176</v>
      </c>
      <c r="G759" t="str">
        <f>"9780128029169"</f>
        <v>9780128029169</v>
      </c>
      <c r="H759" t="s">
        <v>419</v>
      </c>
      <c r="I759">
        <v>327.12028500000002</v>
      </c>
      <c r="J759" t="s">
        <v>1853</v>
      </c>
      <c r="K759" t="s">
        <v>44</v>
      </c>
      <c r="N759" t="s">
        <v>45</v>
      </c>
      <c r="O759" t="s">
        <v>46</v>
      </c>
      <c r="P759" t="s">
        <v>45</v>
      </c>
      <c r="Q759" t="s">
        <v>47</v>
      </c>
      <c r="R759" t="s">
        <v>44</v>
      </c>
      <c r="S759">
        <v>0</v>
      </c>
      <c r="W759" s="3">
        <v>4.9942129629629628E-2</v>
      </c>
      <c r="X759" t="s">
        <v>1854</v>
      </c>
      <c r="Y759">
        <v>33</v>
      </c>
      <c r="Z759">
        <v>0</v>
      </c>
      <c r="AA759" t="s">
        <v>49</v>
      </c>
      <c r="AB759">
        <v>0</v>
      </c>
      <c r="AC759" t="s">
        <v>49</v>
      </c>
      <c r="AD759">
        <v>0</v>
      </c>
      <c r="AE759">
        <v>11134709</v>
      </c>
      <c r="AF759" t="s">
        <v>50</v>
      </c>
      <c r="AG759" t="s">
        <v>388</v>
      </c>
    </row>
    <row r="760" spans="1:33" x14ac:dyDescent="0.35">
      <c r="A760" s="1">
        <v>44891.802777777775</v>
      </c>
      <c r="B760">
        <v>279494</v>
      </c>
      <c r="C760" t="s">
        <v>1333</v>
      </c>
      <c r="D760" t="s">
        <v>125</v>
      </c>
      <c r="E760" s="2">
        <v>37280</v>
      </c>
      <c r="F760" t="str">
        <f>"9780198032953"</f>
        <v>9780198032953</v>
      </c>
      <c r="G760" t="str">
        <f>"9780195144208"</f>
        <v>9780195144208</v>
      </c>
      <c r="H760" t="s">
        <v>667</v>
      </c>
      <c r="I760" t="s">
        <v>1334</v>
      </c>
      <c r="J760" t="s">
        <v>1335</v>
      </c>
      <c r="K760" t="s">
        <v>44</v>
      </c>
      <c r="N760" t="s">
        <v>45</v>
      </c>
      <c r="O760" t="s">
        <v>46</v>
      </c>
      <c r="P760" t="s">
        <v>45</v>
      </c>
      <c r="Q760" t="s">
        <v>47</v>
      </c>
      <c r="R760" t="s">
        <v>44</v>
      </c>
      <c r="S760">
        <v>0</v>
      </c>
      <c r="W760" s="3">
        <v>1.1574074074074073E-5</v>
      </c>
      <c r="X760" t="s">
        <v>49</v>
      </c>
      <c r="Y760">
        <v>0</v>
      </c>
      <c r="Z760">
        <v>1</v>
      </c>
      <c r="AA760" t="s">
        <v>1855</v>
      </c>
      <c r="AB760">
        <v>29</v>
      </c>
      <c r="AC760" t="s">
        <v>49</v>
      </c>
      <c r="AD760">
        <v>0</v>
      </c>
      <c r="AE760">
        <v>11303309</v>
      </c>
      <c r="AF760" t="s">
        <v>50</v>
      </c>
      <c r="AG760" t="s">
        <v>388</v>
      </c>
    </row>
    <row r="761" spans="1:33" x14ac:dyDescent="0.35">
      <c r="A761" s="1">
        <v>44891.711805555555</v>
      </c>
      <c r="B761">
        <v>1582318</v>
      </c>
      <c r="C761" t="s">
        <v>1817</v>
      </c>
      <c r="D761" t="s">
        <v>213</v>
      </c>
      <c r="E761" s="2">
        <v>41626</v>
      </c>
      <c r="F761" t="str">
        <f>"9780080969893"</f>
        <v>9780080969893</v>
      </c>
      <c r="G761" t="str">
        <f>"9780080969886"</f>
        <v>9780080969886</v>
      </c>
      <c r="H761" t="s">
        <v>1818</v>
      </c>
      <c r="I761">
        <v>669</v>
      </c>
      <c r="J761" t="s">
        <v>1819</v>
      </c>
      <c r="K761" t="s">
        <v>44</v>
      </c>
      <c r="N761" t="s">
        <v>45</v>
      </c>
      <c r="O761" t="s">
        <v>46</v>
      </c>
      <c r="P761" t="s">
        <v>45</v>
      </c>
      <c r="Q761" t="s">
        <v>47</v>
      </c>
      <c r="R761" t="s">
        <v>44</v>
      </c>
      <c r="S761">
        <v>0</v>
      </c>
      <c r="W761" s="3">
        <v>4.6296296296296294E-5</v>
      </c>
      <c r="X761" t="s">
        <v>121</v>
      </c>
      <c r="Y761">
        <v>1</v>
      </c>
      <c r="Z761">
        <v>0</v>
      </c>
      <c r="AA761" t="s">
        <v>49</v>
      </c>
      <c r="AB761">
        <v>0</v>
      </c>
      <c r="AC761" t="s">
        <v>49</v>
      </c>
      <c r="AD761">
        <v>0</v>
      </c>
      <c r="AE761">
        <v>10822528</v>
      </c>
      <c r="AF761" t="s">
        <v>50</v>
      </c>
      <c r="AG761" t="s">
        <v>388</v>
      </c>
    </row>
    <row r="762" spans="1:33" x14ac:dyDescent="0.35">
      <c r="A762" s="1">
        <v>44891.705555555556</v>
      </c>
      <c r="B762">
        <v>1579351</v>
      </c>
      <c r="C762" t="s">
        <v>1651</v>
      </c>
      <c r="D762" t="s">
        <v>59</v>
      </c>
      <c r="E762" s="2">
        <v>41660</v>
      </c>
      <c r="F762" t="str">
        <f>"9781118573136"</f>
        <v>9781118573136</v>
      </c>
      <c r="G762" t="str">
        <f>"9781118567234"</f>
        <v>9781118567234</v>
      </c>
      <c r="H762" t="s">
        <v>60</v>
      </c>
      <c r="I762" t="s">
        <v>1652</v>
      </c>
      <c r="J762" t="s">
        <v>1653</v>
      </c>
      <c r="K762" t="s">
        <v>44</v>
      </c>
      <c r="N762" t="s">
        <v>45</v>
      </c>
      <c r="O762" t="s">
        <v>46</v>
      </c>
      <c r="P762" t="s">
        <v>45</v>
      </c>
      <c r="Q762" t="s">
        <v>47</v>
      </c>
      <c r="R762" t="s">
        <v>44</v>
      </c>
      <c r="S762">
        <v>0</v>
      </c>
      <c r="W762" s="3">
        <v>1.0648148148148147E-3</v>
      </c>
      <c r="X762" t="s">
        <v>1856</v>
      </c>
      <c r="Y762">
        <v>6</v>
      </c>
      <c r="Z762">
        <v>2</v>
      </c>
      <c r="AA762" t="s">
        <v>1857</v>
      </c>
      <c r="AB762">
        <v>48</v>
      </c>
      <c r="AC762" t="s">
        <v>49</v>
      </c>
      <c r="AD762">
        <v>0</v>
      </c>
      <c r="AE762">
        <v>10816615</v>
      </c>
      <c r="AF762" t="s">
        <v>50</v>
      </c>
      <c r="AG762" t="s">
        <v>1500</v>
      </c>
    </row>
    <row r="763" spans="1:33" x14ac:dyDescent="0.35">
      <c r="A763" s="1">
        <v>44891.697916666664</v>
      </c>
      <c r="B763">
        <v>7103548</v>
      </c>
      <c r="C763" t="s">
        <v>1858</v>
      </c>
      <c r="D763" t="s">
        <v>59</v>
      </c>
      <c r="E763" s="2">
        <v>41372</v>
      </c>
      <c r="F763" t="str">
        <f>"9781118332825"</f>
        <v>9781118332825</v>
      </c>
      <c r="G763" t="str">
        <f>"9780470900376"</f>
        <v>9780470900376</v>
      </c>
      <c r="H763" t="s">
        <v>1570</v>
      </c>
      <c r="K763" t="s">
        <v>44</v>
      </c>
      <c r="N763" t="s">
        <v>45</v>
      </c>
      <c r="O763" t="s">
        <v>46</v>
      </c>
      <c r="P763" t="s">
        <v>45</v>
      </c>
      <c r="Q763" t="s">
        <v>47</v>
      </c>
      <c r="R763" t="s">
        <v>44</v>
      </c>
      <c r="S763">
        <v>1</v>
      </c>
      <c r="W763" s="3">
        <v>0</v>
      </c>
      <c r="X763" t="s">
        <v>49</v>
      </c>
      <c r="Y763">
        <v>0</v>
      </c>
      <c r="Z763">
        <v>0</v>
      </c>
      <c r="AA763" t="s">
        <v>49</v>
      </c>
      <c r="AB763">
        <v>0</v>
      </c>
      <c r="AC763" t="s">
        <v>49</v>
      </c>
      <c r="AD763">
        <v>0</v>
      </c>
      <c r="AE763">
        <v>-1</v>
      </c>
      <c r="AF763" t="s">
        <v>63</v>
      </c>
      <c r="AG763" t="s">
        <v>216</v>
      </c>
    </row>
    <row r="764" spans="1:33" x14ac:dyDescent="0.35">
      <c r="A764" s="1">
        <v>44891.696527777778</v>
      </c>
      <c r="B764">
        <v>7103548</v>
      </c>
      <c r="C764" t="s">
        <v>1858</v>
      </c>
      <c r="D764" t="s">
        <v>59</v>
      </c>
      <c r="E764" s="2">
        <v>41372</v>
      </c>
      <c r="F764" t="str">
        <f>"9781118332825"</f>
        <v>9781118332825</v>
      </c>
      <c r="G764" t="str">
        <f>"9780470900376"</f>
        <v>9780470900376</v>
      </c>
      <c r="H764" t="s">
        <v>1570</v>
      </c>
      <c r="K764" t="s">
        <v>44</v>
      </c>
      <c r="N764" t="s">
        <v>45</v>
      </c>
      <c r="O764" t="s">
        <v>46</v>
      </c>
      <c r="P764" t="s">
        <v>45</v>
      </c>
      <c r="Q764" t="s">
        <v>47</v>
      </c>
      <c r="R764" t="s">
        <v>44</v>
      </c>
      <c r="S764">
        <v>0</v>
      </c>
      <c r="W764" s="3">
        <v>1.2847222222222223E-3</v>
      </c>
      <c r="X764" t="s">
        <v>113</v>
      </c>
      <c r="Y764">
        <v>2</v>
      </c>
      <c r="Z764">
        <v>0</v>
      </c>
      <c r="AA764" t="s">
        <v>49</v>
      </c>
      <c r="AB764">
        <v>0</v>
      </c>
      <c r="AC764" t="s">
        <v>49</v>
      </c>
      <c r="AD764">
        <v>0</v>
      </c>
      <c r="AE764">
        <v>-1</v>
      </c>
      <c r="AF764" t="s">
        <v>63</v>
      </c>
      <c r="AG764" t="s">
        <v>216</v>
      </c>
    </row>
    <row r="765" spans="1:33" x14ac:dyDescent="0.35">
      <c r="A765" s="1">
        <v>44891.69027777778</v>
      </c>
      <c r="B765">
        <v>6940602</v>
      </c>
      <c r="C765" t="s">
        <v>1265</v>
      </c>
      <c r="D765" t="s">
        <v>65</v>
      </c>
      <c r="E765" s="2">
        <v>44669</v>
      </c>
      <c r="F765" t="str">
        <f>"9780323858762"</f>
        <v>9780323858762</v>
      </c>
      <c r="G765" t="str">
        <f>"9780323858731"</f>
        <v>9780323858731</v>
      </c>
      <c r="H765" t="s">
        <v>719</v>
      </c>
      <c r="I765">
        <v>615.6</v>
      </c>
      <c r="J765" t="s">
        <v>1266</v>
      </c>
      <c r="K765" t="s">
        <v>55</v>
      </c>
      <c r="Q765" t="s">
        <v>47</v>
      </c>
      <c r="R765" t="s">
        <v>44</v>
      </c>
      <c r="S765">
        <v>0</v>
      </c>
      <c r="W765" s="3">
        <v>1.8518518518518518E-4</v>
      </c>
      <c r="X765" t="s">
        <v>1859</v>
      </c>
      <c r="Y765">
        <v>20</v>
      </c>
      <c r="Z765">
        <v>0</v>
      </c>
      <c r="AA765" t="s">
        <v>49</v>
      </c>
      <c r="AB765">
        <v>0</v>
      </c>
      <c r="AC765" t="s">
        <v>49</v>
      </c>
      <c r="AD765">
        <v>0</v>
      </c>
      <c r="AE765">
        <v>-1</v>
      </c>
      <c r="AF765" t="s">
        <v>50</v>
      </c>
      <c r="AG765" t="s">
        <v>1160</v>
      </c>
    </row>
    <row r="766" spans="1:33" x14ac:dyDescent="0.35">
      <c r="A766" s="1">
        <v>44891.678472222222</v>
      </c>
      <c r="B766">
        <v>5969438</v>
      </c>
      <c r="C766" t="s">
        <v>917</v>
      </c>
      <c r="D766" t="s">
        <v>105</v>
      </c>
      <c r="E766" s="2">
        <v>43780</v>
      </c>
      <c r="F766" t="str">
        <f>"9783030244408"</f>
        <v>9783030244408</v>
      </c>
      <c r="G766" t="str">
        <f>"9783030244392"</f>
        <v>9783030244392</v>
      </c>
      <c r="H766" t="s">
        <v>918</v>
      </c>
      <c r="I766">
        <v>669.94</v>
      </c>
      <c r="J766" t="s">
        <v>919</v>
      </c>
      <c r="K766" t="s">
        <v>55</v>
      </c>
      <c r="Q766" t="s">
        <v>47</v>
      </c>
      <c r="R766" t="s">
        <v>44</v>
      </c>
      <c r="S766">
        <v>0</v>
      </c>
      <c r="W766" s="3">
        <v>6.4930555555555549E-3</v>
      </c>
      <c r="X766" t="s">
        <v>1860</v>
      </c>
      <c r="Y766">
        <v>4</v>
      </c>
      <c r="Z766">
        <v>0</v>
      </c>
      <c r="AA766" t="s">
        <v>49</v>
      </c>
      <c r="AB766">
        <v>0</v>
      </c>
      <c r="AC766" t="s">
        <v>49</v>
      </c>
      <c r="AD766">
        <v>0</v>
      </c>
      <c r="AE766">
        <v>-1</v>
      </c>
      <c r="AF766" t="s">
        <v>50</v>
      </c>
      <c r="AG766" t="s">
        <v>1536</v>
      </c>
    </row>
    <row r="767" spans="1:33" x14ac:dyDescent="0.35">
      <c r="A767" s="1">
        <v>44891.671527777777</v>
      </c>
      <c r="B767">
        <v>1582318</v>
      </c>
      <c r="C767" t="s">
        <v>1817</v>
      </c>
      <c r="D767" t="s">
        <v>213</v>
      </c>
      <c r="E767" s="2">
        <v>41626</v>
      </c>
      <c r="F767" t="str">
        <f>"9780080969893"</f>
        <v>9780080969893</v>
      </c>
      <c r="G767" t="str">
        <f>"9780080969886"</f>
        <v>9780080969886</v>
      </c>
      <c r="H767" t="s">
        <v>1818</v>
      </c>
      <c r="I767">
        <v>669</v>
      </c>
      <c r="J767" t="s">
        <v>1819</v>
      </c>
      <c r="K767" t="s">
        <v>44</v>
      </c>
      <c r="N767" t="s">
        <v>45</v>
      </c>
      <c r="O767" t="s">
        <v>46</v>
      </c>
      <c r="P767" t="s">
        <v>45</v>
      </c>
      <c r="Q767" t="s">
        <v>47</v>
      </c>
      <c r="R767" t="s">
        <v>44</v>
      </c>
      <c r="S767">
        <v>0</v>
      </c>
      <c r="W767" s="3">
        <v>6.2500000000000001E-4</v>
      </c>
      <c r="X767" t="s">
        <v>1861</v>
      </c>
      <c r="Y767">
        <v>5</v>
      </c>
      <c r="Z767">
        <v>0</v>
      </c>
      <c r="AA767" t="s">
        <v>49</v>
      </c>
      <c r="AB767">
        <v>0</v>
      </c>
      <c r="AC767" t="s">
        <v>49</v>
      </c>
      <c r="AD767">
        <v>0</v>
      </c>
      <c r="AE767">
        <v>10822528</v>
      </c>
      <c r="AF767" t="s">
        <v>50</v>
      </c>
      <c r="AG767" t="s">
        <v>388</v>
      </c>
    </row>
    <row r="768" spans="1:33" x14ac:dyDescent="0.35">
      <c r="A768" s="1">
        <v>44891.627083333333</v>
      </c>
      <c r="B768">
        <v>6940602</v>
      </c>
      <c r="C768" t="s">
        <v>1265</v>
      </c>
      <c r="D768" t="s">
        <v>65</v>
      </c>
      <c r="E768" s="2">
        <v>44669</v>
      </c>
      <c r="F768" t="str">
        <f>"9780323858762"</f>
        <v>9780323858762</v>
      </c>
      <c r="G768" t="str">
        <f>"9780323858731"</f>
        <v>9780323858731</v>
      </c>
      <c r="H768" t="s">
        <v>719</v>
      </c>
      <c r="I768">
        <v>615.6</v>
      </c>
      <c r="J768" t="s">
        <v>1266</v>
      </c>
      <c r="K768" t="s">
        <v>55</v>
      </c>
      <c r="Q768" t="s">
        <v>47</v>
      </c>
      <c r="R768" t="s">
        <v>44</v>
      </c>
      <c r="S768">
        <v>0</v>
      </c>
      <c r="W768" s="3">
        <v>3.9351851851851852E-4</v>
      </c>
      <c r="X768" t="s">
        <v>1862</v>
      </c>
      <c r="Y768">
        <v>23</v>
      </c>
      <c r="Z768">
        <v>0</v>
      </c>
      <c r="AA768" t="s">
        <v>49</v>
      </c>
      <c r="AB768">
        <v>0</v>
      </c>
      <c r="AC768" t="s">
        <v>49</v>
      </c>
      <c r="AD768">
        <v>0</v>
      </c>
      <c r="AE768">
        <v>-1</v>
      </c>
      <c r="AF768" t="s">
        <v>50</v>
      </c>
      <c r="AG768" t="s">
        <v>1160</v>
      </c>
    </row>
    <row r="769" spans="1:33" x14ac:dyDescent="0.35">
      <c r="A769" s="1">
        <v>44891.609027777777</v>
      </c>
      <c r="B769">
        <v>6852854</v>
      </c>
      <c r="C769" t="s">
        <v>943</v>
      </c>
      <c r="D769" t="s">
        <v>944</v>
      </c>
      <c r="E769" s="2">
        <v>44595</v>
      </c>
      <c r="F769" t="str">
        <f>"9780861543212"</f>
        <v>9780861543212</v>
      </c>
      <c r="G769" t="str">
        <f>""</f>
        <v/>
      </c>
      <c r="H769" t="s">
        <v>945</v>
      </c>
      <c r="I769">
        <v>681.11309000000006</v>
      </c>
      <c r="J769" t="s">
        <v>946</v>
      </c>
      <c r="K769" t="s">
        <v>55</v>
      </c>
      <c r="Q769" t="s">
        <v>47</v>
      </c>
      <c r="R769" t="s">
        <v>44</v>
      </c>
      <c r="S769">
        <v>0</v>
      </c>
      <c r="W769" s="3">
        <v>0</v>
      </c>
      <c r="X769" t="s">
        <v>49</v>
      </c>
      <c r="Y769">
        <v>0</v>
      </c>
      <c r="Z769">
        <v>0</v>
      </c>
      <c r="AA769" t="s">
        <v>49</v>
      </c>
      <c r="AB769">
        <v>0</v>
      </c>
      <c r="AC769" t="s">
        <v>49</v>
      </c>
      <c r="AD769">
        <v>0</v>
      </c>
      <c r="AE769">
        <v>-1</v>
      </c>
      <c r="AF769" t="s">
        <v>50</v>
      </c>
      <c r="AG769" t="s">
        <v>1190</v>
      </c>
    </row>
    <row r="770" spans="1:33" x14ac:dyDescent="0.35">
      <c r="A770" s="1">
        <v>44891.607638888891</v>
      </c>
      <c r="B770">
        <v>5918090</v>
      </c>
      <c r="C770" t="s">
        <v>1863</v>
      </c>
      <c r="D770" t="s">
        <v>105</v>
      </c>
      <c r="E770" s="2">
        <v>43339</v>
      </c>
      <c r="F770" t="str">
        <f>"9783319965802"</f>
        <v>9783319965802</v>
      </c>
      <c r="G770" t="str">
        <f>"9783319965796"</f>
        <v>9783319965796</v>
      </c>
      <c r="H770" t="s">
        <v>208</v>
      </c>
      <c r="I770">
        <v>629.89200000000005</v>
      </c>
      <c r="J770" t="s">
        <v>234</v>
      </c>
      <c r="K770" t="s">
        <v>55</v>
      </c>
      <c r="Q770" t="s">
        <v>47</v>
      </c>
      <c r="R770" t="s">
        <v>44</v>
      </c>
      <c r="S770">
        <v>0</v>
      </c>
      <c r="W770" s="3">
        <v>3.7268518518518514E-3</v>
      </c>
      <c r="X770" t="s">
        <v>1864</v>
      </c>
      <c r="Y770">
        <v>13</v>
      </c>
      <c r="Z770">
        <v>0</v>
      </c>
      <c r="AA770" t="s">
        <v>49</v>
      </c>
      <c r="AB770">
        <v>0</v>
      </c>
      <c r="AC770" t="s">
        <v>49</v>
      </c>
      <c r="AD770">
        <v>0</v>
      </c>
      <c r="AE770">
        <v>-1</v>
      </c>
      <c r="AF770" t="s">
        <v>50</v>
      </c>
      <c r="AG770" t="s">
        <v>388</v>
      </c>
    </row>
    <row r="771" spans="1:33" x14ac:dyDescent="0.35">
      <c r="A771" s="1">
        <v>44891.595833333333</v>
      </c>
      <c r="B771">
        <v>3111614</v>
      </c>
      <c r="C771" t="s">
        <v>1865</v>
      </c>
      <c r="D771" t="s">
        <v>738</v>
      </c>
      <c r="E771" s="2">
        <v>36526</v>
      </c>
      <c r="F771" t="str">
        <f>"9781600860997"</f>
        <v>9781600860997</v>
      </c>
      <c r="G771" t="str">
        <f>"9781563475832"</f>
        <v>9781563475832</v>
      </c>
      <c r="H771" t="s">
        <v>857</v>
      </c>
      <c r="I771">
        <v>629.13</v>
      </c>
      <c r="J771" t="s">
        <v>1866</v>
      </c>
      <c r="K771" t="s">
        <v>44</v>
      </c>
      <c r="N771" t="s">
        <v>45</v>
      </c>
      <c r="O771" t="s">
        <v>46</v>
      </c>
      <c r="P771" t="s">
        <v>45</v>
      </c>
      <c r="Q771" t="s">
        <v>47</v>
      </c>
      <c r="R771" t="s">
        <v>44</v>
      </c>
      <c r="S771">
        <v>1</v>
      </c>
      <c r="W771" s="3">
        <v>1.4814814814814814E-3</v>
      </c>
      <c r="X771" t="s">
        <v>1867</v>
      </c>
      <c r="Y771">
        <v>15</v>
      </c>
      <c r="Z771">
        <v>0</v>
      </c>
      <c r="AA771" t="s">
        <v>49</v>
      </c>
      <c r="AB771">
        <v>0</v>
      </c>
      <c r="AC771" t="s">
        <v>49</v>
      </c>
      <c r="AD771">
        <v>0</v>
      </c>
      <c r="AE771">
        <v>10516719</v>
      </c>
      <c r="AF771" t="s">
        <v>63</v>
      </c>
      <c r="AG771" t="s">
        <v>388</v>
      </c>
    </row>
    <row r="772" spans="1:33" x14ac:dyDescent="0.35">
      <c r="A772" s="1">
        <v>44891.592361111114</v>
      </c>
      <c r="B772">
        <v>3111614</v>
      </c>
      <c r="C772" t="s">
        <v>1865</v>
      </c>
      <c r="D772" t="s">
        <v>738</v>
      </c>
      <c r="E772" s="2">
        <v>36526</v>
      </c>
      <c r="F772" t="str">
        <f>"9781600860997"</f>
        <v>9781600860997</v>
      </c>
      <c r="G772" t="str">
        <f>"9781563475832"</f>
        <v>9781563475832</v>
      </c>
      <c r="H772" t="s">
        <v>857</v>
      </c>
      <c r="I772">
        <v>629.13</v>
      </c>
      <c r="J772" t="s">
        <v>1866</v>
      </c>
      <c r="K772" t="s">
        <v>44</v>
      </c>
      <c r="N772" t="s">
        <v>45</v>
      </c>
      <c r="O772" t="s">
        <v>46</v>
      </c>
      <c r="P772" t="s">
        <v>45</v>
      </c>
      <c r="Q772" t="s">
        <v>47</v>
      </c>
      <c r="R772" t="s">
        <v>44</v>
      </c>
      <c r="S772">
        <v>0</v>
      </c>
      <c r="W772" s="3">
        <v>3.3680555555555551E-3</v>
      </c>
      <c r="X772" t="s">
        <v>1868</v>
      </c>
      <c r="Y772">
        <v>4</v>
      </c>
      <c r="Z772">
        <v>0</v>
      </c>
      <c r="AA772" t="s">
        <v>49</v>
      </c>
      <c r="AB772">
        <v>0</v>
      </c>
      <c r="AC772" t="s">
        <v>49</v>
      </c>
      <c r="AD772">
        <v>0</v>
      </c>
      <c r="AE772">
        <v>10516719</v>
      </c>
      <c r="AF772" t="s">
        <v>63</v>
      </c>
      <c r="AG772" t="s">
        <v>388</v>
      </c>
    </row>
    <row r="773" spans="1:33" x14ac:dyDescent="0.35">
      <c r="A773" s="1">
        <v>44891.556250000001</v>
      </c>
      <c r="B773">
        <v>6940602</v>
      </c>
      <c r="C773" t="s">
        <v>1265</v>
      </c>
      <c r="D773" t="s">
        <v>65</v>
      </c>
      <c r="E773" s="2">
        <v>44669</v>
      </c>
      <c r="F773" t="str">
        <f>"9780323858762"</f>
        <v>9780323858762</v>
      </c>
      <c r="G773" t="str">
        <f>"9780323858731"</f>
        <v>9780323858731</v>
      </c>
      <c r="H773" t="s">
        <v>719</v>
      </c>
      <c r="I773">
        <v>615.6</v>
      </c>
      <c r="J773" t="s">
        <v>1266</v>
      </c>
      <c r="K773" t="s">
        <v>55</v>
      </c>
      <c r="Q773" t="s">
        <v>47</v>
      </c>
      <c r="R773" t="s">
        <v>44</v>
      </c>
      <c r="S773">
        <v>0</v>
      </c>
      <c r="W773" s="3">
        <v>1.8518518518518518E-4</v>
      </c>
      <c r="X773" t="s">
        <v>1869</v>
      </c>
      <c r="Y773">
        <v>7</v>
      </c>
      <c r="Z773">
        <v>0</v>
      </c>
      <c r="AA773" t="s">
        <v>49</v>
      </c>
      <c r="AB773">
        <v>0</v>
      </c>
      <c r="AC773" t="s">
        <v>49</v>
      </c>
      <c r="AD773">
        <v>0</v>
      </c>
      <c r="AE773">
        <v>-1</v>
      </c>
      <c r="AF773" t="s">
        <v>50</v>
      </c>
      <c r="AG773" t="s">
        <v>1160</v>
      </c>
    </row>
    <row r="774" spans="1:33" x14ac:dyDescent="0.35">
      <c r="A774" s="1">
        <v>44891.536805555559</v>
      </c>
      <c r="B774">
        <v>7104031</v>
      </c>
      <c r="C774" t="s">
        <v>1870</v>
      </c>
      <c r="D774" t="s">
        <v>59</v>
      </c>
      <c r="E774" s="2">
        <v>42310</v>
      </c>
      <c r="F774" t="str">
        <f>"9781118754351"</f>
        <v>9781118754351</v>
      </c>
      <c r="G774" t="str">
        <f>"9781118753538"</f>
        <v>9781118753538</v>
      </c>
      <c r="H774" t="s">
        <v>639</v>
      </c>
      <c r="K774" t="s">
        <v>44</v>
      </c>
      <c r="N774" t="s">
        <v>45</v>
      </c>
      <c r="O774" t="s">
        <v>46</v>
      </c>
      <c r="P774" t="s">
        <v>45</v>
      </c>
      <c r="Q774" t="s">
        <v>47</v>
      </c>
      <c r="R774" t="s">
        <v>44</v>
      </c>
      <c r="S774">
        <v>0</v>
      </c>
      <c r="W774" s="3">
        <v>2.4907407407407406E-2</v>
      </c>
      <c r="X774" t="s">
        <v>1871</v>
      </c>
      <c r="Y774">
        <v>77</v>
      </c>
      <c r="Z774">
        <v>2</v>
      </c>
      <c r="AA774" t="s">
        <v>1872</v>
      </c>
      <c r="AB774">
        <v>12</v>
      </c>
      <c r="AC774" t="s">
        <v>49</v>
      </c>
      <c r="AD774">
        <v>0</v>
      </c>
      <c r="AE774">
        <v>-1</v>
      </c>
      <c r="AF774" t="s">
        <v>63</v>
      </c>
      <c r="AG774" t="s">
        <v>264</v>
      </c>
    </row>
    <row r="775" spans="1:33" x14ac:dyDescent="0.35">
      <c r="A775" s="1">
        <v>44891.532638888886</v>
      </c>
      <c r="B775">
        <v>7103613</v>
      </c>
      <c r="C775" t="s">
        <v>1873</v>
      </c>
      <c r="D775" t="s">
        <v>59</v>
      </c>
      <c r="E775" s="2">
        <v>41303</v>
      </c>
      <c r="F775" t="str">
        <f>"9781118403327"</f>
        <v>9781118403327</v>
      </c>
      <c r="G775" t="str">
        <f>"9781118342367"</f>
        <v>9781118342367</v>
      </c>
      <c r="H775" t="s">
        <v>120</v>
      </c>
      <c r="I775" t="s">
        <v>1874</v>
      </c>
      <c r="K775" t="s">
        <v>44</v>
      </c>
      <c r="N775" t="s">
        <v>45</v>
      </c>
      <c r="O775" t="s">
        <v>46</v>
      </c>
      <c r="P775" t="s">
        <v>45</v>
      </c>
      <c r="Q775" t="s">
        <v>47</v>
      </c>
      <c r="R775" t="s">
        <v>44</v>
      </c>
      <c r="S775">
        <v>0</v>
      </c>
      <c r="W775" s="3">
        <v>1.9814814814814816E-2</v>
      </c>
      <c r="X775" t="s">
        <v>1875</v>
      </c>
      <c r="Y775">
        <v>139</v>
      </c>
      <c r="Z775">
        <v>6</v>
      </c>
      <c r="AA775" t="s">
        <v>1876</v>
      </c>
      <c r="AB775">
        <v>155</v>
      </c>
      <c r="AC775" t="s">
        <v>49</v>
      </c>
      <c r="AD775">
        <v>0</v>
      </c>
      <c r="AE775">
        <v>-1</v>
      </c>
      <c r="AF775" t="s">
        <v>63</v>
      </c>
      <c r="AG775" t="s">
        <v>264</v>
      </c>
    </row>
    <row r="776" spans="1:33" x14ac:dyDescent="0.35">
      <c r="A776" s="1">
        <v>44891.52847222222</v>
      </c>
      <c r="B776">
        <v>7103613</v>
      </c>
      <c r="C776" t="s">
        <v>1873</v>
      </c>
      <c r="D776" t="s">
        <v>59</v>
      </c>
      <c r="E776" s="2">
        <v>41303</v>
      </c>
      <c r="F776" t="str">
        <f>"9781118403327"</f>
        <v>9781118403327</v>
      </c>
      <c r="G776" t="str">
        <f>"9781118342367"</f>
        <v>9781118342367</v>
      </c>
      <c r="H776" t="s">
        <v>120</v>
      </c>
      <c r="I776" t="s">
        <v>1874</v>
      </c>
      <c r="K776" t="s">
        <v>44</v>
      </c>
      <c r="N776" t="s">
        <v>45</v>
      </c>
      <c r="O776" t="s">
        <v>46</v>
      </c>
      <c r="P776" t="s">
        <v>45</v>
      </c>
      <c r="Q776" t="s">
        <v>47</v>
      </c>
      <c r="R776" t="s">
        <v>44</v>
      </c>
      <c r="S776">
        <v>0</v>
      </c>
      <c r="W776" s="3">
        <v>1.0185185185185186E-3</v>
      </c>
      <c r="X776" t="s">
        <v>1877</v>
      </c>
      <c r="Y776">
        <v>16</v>
      </c>
      <c r="Z776">
        <v>0</v>
      </c>
      <c r="AA776" t="s">
        <v>49</v>
      </c>
      <c r="AB776">
        <v>0</v>
      </c>
      <c r="AC776" t="s">
        <v>49</v>
      </c>
      <c r="AD776">
        <v>0</v>
      </c>
      <c r="AE776">
        <v>-1</v>
      </c>
      <c r="AF776" t="s">
        <v>50</v>
      </c>
      <c r="AG776" t="s">
        <v>1878</v>
      </c>
    </row>
    <row r="777" spans="1:33" x14ac:dyDescent="0.35">
      <c r="A777" s="1">
        <v>44891.490277777775</v>
      </c>
      <c r="B777">
        <v>6852854</v>
      </c>
      <c r="C777" t="s">
        <v>943</v>
      </c>
      <c r="D777" t="s">
        <v>944</v>
      </c>
      <c r="E777" s="2">
        <v>44595</v>
      </c>
      <c r="F777" t="str">
        <f>"9780861543212"</f>
        <v>9780861543212</v>
      </c>
      <c r="G777" t="str">
        <f>""</f>
        <v/>
      </c>
      <c r="H777" t="s">
        <v>945</v>
      </c>
      <c r="I777">
        <v>681.11309000000006</v>
      </c>
      <c r="J777" t="s">
        <v>946</v>
      </c>
      <c r="K777" t="s">
        <v>55</v>
      </c>
      <c r="Q777" t="s">
        <v>47</v>
      </c>
      <c r="R777" t="s">
        <v>44</v>
      </c>
      <c r="S777">
        <v>0</v>
      </c>
      <c r="W777" s="3">
        <v>1.273148148148148E-4</v>
      </c>
      <c r="X777" t="s">
        <v>1222</v>
      </c>
      <c r="Y777">
        <v>2</v>
      </c>
      <c r="Z777">
        <v>0</v>
      </c>
      <c r="AA777" t="s">
        <v>49</v>
      </c>
      <c r="AB777">
        <v>0</v>
      </c>
      <c r="AC777" t="s">
        <v>49</v>
      </c>
      <c r="AD777">
        <v>0</v>
      </c>
      <c r="AE777">
        <v>-1</v>
      </c>
      <c r="AF777" t="s">
        <v>50</v>
      </c>
      <c r="AG777" t="s">
        <v>1190</v>
      </c>
    </row>
    <row r="778" spans="1:33" x14ac:dyDescent="0.35">
      <c r="A778" s="1">
        <v>44891.488888888889</v>
      </c>
      <c r="B778">
        <v>6852854</v>
      </c>
      <c r="C778" t="s">
        <v>943</v>
      </c>
      <c r="D778" t="s">
        <v>944</v>
      </c>
      <c r="E778" s="2">
        <v>44595</v>
      </c>
      <c r="F778" t="str">
        <f>"9780861543212"</f>
        <v>9780861543212</v>
      </c>
      <c r="G778" t="str">
        <f>""</f>
        <v/>
      </c>
      <c r="H778" t="s">
        <v>945</v>
      </c>
      <c r="I778">
        <v>681.11309000000006</v>
      </c>
      <c r="J778" t="s">
        <v>946</v>
      </c>
      <c r="K778" t="s">
        <v>55</v>
      </c>
      <c r="Q778" t="s">
        <v>47</v>
      </c>
      <c r="R778" t="s">
        <v>44</v>
      </c>
      <c r="S778">
        <v>0</v>
      </c>
      <c r="W778" s="3">
        <v>1.2037037037037038E-3</v>
      </c>
      <c r="X778" t="s">
        <v>1879</v>
      </c>
      <c r="Y778">
        <v>18</v>
      </c>
      <c r="Z778">
        <v>0</v>
      </c>
      <c r="AA778" t="s">
        <v>49</v>
      </c>
      <c r="AB778">
        <v>0</v>
      </c>
      <c r="AC778" t="s">
        <v>49</v>
      </c>
      <c r="AD778">
        <v>0</v>
      </c>
      <c r="AE778">
        <v>-1</v>
      </c>
      <c r="AF778" t="s">
        <v>50</v>
      </c>
      <c r="AG778" t="s">
        <v>388</v>
      </c>
    </row>
    <row r="779" spans="1:33" x14ac:dyDescent="0.35">
      <c r="A779" s="1">
        <v>44891.451388888891</v>
      </c>
      <c r="B779">
        <v>6940602</v>
      </c>
      <c r="C779" t="s">
        <v>1265</v>
      </c>
      <c r="D779" t="s">
        <v>65</v>
      </c>
      <c r="E779" s="2">
        <v>44669</v>
      </c>
      <c r="F779" t="str">
        <f>"9780323858762"</f>
        <v>9780323858762</v>
      </c>
      <c r="G779" t="str">
        <f>"9780323858731"</f>
        <v>9780323858731</v>
      </c>
      <c r="H779" t="s">
        <v>719</v>
      </c>
      <c r="I779">
        <v>615.6</v>
      </c>
      <c r="J779" t="s">
        <v>1266</v>
      </c>
      <c r="K779" t="s">
        <v>55</v>
      </c>
      <c r="Q779" t="s">
        <v>47</v>
      </c>
      <c r="R779" t="s">
        <v>44</v>
      </c>
      <c r="S779">
        <v>0</v>
      </c>
      <c r="W779" s="3">
        <v>1.7824074074074076E-2</v>
      </c>
      <c r="X779" t="s">
        <v>1880</v>
      </c>
      <c r="Y779">
        <v>47</v>
      </c>
      <c r="Z779">
        <v>0</v>
      </c>
      <c r="AA779" t="s">
        <v>49</v>
      </c>
      <c r="AB779">
        <v>0</v>
      </c>
      <c r="AC779" t="s">
        <v>49</v>
      </c>
      <c r="AD779">
        <v>0</v>
      </c>
      <c r="AE779">
        <v>-1</v>
      </c>
      <c r="AF779" t="s">
        <v>63</v>
      </c>
      <c r="AG779" t="s">
        <v>1160</v>
      </c>
    </row>
    <row r="780" spans="1:33" x14ac:dyDescent="0.35">
      <c r="A780" s="1">
        <v>44891.418749999997</v>
      </c>
      <c r="B780">
        <v>5945867</v>
      </c>
      <c r="C780" t="s">
        <v>991</v>
      </c>
      <c r="D780" t="s">
        <v>992</v>
      </c>
      <c r="E780" s="2">
        <v>43800</v>
      </c>
      <c r="F780" t="str">
        <f>"9781640122796"</f>
        <v>9781640122796</v>
      </c>
      <c r="G780" t="str">
        <f>"9781640122208"</f>
        <v>9781640122208</v>
      </c>
      <c r="H780" t="s">
        <v>667</v>
      </c>
      <c r="I780">
        <v>940.5412</v>
      </c>
      <c r="J780" t="s">
        <v>993</v>
      </c>
      <c r="K780" t="s">
        <v>44</v>
      </c>
      <c r="N780" t="s">
        <v>45</v>
      </c>
      <c r="O780" t="s">
        <v>46</v>
      </c>
      <c r="P780" t="s">
        <v>177</v>
      </c>
      <c r="Q780" t="s">
        <v>47</v>
      </c>
      <c r="R780" t="s">
        <v>55</v>
      </c>
      <c r="S780">
        <v>0</v>
      </c>
      <c r="W780" s="3">
        <v>2.7314814814814819E-3</v>
      </c>
      <c r="X780" t="s">
        <v>1881</v>
      </c>
      <c r="Y780">
        <v>22</v>
      </c>
      <c r="Z780">
        <v>0</v>
      </c>
      <c r="AA780" t="s">
        <v>49</v>
      </c>
      <c r="AB780">
        <v>0</v>
      </c>
      <c r="AC780" t="s">
        <v>49</v>
      </c>
      <c r="AD780">
        <v>0</v>
      </c>
      <c r="AE780">
        <v>-1</v>
      </c>
      <c r="AF780" t="s">
        <v>50</v>
      </c>
      <c r="AG780" t="s">
        <v>388</v>
      </c>
    </row>
    <row r="781" spans="1:33" x14ac:dyDescent="0.35">
      <c r="A781" s="1">
        <v>44891.413194444445</v>
      </c>
      <c r="B781">
        <v>859291</v>
      </c>
      <c r="C781" t="s">
        <v>1882</v>
      </c>
      <c r="D781" t="s">
        <v>1883</v>
      </c>
      <c r="E781" s="2">
        <v>37015</v>
      </c>
      <c r="F781" t="str">
        <f>"9781587293313"</f>
        <v>9781587293313</v>
      </c>
      <c r="G781" t="str">
        <f>"9780877457527"</f>
        <v>9780877457527</v>
      </c>
      <c r="H781" t="s">
        <v>667</v>
      </c>
      <c r="I781" t="s">
        <v>1884</v>
      </c>
      <c r="J781" t="s">
        <v>1885</v>
      </c>
      <c r="K781" t="s">
        <v>44</v>
      </c>
      <c r="N781" t="s">
        <v>45</v>
      </c>
      <c r="O781" t="s">
        <v>46</v>
      </c>
      <c r="P781" t="s">
        <v>45</v>
      </c>
      <c r="Q781" t="s">
        <v>47</v>
      </c>
      <c r="R781" t="s">
        <v>44</v>
      </c>
      <c r="S781">
        <v>0</v>
      </c>
      <c r="W781" s="3">
        <v>1.0879629629629629E-3</v>
      </c>
      <c r="X781" t="s">
        <v>1886</v>
      </c>
      <c r="Y781">
        <v>16</v>
      </c>
      <c r="Z781">
        <v>0</v>
      </c>
      <c r="AA781" t="s">
        <v>49</v>
      </c>
      <c r="AB781">
        <v>0</v>
      </c>
      <c r="AC781" t="s">
        <v>49</v>
      </c>
      <c r="AD781">
        <v>0</v>
      </c>
      <c r="AE781">
        <v>10354471</v>
      </c>
      <c r="AF781" t="s">
        <v>50</v>
      </c>
      <c r="AG781" t="s">
        <v>388</v>
      </c>
    </row>
    <row r="782" spans="1:33" x14ac:dyDescent="0.35">
      <c r="A782" s="1">
        <v>44891.410416666666</v>
      </c>
      <c r="B782">
        <v>3332047</v>
      </c>
      <c r="C782" t="s">
        <v>1887</v>
      </c>
      <c r="D782" t="s">
        <v>1439</v>
      </c>
      <c r="E782" s="2">
        <v>39951</v>
      </c>
      <c r="F782" t="str">
        <f>"9780773577121"</f>
        <v>9780773577121</v>
      </c>
      <c r="G782" t="str">
        <f>"9780773524965"</f>
        <v>9780773524965</v>
      </c>
      <c r="H782" t="s">
        <v>1069</v>
      </c>
      <c r="I782" t="s">
        <v>1888</v>
      </c>
      <c r="K782" t="s">
        <v>44</v>
      </c>
      <c r="N782" t="s">
        <v>45</v>
      </c>
      <c r="O782" t="s">
        <v>46</v>
      </c>
      <c r="P782" t="s">
        <v>45</v>
      </c>
      <c r="Q782" t="s">
        <v>47</v>
      </c>
      <c r="R782" t="s">
        <v>44</v>
      </c>
      <c r="S782">
        <v>0</v>
      </c>
      <c r="W782" s="3">
        <v>1.6319444444444445E-3</v>
      </c>
      <c r="X782" t="s">
        <v>1889</v>
      </c>
      <c r="Y782">
        <v>21</v>
      </c>
      <c r="Z782">
        <v>0</v>
      </c>
      <c r="AA782" t="s">
        <v>49</v>
      </c>
      <c r="AB782">
        <v>0</v>
      </c>
      <c r="AC782" t="s">
        <v>49</v>
      </c>
      <c r="AD782">
        <v>0</v>
      </c>
      <c r="AE782">
        <v>10558996</v>
      </c>
      <c r="AF782" t="s">
        <v>50</v>
      </c>
      <c r="AG782" t="s">
        <v>388</v>
      </c>
    </row>
    <row r="783" spans="1:33" x14ac:dyDescent="0.35">
      <c r="A783" s="1">
        <v>44891.337500000001</v>
      </c>
      <c r="B783">
        <v>6870905</v>
      </c>
      <c r="C783" t="s">
        <v>1890</v>
      </c>
      <c r="D783" t="s">
        <v>141</v>
      </c>
      <c r="E783" s="2">
        <v>44617</v>
      </c>
      <c r="F783" t="str">
        <f>"9781801816380"</f>
        <v>9781801816380</v>
      </c>
      <c r="G783" t="str">
        <f>"9781801819312"</f>
        <v>9781801819312</v>
      </c>
      <c r="H783" t="s">
        <v>138</v>
      </c>
      <c r="I783">
        <v>6.31</v>
      </c>
      <c r="K783" t="s">
        <v>55</v>
      </c>
      <c r="Q783" t="s">
        <v>47</v>
      </c>
      <c r="R783" t="s">
        <v>44</v>
      </c>
      <c r="S783">
        <v>0</v>
      </c>
      <c r="W783" s="3">
        <v>4.4675925925925933E-3</v>
      </c>
      <c r="X783" t="s">
        <v>1891</v>
      </c>
      <c r="Y783">
        <v>8</v>
      </c>
      <c r="Z783">
        <v>0</v>
      </c>
      <c r="AA783" t="s">
        <v>49</v>
      </c>
      <c r="AB783">
        <v>0</v>
      </c>
      <c r="AC783" t="s">
        <v>49</v>
      </c>
      <c r="AD783">
        <v>0</v>
      </c>
      <c r="AE783">
        <v>-1</v>
      </c>
      <c r="AF783" t="s">
        <v>50</v>
      </c>
      <c r="AG783" t="s">
        <v>388</v>
      </c>
    </row>
    <row r="784" spans="1:33" x14ac:dyDescent="0.35">
      <c r="A784" s="1">
        <v>44891.283333333333</v>
      </c>
      <c r="B784">
        <v>6507164</v>
      </c>
      <c r="C784" t="s">
        <v>1892</v>
      </c>
      <c r="D784" t="s">
        <v>769</v>
      </c>
      <c r="E784" s="2">
        <v>44284</v>
      </c>
      <c r="F784" t="str">
        <f>"9780429652189"</f>
        <v>9780429652189</v>
      </c>
      <c r="G784" t="str">
        <f>"9781584889397"</f>
        <v>9781584889397</v>
      </c>
      <c r="H784" t="s">
        <v>43</v>
      </c>
      <c r="I784">
        <v>519.20000000000005</v>
      </c>
      <c r="J784" t="s">
        <v>1893</v>
      </c>
      <c r="K784" t="s">
        <v>55</v>
      </c>
      <c r="Q784" t="s">
        <v>47</v>
      </c>
      <c r="R784" t="s">
        <v>44</v>
      </c>
      <c r="S784">
        <v>0</v>
      </c>
      <c r="W784" s="3">
        <v>1.0300925925925926E-3</v>
      </c>
      <c r="X784" t="s">
        <v>1894</v>
      </c>
      <c r="Y784">
        <v>32</v>
      </c>
      <c r="Z784">
        <v>0</v>
      </c>
      <c r="AA784" t="s">
        <v>49</v>
      </c>
      <c r="AB784">
        <v>0</v>
      </c>
      <c r="AC784" t="s">
        <v>49</v>
      </c>
      <c r="AD784">
        <v>0</v>
      </c>
      <c r="AE784">
        <v>-1</v>
      </c>
      <c r="AF784" t="s">
        <v>50</v>
      </c>
      <c r="AG784" t="s">
        <v>388</v>
      </c>
    </row>
    <row r="785" spans="1:33" x14ac:dyDescent="0.35">
      <c r="A785" s="1">
        <v>44891.123611111114</v>
      </c>
      <c r="B785">
        <v>835145</v>
      </c>
      <c r="C785" t="s">
        <v>1706</v>
      </c>
      <c r="D785" t="s">
        <v>59</v>
      </c>
      <c r="E785" s="2">
        <v>40952</v>
      </c>
      <c r="F785" t="str">
        <f>"9781119977001"</f>
        <v>9781119977001</v>
      </c>
      <c r="G785" t="str">
        <f>"9781119992851"</f>
        <v>9781119992851</v>
      </c>
      <c r="H785" t="s">
        <v>542</v>
      </c>
      <c r="I785">
        <v>621.31244000000004</v>
      </c>
      <c r="J785" t="s">
        <v>1707</v>
      </c>
      <c r="K785" t="s">
        <v>44</v>
      </c>
      <c r="N785" t="s">
        <v>45</v>
      </c>
      <c r="O785" t="s">
        <v>46</v>
      </c>
      <c r="P785" t="s">
        <v>45</v>
      </c>
      <c r="Q785" t="s">
        <v>47</v>
      </c>
      <c r="R785" t="s">
        <v>44</v>
      </c>
      <c r="S785">
        <v>0</v>
      </c>
      <c r="W785" s="3">
        <v>5.3113425925925932E-2</v>
      </c>
      <c r="X785" t="s">
        <v>1895</v>
      </c>
      <c r="Y785">
        <v>70</v>
      </c>
      <c r="Z785">
        <v>2</v>
      </c>
      <c r="AA785" t="s">
        <v>1896</v>
      </c>
      <c r="AB785">
        <v>80</v>
      </c>
      <c r="AC785" t="s">
        <v>49</v>
      </c>
      <c r="AD785">
        <v>0</v>
      </c>
      <c r="AE785">
        <v>10526535</v>
      </c>
      <c r="AF785" t="s">
        <v>50</v>
      </c>
      <c r="AG785" t="s">
        <v>523</v>
      </c>
    </row>
    <row r="786" spans="1:33" x14ac:dyDescent="0.35">
      <c r="A786" s="1">
        <v>44891.082638888889</v>
      </c>
      <c r="B786">
        <v>835145</v>
      </c>
      <c r="C786" t="s">
        <v>1706</v>
      </c>
      <c r="D786" t="s">
        <v>59</v>
      </c>
      <c r="E786" s="2">
        <v>40952</v>
      </c>
      <c r="F786" t="str">
        <f>"9781119977001"</f>
        <v>9781119977001</v>
      </c>
      <c r="G786" t="str">
        <f>"9781119992851"</f>
        <v>9781119992851</v>
      </c>
      <c r="H786" t="s">
        <v>542</v>
      </c>
      <c r="I786">
        <v>621.31244000000004</v>
      </c>
      <c r="J786" t="s">
        <v>1707</v>
      </c>
      <c r="K786" t="s">
        <v>44</v>
      </c>
      <c r="N786" t="s">
        <v>45</v>
      </c>
      <c r="O786" t="s">
        <v>46</v>
      </c>
      <c r="P786" t="s">
        <v>45</v>
      </c>
      <c r="Q786" t="s">
        <v>47</v>
      </c>
      <c r="R786" t="s">
        <v>44</v>
      </c>
      <c r="S786">
        <v>1</v>
      </c>
      <c r="W786" s="3">
        <v>2.3958333333333336E-3</v>
      </c>
      <c r="X786" t="s">
        <v>1897</v>
      </c>
      <c r="Y786">
        <v>9</v>
      </c>
      <c r="Z786">
        <v>1</v>
      </c>
      <c r="AA786" t="s">
        <v>1898</v>
      </c>
      <c r="AB786">
        <v>6</v>
      </c>
      <c r="AC786" t="s">
        <v>49</v>
      </c>
      <c r="AD786">
        <v>0</v>
      </c>
      <c r="AE786">
        <v>10526535</v>
      </c>
      <c r="AF786" t="s">
        <v>63</v>
      </c>
      <c r="AG786" t="s">
        <v>523</v>
      </c>
    </row>
    <row r="787" spans="1:33" x14ac:dyDescent="0.35">
      <c r="A787" s="1">
        <v>44891.079861111109</v>
      </c>
      <c r="B787">
        <v>835145</v>
      </c>
      <c r="C787" t="s">
        <v>1706</v>
      </c>
      <c r="D787" t="s">
        <v>59</v>
      </c>
      <c r="E787" s="2">
        <v>40952</v>
      </c>
      <c r="F787" t="str">
        <f>"9781119977001"</f>
        <v>9781119977001</v>
      </c>
      <c r="G787" t="str">
        <f>"9781119992851"</f>
        <v>9781119992851</v>
      </c>
      <c r="H787" t="s">
        <v>542</v>
      </c>
      <c r="I787">
        <v>621.31244000000004</v>
      </c>
      <c r="J787" t="s">
        <v>1707</v>
      </c>
      <c r="K787" t="s">
        <v>44</v>
      </c>
      <c r="N787" t="s">
        <v>45</v>
      </c>
      <c r="O787" t="s">
        <v>46</v>
      </c>
      <c r="P787" t="s">
        <v>45</v>
      </c>
      <c r="Q787" t="s">
        <v>47</v>
      </c>
      <c r="R787" t="s">
        <v>44</v>
      </c>
      <c r="S787">
        <v>0</v>
      </c>
      <c r="W787" s="3">
        <v>3.1134259259259257E-3</v>
      </c>
      <c r="X787" t="s">
        <v>1899</v>
      </c>
      <c r="Y787">
        <v>14</v>
      </c>
      <c r="Z787">
        <v>0</v>
      </c>
      <c r="AA787" t="s">
        <v>49</v>
      </c>
      <c r="AB787">
        <v>0</v>
      </c>
      <c r="AC787" t="s">
        <v>49</v>
      </c>
      <c r="AD787">
        <v>0</v>
      </c>
      <c r="AE787">
        <v>10526535</v>
      </c>
      <c r="AF787" t="s">
        <v>63</v>
      </c>
      <c r="AG787" t="s">
        <v>523</v>
      </c>
    </row>
    <row r="788" spans="1:33" x14ac:dyDescent="0.35">
      <c r="A788" s="1">
        <v>44890.961111111108</v>
      </c>
      <c r="B788">
        <v>536977</v>
      </c>
      <c r="C788" t="s">
        <v>1900</v>
      </c>
      <c r="D788" t="s">
        <v>507</v>
      </c>
      <c r="E788" s="2">
        <v>40043</v>
      </c>
      <c r="F788" t="str">
        <f>"9780748637942"</f>
        <v>9780748637942</v>
      </c>
      <c r="G788" t="str">
        <f>"9780748637928"</f>
        <v>9780748637928</v>
      </c>
      <c r="H788" t="s">
        <v>162</v>
      </c>
      <c r="I788">
        <v>297</v>
      </c>
      <c r="J788" t="s">
        <v>1901</v>
      </c>
      <c r="K788" t="s">
        <v>44</v>
      </c>
      <c r="N788" t="s">
        <v>45</v>
      </c>
      <c r="O788" t="s">
        <v>46</v>
      </c>
      <c r="P788" t="s">
        <v>45</v>
      </c>
      <c r="Q788" t="s">
        <v>47</v>
      </c>
      <c r="R788" t="s">
        <v>44</v>
      </c>
      <c r="S788">
        <v>0</v>
      </c>
      <c r="W788" s="3">
        <v>5.7870370370370366E-5</v>
      </c>
      <c r="X788" t="s">
        <v>196</v>
      </c>
      <c r="Y788">
        <v>2</v>
      </c>
      <c r="Z788">
        <v>0</v>
      </c>
      <c r="AA788" t="s">
        <v>49</v>
      </c>
      <c r="AB788">
        <v>0</v>
      </c>
      <c r="AC788" t="s">
        <v>49</v>
      </c>
      <c r="AD788">
        <v>0</v>
      </c>
      <c r="AE788">
        <v>10391780</v>
      </c>
      <c r="AF788" t="s">
        <v>50</v>
      </c>
      <c r="AG788" t="s">
        <v>1500</v>
      </c>
    </row>
    <row r="789" spans="1:33" x14ac:dyDescent="0.35">
      <c r="A789" s="1">
        <v>44890.918749999997</v>
      </c>
      <c r="B789">
        <v>536977</v>
      </c>
      <c r="C789" t="s">
        <v>1900</v>
      </c>
      <c r="D789" t="s">
        <v>507</v>
      </c>
      <c r="E789" s="2">
        <v>40043</v>
      </c>
      <c r="F789" t="str">
        <f>"9780748637942"</f>
        <v>9780748637942</v>
      </c>
      <c r="G789" t="str">
        <f>"9780748637928"</f>
        <v>9780748637928</v>
      </c>
      <c r="H789" t="s">
        <v>162</v>
      </c>
      <c r="I789">
        <v>297</v>
      </c>
      <c r="J789" t="s">
        <v>1901</v>
      </c>
      <c r="K789" t="s">
        <v>44</v>
      </c>
      <c r="N789" t="s">
        <v>45</v>
      </c>
      <c r="O789" t="s">
        <v>46</v>
      </c>
      <c r="P789" t="s">
        <v>45</v>
      </c>
      <c r="Q789" t="s">
        <v>47</v>
      </c>
      <c r="R789" t="s">
        <v>44</v>
      </c>
      <c r="S789">
        <v>0</v>
      </c>
      <c r="W789" s="3">
        <v>1.2164351851851852E-2</v>
      </c>
      <c r="X789" t="s">
        <v>1902</v>
      </c>
      <c r="Y789">
        <v>34</v>
      </c>
      <c r="Z789">
        <v>0</v>
      </c>
      <c r="AA789" t="s">
        <v>49</v>
      </c>
      <c r="AB789">
        <v>0</v>
      </c>
      <c r="AC789" t="s">
        <v>1903</v>
      </c>
      <c r="AD789">
        <v>4</v>
      </c>
      <c r="AE789">
        <v>10391780</v>
      </c>
      <c r="AF789" t="s">
        <v>50</v>
      </c>
      <c r="AG789" t="s">
        <v>1500</v>
      </c>
    </row>
    <row r="790" spans="1:33" x14ac:dyDescent="0.35">
      <c r="A790" s="1">
        <v>44890.909722222219</v>
      </c>
      <c r="B790">
        <v>566711</v>
      </c>
      <c r="C790" t="s">
        <v>1392</v>
      </c>
      <c r="D790" t="s">
        <v>76</v>
      </c>
      <c r="E790" s="2">
        <v>40350</v>
      </c>
      <c r="F790" t="str">
        <f>"9780080961200"</f>
        <v>9780080961200</v>
      </c>
      <c r="G790" t="str">
        <f>"9781856177146"</f>
        <v>9781856177146</v>
      </c>
      <c r="H790" t="s">
        <v>1393</v>
      </c>
      <c r="I790">
        <v>647.06799999999998</v>
      </c>
      <c r="J790" t="s">
        <v>1394</v>
      </c>
      <c r="K790" t="s">
        <v>44</v>
      </c>
      <c r="N790" t="s">
        <v>45</v>
      </c>
      <c r="O790" t="s">
        <v>46</v>
      </c>
      <c r="P790" t="s">
        <v>45</v>
      </c>
      <c r="Q790" t="s">
        <v>47</v>
      </c>
      <c r="R790" t="s">
        <v>44</v>
      </c>
      <c r="S790">
        <v>0</v>
      </c>
      <c r="W790" s="3">
        <v>3.2986111111111111E-3</v>
      </c>
      <c r="X790" t="s">
        <v>1904</v>
      </c>
      <c r="Y790">
        <v>28</v>
      </c>
      <c r="Z790">
        <v>0</v>
      </c>
      <c r="AA790" t="s">
        <v>49</v>
      </c>
      <c r="AB790">
        <v>0</v>
      </c>
      <c r="AC790" t="s">
        <v>49</v>
      </c>
      <c r="AD790">
        <v>0</v>
      </c>
      <c r="AE790">
        <v>10404413</v>
      </c>
      <c r="AF790" t="s">
        <v>50</v>
      </c>
      <c r="AG790" t="s">
        <v>388</v>
      </c>
    </row>
    <row r="791" spans="1:33" x14ac:dyDescent="0.35">
      <c r="A791" s="1">
        <v>44890.905555555553</v>
      </c>
      <c r="B791">
        <v>6005617</v>
      </c>
      <c r="C791" t="s">
        <v>1905</v>
      </c>
      <c r="D791" t="s">
        <v>443</v>
      </c>
      <c r="E791" s="2">
        <v>43872</v>
      </c>
      <c r="F791" t="str">
        <f>"9780520970601"</f>
        <v>9780520970601</v>
      </c>
      <c r="G791" t="str">
        <f>"9780520298521"</f>
        <v>9780520298521</v>
      </c>
      <c r="H791" t="s">
        <v>60</v>
      </c>
      <c r="I791">
        <v>658.45</v>
      </c>
      <c r="K791" t="s">
        <v>55</v>
      </c>
      <c r="Q791" t="s">
        <v>47</v>
      </c>
      <c r="R791" t="s">
        <v>44</v>
      </c>
      <c r="S791">
        <v>0</v>
      </c>
      <c r="W791" s="3">
        <v>3.37962962962963E-3</v>
      </c>
      <c r="X791" t="s">
        <v>1906</v>
      </c>
      <c r="Y791">
        <v>15</v>
      </c>
      <c r="Z791">
        <v>0</v>
      </c>
      <c r="AA791" t="s">
        <v>49</v>
      </c>
      <c r="AB791">
        <v>0</v>
      </c>
      <c r="AC791" t="s">
        <v>49</v>
      </c>
      <c r="AD791">
        <v>0</v>
      </c>
      <c r="AE791">
        <v>-1</v>
      </c>
      <c r="AF791" t="s">
        <v>50</v>
      </c>
      <c r="AG791" t="s">
        <v>388</v>
      </c>
    </row>
    <row r="792" spans="1:33" x14ac:dyDescent="0.35">
      <c r="A792" s="1">
        <v>44890.895833333336</v>
      </c>
      <c r="B792">
        <v>1899984</v>
      </c>
      <c r="C792" t="s">
        <v>1907</v>
      </c>
      <c r="D792" t="s">
        <v>76</v>
      </c>
      <c r="E792" s="2">
        <v>39722</v>
      </c>
      <c r="F792" t="str">
        <f>"9781317461241"</f>
        <v>9781317461241</v>
      </c>
      <c r="G792" t="str">
        <f>"9780765622389"</f>
        <v>9780765622389</v>
      </c>
      <c r="H792" t="s">
        <v>162</v>
      </c>
      <c r="I792" t="s">
        <v>1908</v>
      </c>
      <c r="J792" t="s">
        <v>1909</v>
      </c>
      <c r="K792" t="s">
        <v>44</v>
      </c>
      <c r="N792" t="s">
        <v>45</v>
      </c>
      <c r="O792" t="s">
        <v>46</v>
      </c>
      <c r="P792" t="s">
        <v>45</v>
      </c>
      <c r="Q792" t="s">
        <v>47</v>
      </c>
      <c r="R792" t="s">
        <v>44</v>
      </c>
      <c r="S792">
        <v>0</v>
      </c>
      <c r="W792" s="3">
        <v>1.1817129629629629E-2</v>
      </c>
      <c r="X792" t="s">
        <v>1910</v>
      </c>
      <c r="Y792">
        <v>25</v>
      </c>
      <c r="Z792">
        <v>0</v>
      </c>
      <c r="AA792" t="s">
        <v>49</v>
      </c>
      <c r="AB792">
        <v>0</v>
      </c>
      <c r="AC792" t="s">
        <v>49</v>
      </c>
      <c r="AD792">
        <v>0</v>
      </c>
      <c r="AE792">
        <v>10292183</v>
      </c>
      <c r="AF792" t="s">
        <v>50</v>
      </c>
      <c r="AG792" t="s">
        <v>1500</v>
      </c>
    </row>
    <row r="793" spans="1:33" x14ac:dyDescent="0.35">
      <c r="A793" s="1">
        <v>44890.888888888891</v>
      </c>
      <c r="B793">
        <v>5969438</v>
      </c>
      <c r="C793" t="s">
        <v>917</v>
      </c>
      <c r="D793" t="s">
        <v>105</v>
      </c>
      <c r="E793" s="2">
        <v>43780</v>
      </c>
      <c r="F793" t="str">
        <f>"9783030244408"</f>
        <v>9783030244408</v>
      </c>
      <c r="G793" t="str">
        <f>"9783030244392"</f>
        <v>9783030244392</v>
      </c>
      <c r="H793" t="s">
        <v>918</v>
      </c>
      <c r="I793">
        <v>669.94</v>
      </c>
      <c r="J793" t="s">
        <v>919</v>
      </c>
      <c r="K793" t="s">
        <v>55</v>
      </c>
      <c r="Q793" t="s">
        <v>47</v>
      </c>
      <c r="R793" t="s">
        <v>44</v>
      </c>
      <c r="S793">
        <v>0</v>
      </c>
      <c r="W793" s="3">
        <v>6.7129629629629625E-4</v>
      </c>
      <c r="X793" t="s">
        <v>1911</v>
      </c>
      <c r="Y793">
        <v>3</v>
      </c>
      <c r="Z793">
        <v>0</v>
      </c>
      <c r="AA793" t="s">
        <v>49</v>
      </c>
      <c r="AB793">
        <v>0</v>
      </c>
      <c r="AC793" t="s">
        <v>49</v>
      </c>
      <c r="AD793">
        <v>0</v>
      </c>
      <c r="AE793">
        <v>-1</v>
      </c>
      <c r="AF793" t="s">
        <v>50</v>
      </c>
      <c r="AG793" t="s">
        <v>1536</v>
      </c>
    </row>
    <row r="794" spans="1:33" x14ac:dyDescent="0.35">
      <c r="A794" s="1">
        <v>44890.818055555559</v>
      </c>
      <c r="B794">
        <v>1899984</v>
      </c>
      <c r="C794" t="s">
        <v>1907</v>
      </c>
      <c r="D794" t="s">
        <v>76</v>
      </c>
      <c r="E794" s="2">
        <v>39722</v>
      </c>
      <c r="F794" t="str">
        <f>"9781317461241"</f>
        <v>9781317461241</v>
      </c>
      <c r="G794" t="str">
        <f>"9780765622389"</f>
        <v>9780765622389</v>
      </c>
      <c r="H794" t="s">
        <v>162</v>
      </c>
      <c r="I794" t="s">
        <v>1908</v>
      </c>
      <c r="J794" t="s">
        <v>1909</v>
      </c>
      <c r="K794" t="s">
        <v>44</v>
      </c>
      <c r="N794" t="s">
        <v>45</v>
      </c>
      <c r="O794" t="s">
        <v>46</v>
      </c>
      <c r="P794" t="s">
        <v>45</v>
      </c>
      <c r="Q794" t="s">
        <v>47</v>
      </c>
      <c r="R794" t="s">
        <v>44</v>
      </c>
      <c r="S794">
        <v>0</v>
      </c>
      <c r="W794" s="3">
        <v>9.6064814814814808E-4</v>
      </c>
      <c r="X794" t="s">
        <v>1912</v>
      </c>
      <c r="Y794">
        <v>14</v>
      </c>
      <c r="Z794">
        <v>0</v>
      </c>
      <c r="AA794" t="s">
        <v>49</v>
      </c>
      <c r="AB794">
        <v>0</v>
      </c>
      <c r="AC794" t="s">
        <v>49</v>
      </c>
      <c r="AD794">
        <v>0</v>
      </c>
      <c r="AE794">
        <v>10292183</v>
      </c>
      <c r="AF794" t="s">
        <v>63</v>
      </c>
      <c r="AG794" t="s">
        <v>1500</v>
      </c>
    </row>
    <row r="795" spans="1:33" x14ac:dyDescent="0.35">
      <c r="A795" s="1">
        <v>44890.814583333333</v>
      </c>
      <c r="B795">
        <v>634969</v>
      </c>
      <c r="C795" t="s">
        <v>1913</v>
      </c>
      <c r="D795" t="s">
        <v>473</v>
      </c>
      <c r="E795" s="2">
        <v>40343</v>
      </c>
      <c r="F795" t="str">
        <f>"9789004185708"</f>
        <v>9789004185708</v>
      </c>
      <c r="G795" t="str">
        <f>"9789004184695"</f>
        <v>9789004184695</v>
      </c>
      <c r="H795" t="s">
        <v>1914</v>
      </c>
      <c r="I795">
        <v>297.81409538000003</v>
      </c>
      <c r="J795" t="s">
        <v>1915</v>
      </c>
      <c r="K795" t="s">
        <v>44</v>
      </c>
      <c r="N795" t="s">
        <v>45</v>
      </c>
      <c r="O795" t="s">
        <v>46</v>
      </c>
      <c r="P795" t="s">
        <v>45</v>
      </c>
      <c r="Q795" t="s">
        <v>47</v>
      </c>
      <c r="R795" t="s">
        <v>44</v>
      </c>
      <c r="S795">
        <v>0</v>
      </c>
      <c r="W795" s="3">
        <v>1.1111111111111111E-3</v>
      </c>
      <c r="X795" t="s">
        <v>1916</v>
      </c>
      <c r="Y795">
        <v>9</v>
      </c>
      <c r="Z795">
        <v>0</v>
      </c>
      <c r="AA795" t="s">
        <v>49</v>
      </c>
      <c r="AB795">
        <v>0</v>
      </c>
      <c r="AC795" t="s">
        <v>49</v>
      </c>
      <c r="AD795">
        <v>0</v>
      </c>
      <c r="AE795">
        <v>10439227</v>
      </c>
      <c r="AF795" t="s">
        <v>63</v>
      </c>
      <c r="AG795" t="s">
        <v>1500</v>
      </c>
    </row>
    <row r="796" spans="1:33" x14ac:dyDescent="0.35">
      <c r="A796" s="1">
        <v>44890.768750000003</v>
      </c>
      <c r="B796">
        <v>667623</v>
      </c>
      <c r="C796" t="s">
        <v>1806</v>
      </c>
      <c r="D796" t="s">
        <v>502</v>
      </c>
      <c r="E796" s="2">
        <v>40543</v>
      </c>
      <c r="F796" t="str">
        <f>"9781139007962"</f>
        <v>9781139007962</v>
      </c>
      <c r="G796" t="str">
        <f>"9780521840408"</f>
        <v>9780521840408</v>
      </c>
      <c r="H796" t="s">
        <v>244</v>
      </c>
      <c r="I796" t="s">
        <v>1807</v>
      </c>
      <c r="J796" t="s">
        <v>1808</v>
      </c>
      <c r="K796" t="s">
        <v>44</v>
      </c>
      <c r="N796" t="s">
        <v>45</v>
      </c>
      <c r="O796" t="s">
        <v>46</v>
      </c>
      <c r="P796" t="s">
        <v>45</v>
      </c>
      <c r="Q796" t="s">
        <v>47</v>
      </c>
      <c r="R796" t="s">
        <v>44</v>
      </c>
      <c r="S796">
        <v>0</v>
      </c>
      <c r="W796" s="3">
        <v>0</v>
      </c>
      <c r="X796" t="s">
        <v>49</v>
      </c>
      <c r="Y796">
        <v>0</v>
      </c>
      <c r="Z796">
        <v>1</v>
      </c>
      <c r="AA796" t="s">
        <v>1809</v>
      </c>
      <c r="AB796">
        <v>48</v>
      </c>
      <c r="AC796" t="s">
        <v>49</v>
      </c>
      <c r="AD796">
        <v>0</v>
      </c>
      <c r="AE796">
        <v>10452886</v>
      </c>
      <c r="AF796" t="s">
        <v>50</v>
      </c>
      <c r="AG796" t="s">
        <v>1190</v>
      </c>
    </row>
    <row r="797" spans="1:33" x14ac:dyDescent="0.35">
      <c r="A797" s="1">
        <v>44890.731944444444</v>
      </c>
      <c r="B797">
        <v>424087</v>
      </c>
      <c r="C797" t="s">
        <v>1917</v>
      </c>
      <c r="D797" t="s">
        <v>1918</v>
      </c>
      <c r="E797" s="2">
        <v>39814</v>
      </c>
      <c r="F797" t="str">
        <f>"9788122426519"</f>
        <v>9788122426519</v>
      </c>
      <c r="G797" t="str">
        <f>"9788122424621"</f>
        <v>9788122424621</v>
      </c>
      <c r="H797" t="s">
        <v>261</v>
      </c>
      <c r="I797">
        <v>628</v>
      </c>
      <c r="J797" t="s">
        <v>1919</v>
      </c>
      <c r="K797" t="s">
        <v>44</v>
      </c>
      <c r="N797" t="s">
        <v>45</v>
      </c>
      <c r="O797" t="s">
        <v>46</v>
      </c>
      <c r="P797" t="s">
        <v>45</v>
      </c>
      <c r="Q797" t="s">
        <v>47</v>
      </c>
      <c r="R797" t="s">
        <v>44</v>
      </c>
      <c r="S797">
        <v>0</v>
      </c>
      <c r="W797" s="3">
        <v>1.6203703703703703E-4</v>
      </c>
      <c r="X797" t="s">
        <v>1920</v>
      </c>
      <c r="Y797">
        <v>3</v>
      </c>
      <c r="Z797">
        <v>0</v>
      </c>
      <c r="AA797" t="s">
        <v>49</v>
      </c>
      <c r="AB797">
        <v>0</v>
      </c>
      <c r="AC797" t="s">
        <v>49</v>
      </c>
      <c r="AD797">
        <v>0</v>
      </c>
      <c r="AE797">
        <v>10318651</v>
      </c>
      <c r="AF797" t="s">
        <v>50</v>
      </c>
      <c r="AG797" t="s">
        <v>388</v>
      </c>
    </row>
    <row r="798" spans="1:33" x14ac:dyDescent="0.35">
      <c r="A798" s="1">
        <v>44890.681250000001</v>
      </c>
      <c r="B798">
        <v>6425112</v>
      </c>
      <c r="C798" t="s">
        <v>1921</v>
      </c>
      <c r="D798" t="s">
        <v>1922</v>
      </c>
      <c r="E798" s="2">
        <v>44238</v>
      </c>
      <c r="F798" t="str">
        <f>"9781786736185"</f>
        <v>9781786736185</v>
      </c>
      <c r="G798" t="str">
        <f>"9781788317320"</f>
        <v>9781788317320</v>
      </c>
      <c r="H798" t="s">
        <v>353</v>
      </c>
      <c r="I798">
        <v>956.70443</v>
      </c>
      <c r="J798" t="s">
        <v>1923</v>
      </c>
      <c r="K798" t="s">
        <v>55</v>
      </c>
      <c r="Q798" t="s">
        <v>47</v>
      </c>
      <c r="R798" t="s">
        <v>44</v>
      </c>
      <c r="S798">
        <v>0</v>
      </c>
      <c r="W798" s="3">
        <v>8.449074074074075E-4</v>
      </c>
      <c r="X798" t="s">
        <v>1924</v>
      </c>
      <c r="Y798">
        <v>5</v>
      </c>
      <c r="Z798">
        <v>0</v>
      </c>
      <c r="AA798" t="s">
        <v>49</v>
      </c>
      <c r="AB798">
        <v>0</v>
      </c>
      <c r="AC798" t="s">
        <v>49</v>
      </c>
      <c r="AD798">
        <v>0</v>
      </c>
      <c r="AE798">
        <v>-1</v>
      </c>
      <c r="AF798" t="s">
        <v>50</v>
      </c>
      <c r="AG798" t="s">
        <v>388</v>
      </c>
    </row>
    <row r="799" spans="1:33" x14ac:dyDescent="0.35">
      <c r="A799" s="1">
        <v>44890.675000000003</v>
      </c>
      <c r="B799">
        <v>4708253</v>
      </c>
      <c r="C799" t="s">
        <v>1925</v>
      </c>
      <c r="D799" t="s">
        <v>1926</v>
      </c>
      <c r="E799" s="2">
        <v>41039</v>
      </c>
      <c r="F799" t="str">
        <f>"9781780322261"</f>
        <v>9781780322261</v>
      </c>
      <c r="G799" t="str">
        <f>"9781780322247"</f>
        <v>9781780322247</v>
      </c>
      <c r="H799" t="s">
        <v>348</v>
      </c>
      <c r="I799">
        <v>909.09749270831105</v>
      </c>
      <c r="J799" t="s">
        <v>1927</v>
      </c>
      <c r="K799" t="s">
        <v>55</v>
      </c>
      <c r="P799" t="s">
        <v>97</v>
      </c>
      <c r="Q799" t="s">
        <v>47</v>
      </c>
      <c r="R799" t="s">
        <v>44</v>
      </c>
      <c r="S799">
        <v>0</v>
      </c>
      <c r="W799" s="3">
        <v>4.6296296296296294E-5</v>
      </c>
      <c r="X799" t="s">
        <v>121</v>
      </c>
      <c r="Y799">
        <v>1</v>
      </c>
      <c r="Z799">
        <v>0</v>
      </c>
      <c r="AA799" t="s">
        <v>49</v>
      </c>
      <c r="AB799">
        <v>0</v>
      </c>
      <c r="AC799" t="s">
        <v>49</v>
      </c>
      <c r="AD799">
        <v>0</v>
      </c>
      <c r="AE799">
        <v>11275692</v>
      </c>
      <c r="AF799" t="s">
        <v>50</v>
      </c>
      <c r="AG799" t="s">
        <v>388</v>
      </c>
    </row>
    <row r="800" spans="1:33" x14ac:dyDescent="0.35">
      <c r="A800" s="1">
        <v>44890.665972222225</v>
      </c>
      <c r="B800">
        <v>661647</v>
      </c>
      <c r="C800" t="s">
        <v>1928</v>
      </c>
      <c r="D800" t="s">
        <v>59</v>
      </c>
      <c r="E800" s="2">
        <v>41995</v>
      </c>
      <c r="F800" t="str">
        <f>"9780470602621"</f>
        <v>9780470602621</v>
      </c>
      <c r="G800" t="str">
        <f>"9780470167786"</f>
        <v>9780470167786</v>
      </c>
      <c r="H800" t="s">
        <v>1929</v>
      </c>
      <c r="I800" t="s">
        <v>1930</v>
      </c>
      <c r="J800" t="s">
        <v>1931</v>
      </c>
      <c r="K800" t="s">
        <v>44</v>
      </c>
      <c r="N800" t="s">
        <v>45</v>
      </c>
      <c r="O800" t="s">
        <v>46</v>
      </c>
      <c r="P800" t="s">
        <v>45</v>
      </c>
      <c r="Q800" t="s">
        <v>47</v>
      </c>
      <c r="R800" t="s">
        <v>44</v>
      </c>
      <c r="S800">
        <v>0</v>
      </c>
      <c r="W800" s="3">
        <v>1.2037037037037038E-3</v>
      </c>
      <c r="X800" t="s">
        <v>1932</v>
      </c>
      <c r="Y800">
        <v>13</v>
      </c>
      <c r="Z800">
        <v>0</v>
      </c>
      <c r="AA800" t="s">
        <v>49</v>
      </c>
      <c r="AB800">
        <v>0</v>
      </c>
      <c r="AC800" t="s">
        <v>49</v>
      </c>
      <c r="AD800">
        <v>0</v>
      </c>
      <c r="AE800">
        <v>10510261</v>
      </c>
      <c r="AF800" t="s">
        <v>50</v>
      </c>
      <c r="AG800" t="s">
        <v>1500</v>
      </c>
    </row>
    <row r="801" spans="1:33" x14ac:dyDescent="0.35">
      <c r="A801" s="1">
        <v>44890.622916666667</v>
      </c>
      <c r="B801">
        <v>4310792</v>
      </c>
      <c r="C801" t="s">
        <v>1933</v>
      </c>
      <c r="D801" t="s">
        <v>125</v>
      </c>
      <c r="E801" s="2">
        <v>42419</v>
      </c>
      <c r="F801" t="str">
        <f>"9780199349739"</f>
        <v>9780199349739</v>
      </c>
      <c r="G801" t="str">
        <f>"9780199349722"</f>
        <v>9780199349722</v>
      </c>
      <c r="H801" t="s">
        <v>151</v>
      </c>
      <c r="I801">
        <v>616.85882000000004</v>
      </c>
      <c r="J801" t="s">
        <v>1934</v>
      </c>
      <c r="K801" t="s">
        <v>44</v>
      </c>
      <c r="N801" t="s">
        <v>45</v>
      </c>
      <c r="O801" t="s">
        <v>46</v>
      </c>
      <c r="P801" t="s">
        <v>45</v>
      </c>
      <c r="Q801" t="s">
        <v>47</v>
      </c>
      <c r="R801" t="s">
        <v>44</v>
      </c>
      <c r="S801">
        <v>0</v>
      </c>
      <c r="W801" s="3">
        <v>2.0462962962962964E-2</v>
      </c>
      <c r="X801" t="s">
        <v>1935</v>
      </c>
      <c r="Y801">
        <v>9</v>
      </c>
      <c r="Z801">
        <v>0</v>
      </c>
      <c r="AA801" t="s">
        <v>49</v>
      </c>
      <c r="AB801">
        <v>0</v>
      </c>
      <c r="AC801" t="s">
        <v>49</v>
      </c>
      <c r="AD801">
        <v>0</v>
      </c>
      <c r="AE801">
        <v>11138630</v>
      </c>
      <c r="AF801" t="s">
        <v>50</v>
      </c>
      <c r="AG801" t="s">
        <v>528</v>
      </c>
    </row>
    <row r="802" spans="1:33" x14ac:dyDescent="0.35">
      <c r="A802" s="1">
        <v>44890.609027777777</v>
      </c>
      <c r="B802">
        <v>6420775</v>
      </c>
      <c r="C802" t="s">
        <v>236</v>
      </c>
      <c r="D802" t="s">
        <v>213</v>
      </c>
      <c r="E802" s="2">
        <v>44147</v>
      </c>
      <c r="F802" t="str">
        <f>"9780128243619"</f>
        <v>9780128243619</v>
      </c>
      <c r="G802" t="str">
        <f>"9780128243602"</f>
        <v>9780128243602</v>
      </c>
      <c r="H802" t="s">
        <v>237</v>
      </c>
      <c r="I802">
        <v>551.70100000000002</v>
      </c>
      <c r="J802" t="s">
        <v>238</v>
      </c>
      <c r="K802" t="s">
        <v>55</v>
      </c>
      <c r="N802" t="s">
        <v>79</v>
      </c>
      <c r="P802" t="s">
        <v>80</v>
      </c>
      <c r="Q802" t="s">
        <v>47</v>
      </c>
      <c r="R802" t="s">
        <v>44</v>
      </c>
      <c r="S802">
        <v>0</v>
      </c>
      <c r="W802" s="3">
        <v>1.3657407407407409E-3</v>
      </c>
      <c r="X802" t="s">
        <v>1936</v>
      </c>
      <c r="Y802">
        <v>18</v>
      </c>
      <c r="Z802">
        <v>0</v>
      </c>
      <c r="AA802" t="s">
        <v>49</v>
      </c>
      <c r="AB802">
        <v>0</v>
      </c>
      <c r="AC802" t="s">
        <v>49</v>
      </c>
      <c r="AD802">
        <v>0</v>
      </c>
      <c r="AE802">
        <v>-1</v>
      </c>
      <c r="AF802" t="s">
        <v>50</v>
      </c>
      <c r="AG802" t="s">
        <v>388</v>
      </c>
    </row>
    <row r="803" spans="1:33" x14ac:dyDescent="0.35">
      <c r="A803" s="1">
        <v>44890.578472222223</v>
      </c>
      <c r="B803">
        <v>661647</v>
      </c>
      <c r="C803" t="s">
        <v>1928</v>
      </c>
      <c r="D803" t="s">
        <v>59</v>
      </c>
      <c r="E803" s="2">
        <v>41995</v>
      </c>
      <c r="F803" t="str">
        <f>"9780470602621"</f>
        <v>9780470602621</v>
      </c>
      <c r="G803" t="str">
        <f>"9780470167786"</f>
        <v>9780470167786</v>
      </c>
      <c r="H803" t="s">
        <v>1929</v>
      </c>
      <c r="I803" t="s">
        <v>1930</v>
      </c>
      <c r="J803" t="s">
        <v>1931</v>
      </c>
      <c r="K803" t="s">
        <v>44</v>
      </c>
      <c r="N803" t="s">
        <v>45</v>
      </c>
      <c r="O803" t="s">
        <v>46</v>
      </c>
      <c r="P803" t="s">
        <v>45</v>
      </c>
      <c r="Q803" t="s">
        <v>47</v>
      </c>
      <c r="R803" t="s">
        <v>44</v>
      </c>
      <c r="S803">
        <v>0</v>
      </c>
      <c r="W803" s="3">
        <v>1.2569444444444446E-2</v>
      </c>
      <c r="X803" t="s">
        <v>1937</v>
      </c>
      <c r="Y803">
        <v>4</v>
      </c>
      <c r="Z803">
        <v>0</v>
      </c>
      <c r="AA803" t="s">
        <v>49</v>
      </c>
      <c r="AB803">
        <v>0</v>
      </c>
      <c r="AC803" t="s">
        <v>49</v>
      </c>
      <c r="AD803">
        <v>0</v>
      </c>
      <c r="AE803">
        <v>10510261</v>
      </c>
      <c r="AF803" t="s">
        <v>50</v>
      </c>
      <c r="AG803" t="s">
        <v>1500</v>
      </c>
    </row>
    <row r="804" spans="1:33" x14ac:dyDescent="0.35">
      <c r="A804" s="1">
        <v>44890.571527777778</v>
      </c>
      <c r="B804">
        <v>1751071</v>
      </c>
      <c r="C804" t="s">
        <v>1938</v>
      </c>
      <c r="D804" t="s">
        <v>497</v>
      </c>
      <c r="E804" s="2">
        <v>40983</v>
      </c>
      <c r="F804" t="str">
        <f>"9781441189509"</f>
        <v>9781441189509</v>
      </c>
      <c r="G804" t="str">
        <f>"9781441119872"</f>
        <v>9781441119872</v>
      </c>
      <c r="H804" t="s">
        <v>1939</v>
      </c>
      <c r="I804" t="s">
        <v>1940</v>
      </c>
      <c r="J804" t="s">
        <v>1941</v>
      </c>
      <c r="K804" t="s">
        <v>44</v>
      </c>
      <c r="N804" t="s">
        <v>45</v>
      </c>
      <c r="O804" t="s">
        <v>46</v>
      </c>
      <c r="P804" t="s">
        <v>45</v>
      </c>
      <c r="Q804" t="s">
        <v>47</v>
      </c>
      <c r="R804" t="s">
        <v>44</v>
      </c>
      <c r="S804">
        <v>0</v>
      </c>
      <c r="W804" s="3">
        <v>3.1331018518518515E-2</v>
      </c>
      <c r="X804" t="s">
        <v>1942</v>
      </c>
      <c r="Y804">
        <v>20</v>
      </c>
      <c r="Z804">
        <v>0</v>
      </c>
      <c r="AA804" t="s">
        <v>49</v>
      </c>
      <c r="AB804">
        <v>0</v>
      </c>
      <c r="AC804" t="s">
        <v>49</v>
      </c>
      <c r="AD804">
        <v>0</v>
      </c>
      <c r="AE804">
        <v>10867528</v>
      </c>
      <c r="AF804" t="s">
        <v>50</v>
      </c>
      <c r="AG804" t="s">
        <v>388</v>
      </c>
    </row>
    <row r="805" spans="1:33" x14ac:dyDescent="0.35">
      <c r="A805" s="1">
        <v>44890.560416666667</v>
      </c>
      <c r="B805">
        <v>468763</v>
      </c>
      <c r="C805" t="s">
        <v>1457</v>
      </c>
      <c r="D805" t="s">
        <v>1458</v>
      </c>
      <c r="E805" s="2">
        <v>40185</v>
      </c>
      <c r="F805" t="str">
        <f>"9780470561249"</f>
        <v>9780470561249</v>
      </c>
      <c r="G805" t="str">
        <f>"9780471719755"</f>
        <v>9780471719755</v>
      </c>
      <c r="H805" t="s">
        <v>116</v>
      </c>
      <c r="I805" t="s">
        <v>1459</v>
      </c>
      <c r="J805" t="s">
        <v>1460</v>
      </c>
      <c r="K805" t="s">
        <v>44</v>
      </c>
      <c r="N805" t="s">
        <v>45</v>
      </c>
      <c r="O805" t="s">
        <v>46</v>
      </c>
      <c r="P805" t="s">
        <v>45</v>
      </c>
      <c r="Q805" t="s">
        <v>47</v>
      </c>
      <c r="R805" t="s">
        <v>44</v>
      </c>
      <c r="S805">
        <v>0</v>
      </c>
      <c r="W805" s="3">
        <v>0</v>
      </c>
      <c r="X805" t="s">
        <v>49</v>
      </c>
      <c r="Y805">
        <v>0</v>
      </c>
      <c r="Z805">
        <v>1</v>
      </c>
      <c r="AA805" t="s">
        <v>1943</v>
      </c>
      <c r="AB805">
        <v>37</v>
      </c>
      <c r="AC805" t="s">
        <v>49</v>
      </c>
      <c r="AD805">
        <v>0</v>
      </c>
      <c r="AE805">
        <v>10355237</v>
      </c>
      <c r="AF805" t="s">
        <v>50</v>
      </c>
      <c r="AG805" t="s">
        <v>670</v>
      </c>
    </row>
    <row r="806" spans="1:33" x14ac:dyDescent="0.35">
      <c r="A806" s="1">
        <v>44890.456250000003</v>
      </c>
      <c r="B806">
        <v>5761267</v>
      </c>
      <c r="C806" t="s">
        <v>1944</v>
      </c>
      <c r="D806" t="s">
        <v>59</v>
      </c>
      <c r="E806" s="2">
        <v>43676</v>
      </c>
      <c r="F806" t="str">
        <f>"9781119618331"</f>
        <v>9781119618331</v>
      </c>
      <c r="G806" t="str">
        <f>"9781786304452"</f>
        <v>9781786304452</v>
      </c>
      <c r="H806" t="s">
        <v>1945</v>
      </c>
      <c r="I806">
        <v>624.17102853999995</v>
      </c>
      <c r="J806" t="s">
        <v>1946</v>
      </c>
      <c r="K806" t="s">
        <v>55</v>
      </c>
      <c r="N806" t="s">
        <v>45</v>
      </c>
      <c r="O806" t="s">
        <v>46</v>
      </c>
      <c r="P806" t="s">
        <v>45</v>
      </c>
      <c r="Q806" t="s">
        <v>47</v>
      </c>
      <c r="R806" t="s">
        <v>44</v>
      </c>
      <c r="S806">
        <v>0</v>
      </c>
      <c r="W806" s="3">
        <v>3.8773148148148143E-3</v>
      </c>
      <c r="X806" t="s">
        <v>1947</v>
      </c>
      <c r="Y806">
        <v>48</v>
      </c>
      <c r="Z806">
        <v>0</v>
      </c>
      <c r="AA806" t="s">
        <v>49</v>
      </c>
      <c r="AB806">
        <v>0</v>
      </c>
      <c r="AC806" t="s">
        <v>49</v>
      </c>
      <c r="AD806">
        <v>0</v>
      </c>
      <c r="AE806">
        <v>-1</v>
      </c>
      <c r="AF806" t="s">
        <v>50</v>
      </c>
      <c r="AG806" t="s">
        <v>388</v>
      </c>
    </row>
    <row r="807" spans="1:33" x14ac:dyDescent="0.35">
      <c r="A807" s="1">
        <v>44890.420138888891</v>
      </c>
      <c r="B807">
        <v>5704059</v>
      </c>
      <c r="C807" t="s">
        <v>1948</v>
      </c>
      <c r="D807" t="s">
        <v>76</v>
      </c>
      <c r="E807" s="2">
        <v>43501</v>
      </c>
      <c r="F807" t="str">
        <f>"9781351046183"</f>
        <v>9781351046183</v>
      </c>
      <c r="G807" t="str">
        <f>"9781138486188"</f>
        <v>9781138486188</v>
      </c>
      <c r="H807" t="s">
        <v>1046</v>
      </c>
      <c r="I807">
        <v>363.32499999999999</v>
      </c>
      <c r="J807" t="s">
        <v>1949</v>
      </c>
      <c r="K807" t="s">
        <v>55</v>
      </c>
      <c r="Q807" t="s">
        <v>47</v>
      </c>
      <c r="R807" t="s">
        <v>44</v>
      </c>
      <c r="S807">
        <v>0</v>
      </c>
      <c r="W807" s="3">
        <v>5.3009259259259251E-3</v>
      </c>
      <c r="X807" t="s">
        <v>205</v>
      </c>
      <c r="Y807">
        <v>2</v>
      </c>
      <c r="Z807">
        <v>0</v>
      </c>
      <c r="AA807" t="s">
        <v>49</v>
      </c>
      <c r="AB807">
        <v>0</v>
      </c>
      <c r="AC807" t="s">
        <v>49</v>
      </c>
      <c r="AD807">
        <v>0</v>
      </c>
      <c r="AE807">
        <v>-1</v>
      </c>
      <c r="AF807" t="s">
        <v>50</v>
      </c>
      <c r="AG807" t="s">
        <v>388</v>
      </c>
    </row>
    <row r="808" spans="1:33" x14ac:dyDescent="0.35">
      <c r="A808" s="1">
        <v>44890.397222222222</v>
      </c>
      <c r="B808">
        <v>6634782</v>
      </c>
      <c r="C808" t="s">
        <v>1950</v>
      </c>
      <c r="D808" t="s">
        <v>76</v>
      </c>
      <c r="E808" s="2">
        <v>41553</v>
      </c>
      <c r="F808" t="str">
        <f>"9781000466850"</f>
        <v>9781000466850</v>
      </c>
      <c r="G808" t="str">
        <f>"9781138422810"</f>
        <v>9781138422810</v>
      </c>
      <c r="H808" t="s">
        <v>77</v>
      </c>
      <c r="I808">
        <v>610.76</v>
      </c>
      <c r="J808" t="s">
        <v>1951</v>
      </c>
      <c r="K808" t="s">
        <v>55</v>
      </c>
      <c r="N808" t="s">
        <v>79</v>
      </c>
      <c r="P808" t="s">
        <v>80</v>
      </c>
      <c r="Q808" t="s">
        <v>47</v>
      </c>
      <c r="R808" t="s">
        <v>44</v>
      </c>
      <c r="S808">
        <v>0</v>
      </c>
      <c r="W808" s="3">
        <v>0</v>
      </c>
      <c r="X808" t="s">
        <v>49</v>
      </c>
      <c r="Y808">
        <v>0</v>
      </c>
      <c r="Z808">
        <v>0</v>
      </c>
      <c r="AA808" t="s">
        <v>49</v>
      </c>
      <c r="AB808">
        <v>0</v>
      </c>
      <c r="AC808" t="s">
        <v>49</v>
      </c>
      <c r="AD808">
        <v>0</v>
      </c>
      <c r="AE808">
        <v>-1</v>
      </c>
      <c r="AF808" t="s">
        <v>50</v>
      </c>
      <c r="AG808" t="s">
        <v>388</v>
      </c>
    </row>
    <row r="809" spans="1:33" x14ac:dyDescent="0.35">
      <c r="A809" s="1">
        <v>44890.313888888886</v>
      </c>
      <c r="B809">
        <v>4468536</v>
      </c>
      <c r="C809" t="s">
        <v>1952</v>
      </c>
      <c r="D809" t="s">
        <v>76</v>
      </c>
      <c r="E809" s="2">
        <v>41584</v>
      </c>
      <c r="F809" t="str">
        <f>"9781317044895"</f>
        <v>9781317044895</v>
      </c>
      <c r="G809" t="str">
        <f>"9781409468752"</f>
        <v>9781409468752</v>
      </c>
      <c r="H809" t="s">
        <v>342</v>
      </c>
      <c r="I809">
        <v>909.09749270831196</v>
      </c>
      <c r="J809" t="s">
        <v>1953</v>
      </c>
      <c r="K809" t="s">
        <v>44</v>
      </c>
      <c r="N809" t="s">
        <v>45</v>
      </c>
      <c r="O809" t="s">
        <v>46</v>
      </c>
      <c r="P809" t="s">
        <v>45</v>
      </c>
      <c r="Q809" t="s">
        <v>47</v>
      </c>
      <c r="R809" t="s">
        <v>44</v>
      </c>
      <c r="S809">
        <v>1</v>
      </c>
      <c r="W809" s="3">
        <v>3.1365740740740742E-3</v>
      </c>
      <c r="X809" t="s">
        <v>1954</v>
      </c>
      <c r="Y809">
        <v>11</v>
      </c>
      <c r="Z809">
        <v>0</v>
      </c>
      <c r="AA809" t="s">
        <v>49</v>
      </c>
      <c r="AB809">
        <v>0</v>
      </c>
      <c r="AC809" t="s">
        <v>49</v>
      </c>
      <c r="AD809">
        <v>0</v>
      </c>
      <c r="AE809">
        <v>11488589</v>
      </c>
      <c r="AF809" t="s">
        <v>63</v>
      </c>
      <c r="AG809" t="s">
        <v>388</v>
      </c>
    </row>
    <row r="810" spans="1:33" x14ac:dyDescent="0.35">
      <c r="A810" s="1">
        <v>44890.30972222222</v>
      </c>
      <c r="B810">
        <v>4468536</v>
      </c>
      <c r="C810" t="s">
        <v>1952</v>
      </c>
      <c r="D810" t="s">
        <v>76</v>
      </c>
      <c r="E810" s="2">
        <v>41584</v>
      </c>
      <c r="F810" t="str">
        <f>"9781317044895"</f>
        <v>9781317044895</v>
      </c>
      <c r="G810" t="str">
        <f>"9781409468752"</f>
        <v>9781409468752</v>
      </c>
      <c r="H810" t="s">
        <v>342</v>
      </c>
      <c r="I810">
        <v>909.09749270831196</v>
      </c>
      <c r="J810" t="s">
        <v>1953</v>
      </c>
      <c r="K810" t="s">
        <v>44</v>
      </c>
      <c r="N810" t="s">
        <v>45</v>
      </c>
      <c r="O810" t="s">
        <v>46</v>
      </c>
      <c r="P810" t="s">
        <v>45</v>
      </c>
      <c r="Q810" t="s">
        <v>47</v>
      </c>
      <c r="R810" t="s">
        <v>44</v>
      </c>
      <c r="S810">
        <v>0</v>
      </c>
      <c r="W810" s="3">
        <v>3.8541666666666668E-3</v>
      </c>
      <c r="X810" t="s">
        <v>1955</v>
      </c>
      <c r="Y810">
        <v>10</v>
      </c>
      <c r="Z810">
        <v>0</v>
      </c>
      <c r="AA810" t="s">
        <v>49</v>
      </c>
      <c r="AB810">
        <v>0</v>
      </c>
      <c r="AC810" t="s">
        <v>1956</v>
      </c>
      <c r="AD810">
        <v>2</v>
      </c>
      <c r="AE810">
        <v>11488589</v>
      </c>
      <c r="AF810" t="s">
        <v>50</v>
      </c>
      <c r="AG810" t="s">
        <v>388</v>
      </c>
    </row>
    <row r="811" spans="1:33" x14ac:dyDescent="0.35">
      <c r="A811" s="1">
        <v>44890.018750000003</v>
      </c>
      <c r="B811">
        <v>312369</v>
      </c>
      <c r="C811" t="s">
        <v>1957</v>
      </c>
      <c r="D811" t="s">
        <v>71</v>
      </c>
      <c r="E811" s="2">
        <v>39295</v>
      </c>
      <c r="F811" t="str">
        <f>"9781860948619"</f>
        <v>9781860948619</v>
      </c>
      <c r="G811" t="str">
        <f>"9781860947957"</f>
        <v>9781860947957</v>
      </c>
      <c r="H811" t="s">
        <v>1958</v>
      </c>
      <c r="I811">
        <v>514.70000000000005</v>
      </c>
      <c r="J811" t="s">
        <v>1959</v>
      </c>
      <c r="K811" t="s">
        <v>44</v>
      </c>
      <c r="N811" t="s">
        <v>45</v>
      </c>
      <c r="O811" t="s">
        <v>46</v>
      </c>
      <c r="P811" t="s">
        <v>45</v>
      </c>
      <c r="Q811" t="s">
        <v>47</v>
      </c>
      <c r="R811" t="s">
        <v>44</v>
      </c>
      <c r="S811">
        <v>0</v>
      </c>
      <c r="W811" s="3">
        <v>3.4722222222222222E-5</v>
      </c>
      <c r="X811" t="s">
        <v>121</v>
      </c>
      <c r="Y811">
        <v>1</v>
      </c>
      <c r="Z811">
        <v>0</v>
      </c>
      <c r="AA811" t="s">
        <v>49</v>
      </c>
      <c r="AB811">
        <v>0</v>
      </c>
      <c r="AC811" t="s">
        <v>49</v>
      </c>
      <c r="AD811">
        <v>0</v>
      </c>
      <c r="AE811">
        <v>10188803</v>
      </c>
      <c r="AF811" t="s">
        <v>50</v>
      </c>
      <c r="AG811" t="s">
        <v>388</v>
      </c>
    </row>
    <row r="812" spans="1:33" x14ac:dyDescent="0.35">
      <c r="A812" s="1">
        <v>44889.98333333333</v>
      </c>
      <c r="B812">
        <v>312369</v>
      </c>
      <c r="C812" t="s">
        <v>1957</v>
      </c>
      <c r="D812" t="s">
        <v>71</v>
      </c>
      <c r="E812" s="2">
        <v>39295</v>
      </c>
      <c r="F812" t="str">
        <f>"9781860948619"</f>
        <v>9781860948619</v>
      </c>
      <c r="G812" t="str">
        <f>"9781860947957"</f>
        <v>9781860947957</v>
      </c>
      <c r="H812" t="s">
        <v>1958</v>
      </c>
      <c r="I812">
        <v>514.70000000000005</v>
      </c>
      <c r="J812" t="s">
        <v>1959</v>
      </c>
      <c r="K812" t="s">
        <v>44</v>
      </c>
      <c r="N812" t="s">
        <v>45</v>
      </c>
      <c r="O812" t="s">
        <v>46</v>
      </c>
      <c r="P812" t="s">
        <v>45</v>
      </c>
      <c r="Q812" t="s">
        <v>47</v>
      </c>
      <c r="R812" t="s">
        <v>44</v>
      </c>
      <c r="S812">
        <v>0</v>
      </c>
      <c r="W812" s="3">
        <v>1.0069444444444445E-2</v>
      </c>
      <c r="X812" t="s">
        <v>1889</v>
      </c>
      <c r="Y812">
        <v>21</v>
      </c>
      <c r="Z812">
        <v>0</v>
      </c>
      <c r="AA812" t="s">
        <v>49</v>
      </c>
      <c r="AB812">
        <v>0</v>
      </c>
      <c r="AC812" t="s">
        <v>49</v>
      </c>
      <c r="AD812">
        <v>0</v>
      </c>
      <c r="AE812">
        <v>10188803</v>
      </c>
      <c r="AF812" t="s">
        <v>50</v>
      </c>
      <c r="AG812" t="s">
        <v>388</v>
      </c>
    </row>
    <row r="813" spans="1:33" x14ac:dyDescent="0.35">
      <c r="A813" s="1">
        <v>44889.981944444444</v>
      </c>
      <c r="B813">
        <v>6005617</v>
      </c>
      <c r="C813" t="s">
        <v>1905</v>
      </c>
      <c r="D813" t="s">
        <v>443</v>
      </c>
      <c r="E813" s="2">
        <v>43872</v>
      </c>
      <c r="F813" t="str">
        <f>"9780520970601"</f>
        <v>9780520970601</v>
      </c>
      <c r="G813" t="str">
        <f>"9780520298521"</f>
        <v>9780520298521</v>
      </c>
      <c r="H813" t="s">
        <v>60</v>
      </c>
      <c r="I813">
        <v>658.45</v>
      </c>
      <c r="K813" t="s">
        <v>55</v>
      </c>
      <c r="Q813" t="s">
        <v>47</v>
      </c>
      <c r="R813" t="s">
        <v>44</v>
      </c>
      <c r="S813">
        <v>0</v>
      </c>
      <c r="W813" s="3">
        <v>8.1018518518518516E-5</v>
      </c>
      <c r="X813" t="s">
        <v>121</v>
      </c>
      <c r="Y813">
        <v>1</v>
      </c>
      <c r="Z813">
        <v>0</v>
      </c>
      <c r="AA813" t="s">
        <v>49</v>
      </c>
      <c r="AB813">
        <v>0</v>
      </c>
      <c r="AC813" t="s">
        <v>49</v>
      </c>
      <c r="AD813">
        <v>0</v>
      </c>
      <c r="AE813">
        <v>-1</v>
      </c>
      <c r="AF813" t="s">
        <v>50</v>
      </c>
      <c r="AG813" t="s">
        <v>388</v>
      </c>
    </row>
    <row r="814" spans="1:33" x14ac:dyDescent="0.35">
      <c r="A814" s="1">
        <v>44889.979861111111</v>
      </c>
      <c r="B814">
        <v>566711</v>
      </c>
      <c r="C814" t="s">
        <v>1392</v>
      </c>
      <c r="D814" t="s">
        <v>76</v>
      </c>
      <c r="E814" s="2">
        <v>40350</v>
      </c>
      <c r="F814" t="str">
        <f>"9780080961200"</f>
        <v>9780080961200</v>
      </c>
      <c r="G814" t="str">
        <f>"9781856177146"</f>
        <v>9781856177146</v>
      </c>
      <c r="H814" t="s">
        <v>1393</v>
      </c>
      <c r="I814">
        <v>647.06799999999998</v>
      </c>
      <c r="J814" t="s">
        <v>1394</v>
      </c>
      <c r="K814" t="s">
        <v>44</v>
      </c>
      <c r="N814" t="s">
        <v>45</v>
      </c>
      <c r="O814" t="s">
        <v>46</v>
      </c>
      <c r="P814" t="s">
        <v>45</v>
      </c>
      <c r="Q814" t="s">
        <v>47</v>
      </c>
      <c r="R814" t="s">
        <v>44</v>
      </c>
      <c r="S814">
        <v>0</v>
      </c>
      <c r="W814" s="3">
        <v>1.4583333333333334E-3</v>
      </c>
      <c r="X814" t="s">
        <v>1960</v>
      </c>
      <c r="Y814">
        <v>16</v>
      </c>
      <c r="Z814">
        <v>0</v>
      </c>
      <c r="AA814" t="s">
        <v>49</v>
      </c>
      <c r="AB814">
        <v>0</v>
      </c>
      <c r="AC814" t="s">
        <v>49</v>
      </c>
      <c r="AD814">
        <v>0</v>
      </c>
      <c r="AE814">
        <v>10404413</v>
      </c>
      <c r="AF814" t="s">
        <v>50</v>
      </c>
      <c r="AG814" t="s">
        <v>388</v>
      </c>
    </row>
    <row r="815" spans="1:33" x14ac:dyDescent="0.35">
      <c r="A815" s="1">
        <v>44889.977777777778</v>
      </c>
      <c r="B815">
        <v>5157550</v>
      </c>
      <c r="C815" t="s">
        <v>1217</v>
      </c>
      <c r="D815" t="s">
        <v>115</v>
      </c>
      <c r="E815" s="2">
        <v>43367</v>
      </c>
      <c r="F815" t="str">
        <f>"9783110545210"</f>
        <v>9783110545210</v>
      </c>
      <c r="G815" t="str">
        <f>"9783110543735"</f>
        <v>9783110543735</v>
      </c>
      <c r="H815" t="s">
        <v>1040</v>
      </c>
      <c r="I815">
        <v>547.23</v>
      </c>
      <c r="J815" t="s">
        <v>1218</v>
      </c>
      <c r="K815" t="s">
        <v>44</v>
      </c>
      <c r="N815" t="s">
        <v>45</v>
      </c>
      <c r="O815" t="s">
        <v>46</v>
      </c>
      <c r="P815" t="s">
        <v>45</v>
      </c>
      <c r="Q815" t="s">
        <v>47</v>
      </c>
      <c r="R815" t="s">
        <v>44</v>
      </c>
      <c r="S815">
        <v>0</v>
      </c>
      <c r="W815" s="3">
        <v>2.2222222222222222E-3</v>
      </c>
      <c r="X815" t="s">
        <v>1961</v>
      </c>
      <c r="Y815">
        <v>13</v>
      </c>
      <c r="Z815">
        <v>0</v>
      </c>
      <c r="AA815" t="s">
        <v>49</v>
      </c>
      <c r="AB815">
        <v>0</v>
      </c>
      <c r="AC815" t="s">
        <v>49</v>
      </c>
      <c r="AD815">
        <v>0</v>
      </c>
      <c r="AE815">
        <v>-1</v>
      </c>
      <c r="AF815" t="s">
        <v>50</v>
      </c>
      <c r="AG815" t="s">
        <v>388</v>
      </c>
    </row>
    <row r="816" spans="1:33" x14ac:dyDescent="0.35">
      <c r="A816" s="1">
        <v>44889.940972222219</v>
      </c>
      <c r="B816">
        <v>5157550</v>
      </c>
      <c r="C816" t="s">
        <v>1217</v>
      </c>
      <c r="D816" t="s">
        <v>115</v>
      </c>
      <c r="E816" s="2">
        <v>43367</v>
      </c>
      <c r="F816" t="str">
        <f>"9783110545210"</f>
        <v>9783110545210</v>
      </c>
      <c r="G816" t="str">
        <f>"9783110543735"</f>
        <v>9783110543735</v>
      </c>
      <c r="H816" t="s">
        <v>1040</v>
      </c>
      <c r="I816">
        <v>547.23</v>
      </c>
      <c r="J816" t="s">
        <v>1218</v>
      </c>
      <c r="K816" t="s">
        <v>44</v>
      </c>
      <c r="N816" t="s">
        <v>45</v>
      </c>
      <c r="O816" t="s">
        <v>46</v>
      </c>
      <c r="P816" t="s">
        <v>45</v>
      </c>
      <c r="Q816" t="s">
        <v>47</v>
      </c>
      <c r="R816" t="s">
        <v>44</v>
      </c>
      <c r="S816">
        <v>0</v>
      </c>
      <c r="W816" s="3">
        <v>2.9398148148148148E-3</v>
      </c>
      <c r="X816" t="s">
        <v>1962</v>
      </c>
      <c r="Y816">
        <v>14</v>
      </c>
      <c r="Z816">
        <v>0</v>
      </c>
      <c r="AA816" t="s">
        <v>49</v>
      </c>
      <c r="AB816">
        <v>0</v>
      </c>
      <c r="AC816" t="s">
        <v>1963</v>
      </c>
      <c r="AD816">
        <v>1</v>
      </c>
      <c r="AE816">
        <v>-1</v>
      </c>
      <c r="AF816" t="s">
        <v>50</v>
      </c>
      <c r="AG816" t="s">
        <v>388</v>
      </c>
    </row>
    <row r="817" spans="1:33" x14ac:dyDescent="0.35">
      <c r="A817" s="1">
        <v>44889.859027777777</v>
      </c>
      <c r="B817">
        <v>5157550</v>
      </c>
      <c r="C817" t="s">
        <v>1217</v>
      </c>
      <c r="D817" t="s">
        <v>115</v>
      </c>
      <c r="E817" s="2">
        <v>43367</v>
      </c>
      <c r="F817" t="str">
        <f>"9783110545210"</f>
        <v>9783110545210</v>
      </c>
      <c r="G817" t="str">
        <f>"9783110543735"</f>
        <v>9783110543735</v>
      </c>
      <c r="H817" t="s">
        <v>1040</v>
      </c>
      <c r="I817">
        <v>547.23</v>
      </c>
      <c r="J817" t="s">
        <v>1218</v>
      </c>
      <c r="K817" t="s">
        <v>44</v>
      </c>
      <c r="N817" t="s">
        <v>45</v>
      </c>
      <c r="O817" t="s">
        <v>46</v>
      </c>
      <c r="P817" t="s">
        <v>45</v>
      </c>
      <c r="Q817" t="s">
        <v>47</v>
      </c>
      <c r="R817" t="s">
        <v>44</v>
      </c>
      <c r="S817">
        <v>0</v>
      </c>
      <c r="W817" s="3">
        <v>2.013888888888889E-2</v>
      </c>
      <c r="X817" t="s">
        <v>1964</v>
      </c>
      <c r="Y817">
        <v>10</v>
      </c>
      <c r="Z817">
        <v>0</v>
      </c>
      <c r="AA817" t="s">
        <v>49</v>
      </c>
      <c r="AB817">
        <v>0</v>
      </c>
      <c r="AC817" t="s">
        <v>1965</v>
      </c>
      <c r="AD817">
        <v>2</v>
      </c>
      <c r="AE817">
        <v>-1</v>
      </c>
      <c r="AF817" t="s">
        <v>50</v>
      </c>
      <c r="AG817" t="s">
        <v>388</v>
      </c>
    </row>
    <row r="818" spans="1:33" x14ac:dyDescent="0.35">
      <c r="A818" s="1">
        <v>44889.850694444445</v>
      </c>
      <c r="B818">
        <v>1877184</v>
      </c>
      <c r="C818" t="s">
        <v>1966</v>
      </c>
      <c r="D818" t="s">
        <v>473</v>
      </c>
      <c r="E818" s="2">
        <v>41971</v>
      </c>
      <c r="F818" t="str">
        <f>"9789004281714"</f>
        <v>9789004281714</v>
      </c>
      <c r="G818" t="str">
        <f>"9789004252011"</f>
        <v>9789004252011</v>
      </c>
      <c r="H818" t="s">
        <v>906</v>
      </c>
      <c r="I818" t="s">
        <v>1967</v>
      </c>
      <c r="K818" t="s">
        <v>44</v>
      </c>
      <c r="N818" t="s">
        <v>45</v>
      </c>
      <c r="O818" t="s">
        <v>46</v>
      </c>
      <c r="P818" t="s">
        <v>45</v>
      </c>
      <c r="Q818" t="s">
        <v>47</v>
      </c>
      <c r="R818" t="s">
        <v>44</v>
      </c>
      <c r="S818">
        <v>0</v>
      </c>
      <c r="W818" s="3">
        <v>5.7870370370370366E-5</v>
      </c>
      <c r="X818" t="s">
        <v>121</v>
      </c>
      <c r="Y818">
        <v>1</v>
      </c>
      <c r="Z818">
        <v>0</v>
      </c>
      <c r="AA818" t="s">
        <v>49</v>
      </c>
      <c r="AB818">
        <v>0</v>
      </c>
      <c r="AC818" t="s">
        <v>49</v>
      </c>
      <c r="AD818">
        <v>0</v>
      </c>
      <c r="AE818">
        <v>10992601</v>
      </c>
      <c r="AF818" t="s">
        <v>50</v>
      </c>
      <c r="AG818" t="s">
        <v>388</v>
      </c>
    </row>
    <row r="819" spans="1:33" x14ac:dyDescent="0.35">
      <c r="A819" s="1">
        <v>44889.819444444445</v>
      </c>
      <c r="B819">
        <v>5596841</v>
      </c>
      <c r="C819" t="s">
        <v>1968</v>
      </c>
      <c r="D819" t="s">
        <v>769</v>
      </c>
      <c r="E819" s="2">
        <v>43411</v>
      </c>
      <c r="F819" t="str">
        <f>"9781351013222"</f>
        <v>9781351013222</v>
      </c>
      <c r="G819" t="str">
        <f>"9780815394372"</f>
        <v>9780815394372</v>
      </c>
      <c r="H819" t="s">
        <v>138</v>
      </c>
      <c r="I819" t="s">
        <v>1969</v>
      </c>
      <c r="K819" t="s">
        <v>55</v>
      </c>
      <c r="Q819" t="s">
        <v>47</v>
      </c>
      <c r="R819" t="s">
        <v>44</v>
      </c>
      <c r="S819">
        <v>0</v>
      </c>
      <c r="W819" s="3">
        <v>8.7962962962962962E-4</v>
      </c>
      <c r="X819" t="s">
        <v>1970</v>
      </c>
      <c r="Y819">
        <v>9</v>
      </c>
      <c r="Z819">
        <v>0</v>
      </c>
      <c r="AA819" t="s">
        <v>49</v>
      </c>
      <c r="AB819">
        <v>0</v>
      </c>
      <c r="AC819" t="s">
        <v>49</v>
      </c>
      <c r="AD819">
        <v>0</v>
      </c>
      <c r="AE819">
        <v>-1</v>
      </c>
      <c r="AF819" t="s">
        <v>50</v>
      </c>
      <c r="AG819" t="s">
        <v>1971</v>
      </c>
    </row>
    <row r="820" spans="1:33" x14ac:dyDescent="0.35">
      <c r="A820" s="1">
        <v>44889.713194444441</v>
      </c>
      <c r="B820">
        <v>5945867</v>
      </c>
      <c r="C820" t="s">
        <v>991</v>
      </c>
      <c r="D820" t="s">
        <v>992</v>
      </c>
      <c r="E820" s="2">
        <v>43800</v>
      </c>
      <c r="F820" t="str">
        <f>"9781640122796"</f>
        <v>9781640122796</v>
      </c>
      <c r="G820" t="str">
        <f>"9781640122208"</f>
        <v>9781640122208</v>
      </c>
      <c r="H820" t="s">
        <v>667</v>
      </c>
      <c r="I820">
        <v>940.5412</v>
      </c>
      <c r="J820" t="s">
        <v>993</v>
      </c>
      <c r="K820" t="s">
        <v>44</v>
      </c>
      <c r="N820" t="s">
        <v>45</v>
      </c>
      <c r="O820" t="s">
        <v>46</v>
      </c>
      <c r="P820" t="s">
        <v>177</v>
      </c>
      <c r="Q820" t="s">
        <v>47</v>
      </c>
      <c r="R820" t="s">
        <v>55</v>
      </c>
      <c r="S820">
        <v>0</v>
      </c>
      <c r="W820" s="3">
        <v>0</v>
      </c>
      <c r="X820" t="s">
        <v>49</v>
      </c>
      <c r="Y820">
        <v>0</v>
      </c>
      <c r="Z820">
        <v>0</v>
      </c>
      <c r="AA820" t="s">
        <v>49</v>
      </c>
      <c r="AB820">
        <v>0</v>
      </c>
      <c r="AC820" t="s">
        <v>49</v>
      </c>
      <c r="AD820">
        <v>0</v>
      </c>
      <c r="AE820">
        <v>-1</v>
      </c>
      <c r="AF820" t="s">
        <v>50</v>
      </c>
      <c r="AG820" t="s">
        <v>388</v>
      </c>
    </row>
    <row r="821" spans="1:33" x14ac:dyDescent="0.35">
      <c r="A821" s="1">
        <v>44889.676388888889</v>
      </c>
      <c r="B821">
        <v>242887</v>
      </c>
      <c r="C821" t="s">
        <v>1972</v>
      </c>
      <c r="D821" t="s">
        <v>59</v>
      </c>
      <c r="E821" s="2">
        <v>38604</v>
      </c>
      <c r="F821" t="str">
        <f>"9780471779810"</f>
        <v>9780471779810</v>
      </c>
      <c r="G821" t="str">
        <f>"9780782144437"</f>
        <v>9780782144437</v>
      </c>
      <c r="H821" t="s">
        <v>138</v>
      </c>
      <c r="I821">
        <v>5.8</v>
      </c>
      <c r="J821" t="s">
        <v>1973</v>
      </c>
      <c r="K821" t="s">
        <v>44</v>
      </c>
      <c r="N821" t="s">
        <v>45</v>
      </c>
      <c r="O821" t="s">
        <v>46</v>
      </c>
      <c r="P821" t="s">
        <v>45</v>
      </c>
      <c r="Q821" t="s">
        <v>47</v>
      </c>
      <c r="R821" t="s">
        <v>44</v>
      </c>
      <c r="S821">
        <v>0</v>
      </c>
      <c r="W821" s="3">
        <v>1.3888888888888889E-4</v>
      </c>
      <c r="X821" t="s">
        <v>648</v>
      </c>
      <c r="Y821">
        <v>2</v>
      </c>
      <c r="Z821">
        <v>0</v>
      </c>
      <c r="AA821" t="s">
        <v>49</v>
      </c>
      <c r="AB821">
        <v>0</v>
      </c>
      <c r="AC821" t="s">
        <v>49</v>
      </c>
      <c r="AD821">
        <v>0</v>
      </c>
      <c r="AE821">
        <v>10152542</v>
      </c>
      <c r="AF821" t="s">
        <v>50</v>
      </c>
      <c r="AG821" t="s">
        <v>1500</v>
      </c>
    </row>
    <row r="822" spans="1:33" x14ac:dyDescent="0.35">
      <c r="A822" s="1">
        <v>44889.586111111108</v>
      </c>
      <c r="B822">
        <v>4003153</v>
      </c>
      <c r="C822" t="s">
        <v>1974</v>
      </c>
      <c r="D822" t="s">
        <v>213</v>
      </c>
      <c r="E822" s="2">
        <v>42151</v>
      </c>
      <c r="F822" t="str">
        <f>"9780444634450"</f>
        <v>9780444634450</v>
      </c>
      <c r="G822" t="str">
        <f>"9780444634290"</f>
        <v>9780444634290</v>
      </c>
      <c r="H822" t="s">
        <v>1975</v>
      </c>
      <c r="I822">
        <v>660.28150000000005</v>
      </c>
      <c r="J822" t="s">
        <v>1976</v>
      </c>
      <c r="K822" t="s">
        <v>44</v>
      </c>
      <c r="N822" t="s">
        <v>45</v>
      </c>
      <c r="O822" t="s">
        <v>46</v>
      </c>
      <c r="P822" t="s">
        <v>45</v>
      </c>
      <c r="Q822" t="s">
        <v>47</v>
      </c>
      <c r="R822" t="s">
        <v>44</v>
      </c>
      <c r="S822">
        <v>1</v>
      </c>
      <c r="W822" s="3">
        <v>8.564814814814815E-4</v>
      </c>
      <c r="X822" t="s">
        <v>1977</v>
      </c>
      <c r="Y822">
        <v>9</v>
      </c>
      <c r="Z822">
        <v>0</v>
      </c>
      <c r="AA822" t="s">
        <v>49</v>
      </c>
      <c r="AB822">
        <v>0</v>
      </c>
      <c r="AC822" t="s">
        <v>49</v>
      </c>
      <c r="AD822">
        <v>0</v>
      </c>
      <c r="AE822">
        <v>11077951</v>
      </c>
      <c r="AF822" t="s">
        <v>63</v>
      </c>
      <c r="AG822" t="s">
        <v>388</v>
      </c>
    </row>
    <row r="823" spans="1:33" x14ac:dyDescent="0.35">
      <c r="A823" s="1">
        <v>44889.584027777775</v>
      </c>
      <c r="B823">
        <v>4003153</v>
      </c>
      <c r="C823" t="s">
        <v>1974</v>
      </c>
      <c r="D823" t="s">
        <v>213</v>
      </c>
      <c r="E823" s="2">
        <v>42151</v>
      </c>
      <c r="F823" t="str">
        <f>"9780444634450"</f>
        <v>9780444634450</v>
      </c>
      <c r="G823" t="str">
        <f>"9780444634290"</f>
        <v>9780444634290</v>
      </c>
      <c r="H823" t="s">
        <v>1975</v>
      </c>
      <c r="I823">
        <v>660.28150000000005</v>
      </c>
      <c r="J823" t="s">
        <v>1976</v>
      </c>
      <c r="K823" t="s">
        <v>44</v>
      </c>
      <c r="N823" t="s">
        <v>45</v>
      </c>
      <c r="O823" t="s">
        <v>46</v>
      </c>
      <c r="P823" t="s">
        <v>45</v>
      </c>
      <c r="Q823" t="s">
        <v>47</v>
      </c>
      <c r="R823" t="s">
        <v>44</v>
      </c>
      <c r="S823">
        <v>0</v>
      </c>
      <c r="W823" s="3">
        <v>1.712962962962963E-3</v>
      </c>
      <c r="X823" t="s">
        <v>1978</v>
      </c>
      <c r="Y823">
        <v>14</v>
      </c>
      <c r="Z823">
        <v>1</v>
      </c>
      <c r="AA823" t="s">
        <v>1979</v>
      </c>
      <c r="AB823">
        <v>14</v>
      </c>
      <c r="AC823" t="s">
        <v>49</v>
      </c>
      <c r="AD823">
        <v>0</v>
      </c>
      <c r="AE823">
        <v>11077951</v>
      </c>
      <c r="AF823" t="s">
        <v>63</v>
      </c>
      <c r="AG823" t="s">
        <v>388</v>
      </c>
    </row>
    <row r="824" spans="1:33" x14ac:dyDescent="0.35">
      <c r="A824" s="1">
        <v>44889.548611111109</v>
      </c>
      <c r="B824">
        <v>6792356</v>
      </c>
      <c r="C824" t="s">
        <v>512</v>
      </c>
      <c r="D824" t="s">
        <v>213</v>
      </c>
      <c r="E824" s="2">
        <v>44496</v>
      </c>
      <c r="F824" t="str">
        <f>"9780128209073"</f>
        <v>9780128209073</v>
      </c>
      <c r="G824" t="str">
        <f>"9780128206294"</f>
        <v>9780128206294</v>
      </c>
      <c r="H824" t="s">
        <v>513</v>
      </c>
      <c r="I824">
        <v>620.5</v>
      </c>
      <c r="J824" t="s">
        <v>514</v>
      </c>
      <c r="K824" t="s">
        <v>55</v>
      </c>
      <c r="Q824" t="s">
        <v>47</v>
      </c>
      <c r="R824" t="s">
        <v>44</v>
      </c>
      <c r="S824">
        <v>0</v>
      </c>
      <c r="W824" s="3">
        <v>5.7870370370370366E-5</v>
      </c>
      <c r="X824" t="s">
        <v>121</v>
      </c>
      <c r="Y824">
        <v>1</v>
      </c>
      <c r="Z824">
        <v>0</v>
      </c>
      <c r="AA824" t="s">
        <v>49</v>
      </c>
      <c r="AB824">
        <v>0</v>
      </c>
      <c r="AC824" t="s">
        <v>49</v>
      </c>
      <c r="AD824">
        <v>0</v>
      </c>
      <c r="AE824">
        <v>-1</v>
      </c>
      <c r="AF824" t="s">
        <v>50</v>
      </c>
      <c r="AG824" t="s">
        <v>1500</v>
      </c>
    </row>
    <row r="825" spans="1:33" x14ac:dyDescent="0.35">
      <c r="A825" s="1">
        <v>44889.52847222222</v>
      </c>
      <c r="B825">
        <v>6792356</v>
      </c>
      <c r="C825" t="s">
        <v>512</v>
      </c>
      <c r="D825" t="s">
        <v>213</v>
      </c>
      <c r="E825" s="2">
        <v>44496</v>
      </c>
      <c r="F825" t="str">
        <f>"9780128209073"</f>
        <v>9780128209073</v>
      </c>
      <c r="G825" t="str">
        <f>"9780128206294"</f>
        <v>9780128206294</v>
      </c>
      <c r="H825" t="s">
        <v>513</v>
      </c>
      <c r="I825">
        <v>620.5</v>
      </c>
      <c r="J825" t="s">
        <v>514</v>
      </c>
      <c r="K825" t="s">
        <v>55</v>
      </c>
      <c r="Q825" t="s">
        <v>47</v>
      </c>
      <c r="R825" t="s">
        <v>44</v>
      </c>
      <c r="S825">
        <v>0</v>
      </c>
      <c r="W825" s="3">
        <v>5.7870370370370366E-5</v>
      </c>
      <c r="X825" t="s">
        <v>121</v>
      </c>
      <c r="Y825">
        <v>1</v>
      </c>
      <c r="Z825">
        <v>0</v>
      </c>
      <c r="AA825" t="s">
        <v>49</v>
      </c>
      <c r="AB825">
        <v>0</v>
      </c>
      <c r="AC825" t="s">
        <v>49</v>
      </c>
      <c r="AD825">
        <v>0</v>
      </c>
      <c r="AE825">
        <v>-1</v>
      </c>
      <c r="AF825" t="s">
        <v>50</v>
      </c>
      <c r="AG825" t="s">
        <v>388</v>
      </c>
    </row>
    <row r="826" spans="1:33" x14ac:dyDescent="0.35">
      <c r="A826" s="1">
        <v>44889.474305555559</v>
      </c>
      <c r="B826">
        <v>5158534</v>
      </c>
      <c r="C826" t="s">
        <v>1980</v>
      </c>
      <c r="D826" t="s">
        <v>115</v>
      </c>
      <c r="E826" s="2">
        <v>44627</v>
      </c>
      <c r="F826" t="str">
        <f>"9783110529456"</f>
        <v>9783110529456</v>
      </c>
      <c r="G826" t="str">
        <f>"9783110528800"</f>
        <v>9783110528800</v>
      </c>
      <c r="H826" t="s">
        <v>214</v>
      </c>
      <c r="I826">
        <v>543</v>
      </c>
      <c r="J826" t="s">
        <v>1981</v>
      </c>
      <c r="K826" t="s">
        <v>55</v>
      </c>
      <c r="Q826" t="s">
        <v>47</v>
      </c>
      <c r="R826" t="s">
        <v>44</v>
      </c>
      <c r="S826">
        <v>0</v>
      </c>
      <c r="W826" s="3">
        <v>2.2337962962962967E-3</v>
      </c>
      <c r="X826" t="s">
        <v>1982</v>
      </c>
      <c r="Y826">
        <v>15</v>
      </c>
      <c r="Z826">
        <v>0</v>
      </c>
      <c r="AA826" t="s">
        <v>49</v>
      </c>
      <c r="AB826">
        <v>0</v>
      </c>
      <c r="AC826" t="s">
        <v>49</v>
      </c>
      <c r="AD826">
        <v>0</v>
      </c>
      <c r="AE826">
        <v>-1</v>
      </c>
      <c r="AF826" t="s">
        <v>50</v>
      </c>
      <c r="AG826" t="s">
        <v>1160</v>
      </c>
    </row>
    <row r="827" spans="1:33" x14ac:dyDescent="0.35">
      <c r="A827" s="1">
        <v>44889.335416666669</v>
      </c>
      <c r="B827">
        <v>165398</v>
      </c>
      <c r="C827" t="s">
        <v>1983</v>
      </c>
      <c r="D827" t="s">
        <v>76</v>
      </c>
      <c r="E827" s="2">
        <v>35999</v>
      </c>
      <c r="F827" t="str">
        <f>"9780203017432"</f>
        <v>9780203017432</v>
      </c>
      <c r="G827" t="str">
        <f>"9780415061322"</f>
        <v>9780415061322</v>
      </c>
      <c r="H827" t="s">
        <v>1984</v>
      </c>
      <c r="I827">
        <v>909.09749269999998</v>
      </c>
      <c r="J827" t="s">
        <v>1985</v>
      </c>
      <c r="K827" t="s">
        <v>44</v>
      </c>
      <c r="N827" t="s">
        <v>45</v>
      </c>
      <c r="O827" t="s">
        <v>46</v>
      </c>
      <c r="P827" t="s">
        <v>45</v>
      </c>
      <c r="Q827" t="s">
        <v>47</v>
      </c>
      <c r="R827" t="s">
        <v>44</v>
      </c>
      <c r="S827">
        <v>0</v>
      </c>
      <c r="W827" s="3">
        <v>1.2847222222222223E-2</v>
      </c>
      <c r="X827" t="s">
        <v>1986</v>
      </c>
      <c r="Y827">
        <v>5</v>
      </c>
      <c r="Z827">
        <v>0</v>
      </c>
      <c r="AA827" t="s">
        <v>49</v>
      </c>
      <c r="AB827">
        <v>0</v>
      </c>
      <c r="AC827" t="s">
        <v>121</v>
      </c>
      <c r="AD827">
        <v>1</v>
      </c>
      <c r="AE827">
        <v>10017085</v>
      </c>
      <c r="AF827" t="s">
        <v>50</v>
      </c>
      <c r="AG827" t="s">
        <v>835</v>
      </c>
    </row>
    <row r="828" spans="1:33" x14ac:dyDescent="0.35">
      <c r="A828" s="1">
        <v>44889.018750000003</v>
      </c>
      <c r="B828">
        <v>1869258</v>
      </c>
      <c r="C828" t="s">
        <v>1987</v>
      </c>
      <c r="D828" t="s">
        <v>371</v>
      </c>
      <c r="E828" s="2">
        <v>40016</v>
      </c>
      <c r="F828" t="str">
        <f>"9783038133216"</f>
        <v>9783038133216</v>
      </c>
      <c r="G828" t="str">
        <f>"9780878491520"</f>
        <v>9780878491520</v>
      </c>
      <c r="H828" t="s">
        <v>546</v>
      </c>
      <c r="I828">
        <v>621.31242999999995</v>
      </c>
      <c r="K828" t="s">
        <v>44</v>
      </c>
      <c r="N828" t="s">
        <v>45</v>
      </c>
      <c r="O828" t="s">
        <v>46</v>
      </c>
      <c r="P828" t="s">
        <v>45</v>
      </c>
      <c r="Q828" t="s">
        <v>47</v>
      </c>
      <c r="R828" t="s">
        <v>44</v>
      </c>
      <c r="S828">
        <v>0</v>
      </c>
      <c r="W828" s="3">
        <v>1.8518518518518517E-3</v>
      </c>
      <c r="X828" t="s">
        <v>1143</v>
      </c>
      <c r="Y828">
        <v>7</v>
      </c>
      <c r="Z828">
        <v>0</v>
      </c>
      <c r="AA828" t="s">
        <v>49</v>
      </c>
      <c r="AB828">
        <v>0</v>
      </c>
      <c r="AC828" t="s">
        <v>49</v>
      </c>
      <c r="AD828">
        <v>0</v>
      </c>
      <c r="AE828">
        <v>10906066</v>
      </c>
      <c r="AF828" t="s">
        <v>50</v>
      </c>
      <c r="AG828" t="s">
        <v>388</v>
      </c>
    </row>
    <row r="829" spans="1:33" x14ac:dyDescent="0.35">
      <c r="A829" s="1">
        <v>44889.006944444445</v>
      </c>
      <c r="B829">
        <v>788017</v>
      </c>
      <c r="C829" t="s">
        <v>1988</v>
      </c>
      <c r="D829" t="s">
        <v>65</v>
      </c>
      <c r="E829" s="2">
        <v>40861</v>
      </c>
      <c r="F829" t="str">
        <f>"9780123859358"</f>
        <v>9780123859358</v>
      </c>
      <c r="G829" t="str">
        <f>"9780123859341"</f>
        <v>9780123859341</v>
      </c>
      <c r="H829" t="s">
        <v>546</v>
      </c>
      <c r="I829" t="s">
        <v>1989</v>
      </c>
      <c r="J829" t="s">
        <v>1990</v>
      </c>
      <c r="K829" t="s">
        <v>44</v>
      </c>
      <c r="N829" t="s">
        <v>45</v>
      </c>
      <c r="O829" t="s">
        <v>46</v>
      </c>
      <c r="P829" t="s">
        <v>45</v>
      </c>
      <c r="Q829" t="s">
        <v>47</v>
      </c>
      <c r="R829" t="s">
        <v>44</v>
      </c>
      <c r="S829">
        <v>0</v>
      </c>
      <c r="W829" s="3">
        <v>6.4814814814814813E-4</v>
      </c>
      <c r="X829" t="s">
        <v>1991</v>
      </c>
      <c r="Y829">
        <v>7</v>
      </c>
      <c r="Z829">
        <v>0</v>
      </c>
      <c r="AA829" t="s">
        <v>49</v>
      </c>
      <c r="AB829">
        <v>0</v>
      </c>
      <c r="AC829" t="s">
        <v>49</v>
      </c>
      <c r="AD829">
        <v>0</v>
      </c>
      <c r="AE829">
        <v>10505643</v>
      </c>
      <c r="AF829" t="s">
        <v>50</v>
      </c>
      <c r="AG829" t="s">
        <v>388</v>
      </c>
    </row>
    <row r="830" spans="1:33" x14ac:dyDescent="0.35">
      <c r="A830" s="1">
        <v>44888.95208333333</v>
      </c>
      <c r="B830">
        <v>3105220</v>
      </c>
      <c r="C830" t="s">
        <v>1992</v>
      </c>
      <c r="D830" t="s">
        <v>1139</v>
      </c>
      <c r="E830" s="2">
        <v>34789</v>
      </c>
      <c r="F830" t="str">
        <f>"9789401585088"</f>
        <v>9789401585088</v>
      </c>
      <c r="G830" t="str">
        <f>"9789048145355"</f>
        <v>9789048145355</v>
      </c>
      <c r="H830" t="s">
        <v>1945</v>
      </c>
      <c r="I830" t="s">
        <v>1993</v>
      </c>
      <c r="J830" t="s">
        <v>1994</v>
      </c>
      <c r="K830" t="s">
        <v>44</v>
      </c>
      <c r="N830" t="s">
        <v>45</v>
      </c>
      <c r="O830" t="s">
        <v>46</v>
      </c>
      <c r="P830" t="s">
        <v>45</v>
      </c>
      <c r="Q830" t="s">
        <v>47</v>
      </c>
      <c r="R830" t="s">
        <v>44</v>
      </c>
      <c r="S830">
        <v>0</v>
      </c>
      <c r="W830" s="3">
        <v>5.7870370370370366E-5</v>
      </c>
      <c r="X830" t="s">
        <v>121</v>
      </c>
      <c r="Y830">
        <v>1</v>
      </c>
      <c r="Z830">
        <v>0</v>
      </c>
      <c r="AA830" t="s">
        <v>49</v>
      </c>
      <c r="AB830">
        <v>0</v>
      </c>
      <c r="AC830" t="s">
        <v>49</v>
      </c>
      <c r="AD830">
        <v>0</v>
      </c>
      <c r="AE830">
        <v>10981372</v>
      </c>
      <c r="AF830" t="s">
        <v>50</v>
      </c>
      <c r="AG830" t="s">
        <v>388</v>
      </c>
    </row>
    <row r="831" spans="1:33" x14ac:dyDescent="0.35">
      <c r="A831" s="1">
        <v>44888.892361111109</v>
      </c>
      <c r="B831">
        <v>1751071</v>
      </c>
      <c r="C831" t="s">
        <v>1938</v>
      </c>
      <c r="D831" t="s">
        <v>497</v>
      </c>
      <c r="E831" s="2">
        <v>40983</v>
      </c>
      <c r="F831" t="str">
        <f>"9781441189509"</f>
        <v>9781441189509</v>
      </c>
      <c r="G831" t="str">
        <f>"9781441119872"</f>
        <v>9781441119872</v>
      </c>
      <c r="H831" t="s">
        <v>1939</v>
      </c>
      <c r="I831" t="s">
        <v>1940</v>
      </c>
      <c r="J831" t="s">
        <v>1941</v>
      </c>
      <c r="K831" t="s">
        <v>44</v>
      </c>
      <c r="N831" t="s">
        <v>45</v>
      </c>
      <c r="O831" t="s">
        <v>46</v>
      </c>
      <c r="P831" t="s">
        <v>45</v>
      </c>
      <c r="Q831" t="s">
        <v>47</v>
      </c>
      <c r="R831" t="s">
        <v>44</v>
      </c>
      <c r="S831">
        <v>0</v>
      </c>
      <c r="W831" s="3">
        <v>7.407407407407407E-4</v>
      </c>
      <c r="X831" t="s">
        <v>1995</v>
      </c>
      <c r="Y831">
        <v>6</v>
      </c>
      <c r="Z831">
        <v>0</v>
      </c>
      <c r="AA831" t="s">
        <v>49</v>
      </c>
      <c r="AB831">
        <v>0</v>
      </c>
      <c r="AC831" t="s">
        <v>49</v>
      </c>
      <c r="AD831">
        <v>0</v>
      </c>
      <c r="AE831">
        <v>10867528</v>
      </c>
      <c r="AF831" t="s">
        <v>50</v>
      </c>
      <c r="AG831" t="s">
        <v>388</v>
      </c>
    </row>
    <row r="832" spans="1:33" x14ac:dyDescent="0.35">
      <c r="A832" s="1">
        <v>44888.79791666667</v>
      </c>
      <c r="B832">
        <v>661647</v>
      </c>
      <c r="C832" t="s">
        <v>1928</v>
      </c>
      <c r="D832" t="s">
        <v>59</v>
      </c>
      <c r="E832" s="2">
        <v>41995</v>
      </c>
      <c r="F832" t="str">
        <f>"9780470602621"</f>
        <v>9780470602621</v>
      </c>
      <c r="G832" t="str">
        <f>"9780470167786"</f>
        <v>9780470167786</v>
      </c>
      <c r="H832" t="s">
        <v>1929</v>
      </c>
      <c r="I832" t="s">
        <v>1930</v>
      </c>
      <c r="J832" t="s">
        <v>1931</v>
      </c>
      <c r="K832" t="s">
        <v>44</v>
      </c>
      <c r="N832" t="s">
        <v>45</v>
      </c>
      <c r="O832" t="s">
        <v>46</v>
      </c>
      <c r="P832" t="s">
        <v>45</v>
      </c>
      <c r="Q832" t="s">
        <v>47</v>
      </c>
      <c r="R832" t="s">
        <v>44</v>
      </c>
      <c r="S832">
        <v>0</v>
      </c>
      <c r="W832" s="3">
        <v>1.2708333333333334E-2</v>
      </c>
      <c r="X832" t="s">
        <v>1996</v>
      </c>
      <c r="Y832">
        <v>15</v>
      </c>
      <c r="Z832">
        <v>0</v>
      </c>
      <c r="AA832" t="s">
        <v>49</v>
      </c>
      <c r="AB832">
        <v>0</v>
      </c>
      <c r="AC832" t="s">
        <v>49</v>
      </c>
      <c r="AD832">
        <v>0</v>
      </c>
      <c r="AE832">
        <v>10510261</v>
      </c>
      <c r="AF832" t="s">
        <v>50</v>
      </c>
      <c r="AG832" t="s">
        <v>1500</v>
      </c>
    </row>
    <row r="833" spans="1:33" x14ac:dyDescent="0.35">
      <c r="A833" s="1">
        <v>44888.79791666667</v>
      </c>
      <c r="B833">
        <v>3018135</v>
      </c>
      <c r="C833" t="s">
        <v>1997</v>
      </c>
      <c r="D833" t="s">
        <v>137</v>
      </c>
      <c r="E833" s="2">
        <v>41179</v>
      </c>
      <c r="F833" t="str">
        <f>"9781614708452"</f>
        <v>9781614708452</v>
      </c>
      <c r="G833" t="str">
        <f>"9781614708261"</f>
        <v>9781614708261</v>
      </c>
      <c r="H833" t="s">
        <v>945</v>
      </c>
      <c r="I833">
        <v>671.73199999999997</v>
      </c>
      <c r="J833" t="s">
        <v>1998</v>
      </c>
      <c r="K833" t="s">
        <v>44</v>
      </c>
      <c r="N833" t="s">
        <v>45</v>
      </c>
      <c r="O833" t="s">
        <v>46</v>
      </c>
      <c r="P833" t="s">
        <v>177</v>
      </c>
      <c r="Q833" t="s">
        <v>47</v>
      </c>
      <c r="R833" t="s">
        <v>55</v>
      </c>
      <c r="S833">
        <v>0</v>
      </c>
      <c r="W833" s="3">
        <v>4.4803240740740741E-2</v>
      </c>
      <c r="X833" t="s">
        <v>1999</v>
      </c>
      <c r="Y833">
        <v>22</v>
      </c>
      <c r="Z833">
        <v>0</v>
      </c>
      <c r="AA833" t="s">
        <v>49</v>
      </c>
      <c r="AB833">
        <v>0</v>
      </c>
      <c r="AC833" t="s">
        <v>49</v>
      </c>
      <c r="AD833">
        <v>0</v>
      </c>
      <c r="AE833">
        <v>10659057</v>
      </c>
      <c r="AF833" t="s">
        <v>50</v>
      </c>
      <c r="AG833" t="s">
        <v>1500</v>
      </c>
    </row>
    <row r="834" spans="1:33" x14ac:dyDescent="0.35">
      <c r="A834" s="1">
        <v>44888.788194444445</v>
      </c>
      <c r="B834">
        <v>5969438</v>
      </c>
      <c r="C834" t="s">
        <v>917</v>
      </c>
      <c r="D834" t="s">
        <v>105</v>
      </c>
      <c r="E834" s="2">
        <v>43780</v>
      </c>
      <c r="F834" t="str">
        <f>"9783030244408"</f>
        <v>9783030244408</v>
      </c>
      <c r="G834" t="str">
        <f>"9783030244392"</f>
        <v>9783030244392</v>
      </c>
      <c r="H834" t="s">
        <v>918</v>
      </c>
      <c r="I834">
        <v>669.94</v>
      </c>
      <c r="J834" t="s">
        <v>919</v>
      </c>
      <c r="K834" t="s">
        <v>55</v>
      </c>
      <c r="Q834" t="s">
        <v>47</v>
      </c>
      <c r="R834" t="s">
        <v>44</v>
      </c>
      <c r="S834">
        <v>0</v>
      </c>
      <c r="W834" s="3">
        <v>3.1944444444444442E-3</v>
      </c>
      <c r="X834" t="s">
        <v>2000</v>
      </c>
      <c r="Y834">
        <v>23</v>
      </c>
      <c r="Z834">
        <v>0</v>
      </c>
      <c r="AA834" t="s">
        <v>49</v>
      </c>
      <c r="AB834">
        <v>0</v>
      </c>
      <c r="AC834" t="s">
        <v>49</v>
      </c>
      <c r="AD834">
        <v>0</v>
      </c>
      <c r="AE834">
        <v>-1</v>
      </c>
      <c r="AF834" t="s">
        <v>63</v>
      </c>
      <c r="AG834" t="s">
        <v>122</v>
      </c>
    </row>
    <row r="835" spans="1:33" x14ac:dyDescent="0.35">
      <c r="A835" s="1">
        <v>44888.779861111114</v>
      </c>
      <c r="B835">
        <v>1869258</v>
      </c>
      <c r="C835" t="s">
        <v>1987</v>
      </c>
      <c r="D835" t="s">
        <v>371</v>
      </c>
      <c r="E835" s="2">
        <v>40016</v>
      </c>
      <c r="F835" t="str">
        <f>"9783038133216"</f>
        <v>9783038133216</v>
      </c>
      <c r="G835" t="str">
        <f>"9780878491520"</f>
        <v>9780878491520</v>
      </c>
      <c r="H835" t="s">
        <v>546</v>
      </c>
      <c r="I835">
        <v>621.31242999999995</v>
      </c>
      <c r="K835" t="s">
        <v>44</v>
      </c>
      <c r="N835" t="s">
        <v>45</v>
      </c>
      <c r="O835" t="s">
        <v>46</v>
      </c>
      <c r="P835" t="s">
        <v>45</v>
      </c>
      <c r="Q835" t="s">
        <v>47</v>
      </c>
      <c r="R835" t="s">
        <v>44</v>
      </c>
      <c r="S835">
        <v>0</v>
      </c>
      <c r="W835" s="3">
        <v>2.0601851851851853E-3</v>
      </c>
      <c r="X835" t="s">
        <v>2001</v>
      </c>
      <c r="Y835">
        <v>16</v>
      </c>
      <c r="Z835">
        <v>0</v>
      </c>
      <c r="AA835" t="s">
        <v>49</v>
      </c>
      <c r="AB835">
        <v>0</v>
      </c>
      <c r="AC835" t="s">
        <v>49</v>
      </c>
      <c r="AD835">
        <v>0</v>
      </c>
      <c r="AE835">
        <v>10906066</v>
      </c>
      <c r="AF835" t="s">
        <v>50</v>
      </c>
      <c r="AG835" t="s">
        <v>388</v>
      </c>
    </row>
    <row r="836" spans="1:33" x14ac:dyDescent="0.35">
      <c r="A836" s="1">
        <v>44888.777777777781</v>
      </c>
      <c r="B836">
        <v>6460382</v>
      </c>
      <c r="C836" t="s">
        <v>1703</v>
      </c>
      <c r="D836" t="s">
        <v>65</v>
      </c>
      <c r="E836" s="2">
        <v>44218</v>
      </c>
      <c r="F836" t="str">
        <f>"9780128199169"</f>
        <v>9780128199169</v>
      </c>
      <c r="G836" t="str">
        <f>"9780128185353"</f>
        <v>9780128185353</v>
      </c>
      <c r="H836" t="s">
        <v>546</v>
      </c>
      <c r="I836">
        <v>621.31242999999995</v>
      </c>
      <c r="J836" t="s">
        <v>1704</v>
      </c>
      <c r="K836" t="s">
        <v>55</v>
      </c>
      <c r="Q836" t="s">
        <v>47</v>
      </c>
      <c r="R836" t="s">
        <v>44</v>
      </c>
      <c r="S836">
        <v>0</v>
      </c>
      <c r="W836" s="3">
        <v>1.689814814814815E-3</v>
      </c>
      <c r="X836" t="s">
        <v>2002</v>
      </c>
      <c r="Y836">
        <v>15</v>
      </c>
      <c r="Z836">
        <v>0</v>
      </c>
      <c r="AA836" t="s">
        <v>49</v>
      </c>
      <c r="AB836">
        <v>0</v>
      </c>
      <c r="AC836" t="s">
        <v>49</v>
      </c>
      <c r="AD836">
        <v>0</v>
      </c>
      <c r="AE836">
        <v>-1</v>
      </c>
      <c r="AF836" t="s">
        <v>50</v>
      </c>
      <c r="AG836" t="s">
        <v>388</v>
      </c>
    </row>
    <row r="837" spans="1:33" x14ac:dyDescent="0.35">
      <c r="A837" s="1">
        <v>44888.594444444447</v>
      </c>
      <c r="B837">
        <v>430400</v>
      </c>
      <c r="C837" t="s">
        <v>2003</v>
      </c>
      <c r="D837" t="s">
        <v>125</v>
      </c>
      <c r="E837" s="2">
        <v>38939</v>
      </c>
      <c r="F837" t="str">
        <f>"9780191524400"</f>
        <v>9780191524400</v>
      </c>
      <c r="G837" t="str">
        <f>"9780198567707"</f>
        <v>9780198567707</v>
      </c>
      <c r="H837" t="s">
        <v>585</v>
      </c>
      <c r="I837">
        <v>536</v>
      </c>
      <c r="J837" t="s">
        <v>2004</v>
      </c>
      <c r="K837" t="s">
        <v>44</v>
      </c>
      <c r="N837" t="s">
        <v>45</v>
      </c>
      <c r="O837" t="s">
        <v>46</v>
      </c>
      <c r="P837" t="s">
        <v>45</v>
      </c>
      <c r="Q837" t="s">
        <v>47</v>
      </c>
      <c r="R837" t="s">
        <v>44</v>
      </c>
      <c r="S837">
        <v>0</v>
      </c>
      <c r="W837" s="3">
        <v>3.5879629629629635E-4</v>
      </c>
      <c r="X837" t="s">
        <v>2005</v>
      </c>
      <c r="Y837">
        <v>7</v>
      </c>
      <c r="Z837">
        <v>0</v>
      </c>
      <c r="AA837" t="s">
        <v>49</v>
      </c>
      <c r="AB837">
        <v>0</v>
      </c>
      <c r="AC837" t="s">
        <v>49</v>
      </c>
      <c r="AD837">
        <v>0</v>
      </c>
      <c r="AE837">
        <v>10233678</v>
      </c>
      <c r="AF837" t="s">
        <v>50</v>
      </c>
      <c r="AG837" t="s">
        <v>388</v>
      </c>
    </row>
    <row r="838" spans="1:33" x14ac:dyDescent="0.35">
      <c r="A838" s="1">
        <v>44888.576388888891</v>
      </c>
      <c r="B838">
        <v>165398</v>
      </c>
      <c r="C838" t="s">
        <v>1983</v>
      </c>
      <c r="D838" t="s">
        <v>76</v>
      </c>
      <c r="E838" s="2">
        <v>35999</v>
      </c>
      <c r="F838" t="str">
        <f>"9780203017432"</f>
        <v>9780203017432</v>
      </c>
      <c r="G838" t="str">
        <f>"9780415061322"</f>
        <v>9780415061322</v>
      </c>
      <c r="H838" t="s">
        <v>1984</v>
      </c>
      <c r="I838">
        <v>909.09749269999998</v>
      </c>
      <c r="J838" t="s">
        <v>1985</v>
      </c>
      <c r="K838" t="s">
        <v>44</v>
      </c>
      <c r="N838" t="s">
        <v>45</v>
      </c>
      <c r="O838" t="s">
        <v>46</v>
      </c>
      <c r="P838" t="s">
        <v>45</v>
      </c>
      <c r="Q838" t="s">
        <v>47</v>
      </c>
      <c r="R838" t="s">
        <v>44</v>
      </c>
      <c r="S838">
        <v>0</v>
      </c>
      <c r="W838" s="3">
        <v>2.1759259259259258E-3</v>
      </c>
      <c r="X838" t="s">
        <v>2006</v>
      </c>
      <c r="Y838">
        <v>12</v>
      </c>
      <c r="Z838">
        <v>0</v>
      </c>
      <c r="AA838" t="s">
        <v>49</v>
      </c>
      <c r="AB838">
        <v>0</v>
      </c>
      <c r="AC838" t="s">
        <v>49</v>
      </c>
      <c r="AD838">
        <v>0</v>
      </c>
      <c r="AE838">
        <v>10017085</v>
      </c>
      <c r="AF838" t="s">
        <v>50</v>
      </c>
      <c r="AG838" t="s">
        <v>835</v>
      </c>
    </row>
    <row r="839" spans="1:33" x14ac:dyDescent="0.35">
      <c r="A839" s="1">
        <v>44888.415972222225</v>
      </c>
      <c r="B839">
        <v>5719694</v>
      </c>
      <c r="C839" t="s">
        <v>1661</v>
      </c>
      <c r="D839" t="s">
        <v>65</v>
      </c>
      <c r="E839" s="2">
        <v>43522</v>
      </c>
      <c r="F839" t="str">
        <f>"9780128182550"</f>
        <v>9780128182550</v>
      </c>
      <c r="G839" t="str">
        <f>"9780081026311"</f>
        <v>9780081026311</v>
      </c>
      <c r="H839" t="s">
        <v>1662</v>
      </c>
      <c r="I839" t="s">
        <v>1663</v>
      </c>
      <c r="J839" t="s">
        <v>1664</v>
      </c>
      <c r="K839" t="s">
        <v>55</v>
      </c>
      <c r="Q839" t="s">
        <v>47</v>
      </c>
      <c r="R839" t="s">
        <v>44</v>
      </c>
      <c r="S839">
        <v>0</v>
      </c>
      <c r="W839" s="3">
        <v>6.9444444444444444E-5</v>
      </c>
      <c r="X839" t="s">
        <v>2007</v>
      </c>
      <c r="Y839">
        <v>1</v>
      </c>
      <c r="Z839">
        <v>0</v>
      </c>
      <c r="AA839" t="s">
        <v>49</v>
      </c>
      <c r="AB839">
        <v>0</v>
      </c>
      <c r="AC839" t="s">
        <v>49</v>
      </c>
      <c r="AD839">
        <v>0</v>
      </c>
      <c r="AE839">
        <v>11656711</v>
      </c>
      <c r="AF839" t="s">
        <v>50</v>
      </c>
      <c r="AG839" t="s">
        <v>1160</v>
      </c>
    </row>
    <row r="840" spans="1:33" x14ac:dyDescent="0.35">
      <c r="A840" s="1">
        <v>44888.345138888886</v>
      </c>
      <c r="B840">
        <v>5746966</v>
      </c>
      <c r="C840" t="s">
        <v>2008</v>
      </c>
      <c r="D840" t="s">
        <v>537</v>
      </c>
      <c r="E840" s="2">
        <v>43677</v>
      </c>
      <c r="F840" t="str">
        <f>"9780429512599"</f>
        <v>9780429512599</v>
      </c>
      <c r="G840" t="str">
        <f>"9789814800556"</f>
        <v>9789814800556</v>
      </c>
      <c r="H840" t="s">
        <v>542</v>
      </c>
      <c r="I840">
        <v>621.38099999999997</v>
      </c>
      <c r="J840" t="s">
        <v>2009</v>
      </c>
      <c r="K840" t="s">
        <v>55</v>
      </c>
      <c r="Q840" t="s">
        <v>47</v>
      </c>
      <c r="R840" t="s">
        <v>44</v>
      </c>
      <c r="S840">
        <v>0</v>
      </c>
      <c r="W840" s="3">
        <v>3.9351851851851852E-4</v>
      </c>
      <c r="X840" t="s">
        <v>2010</v>
      </c>
      <c r="Y840">
        <v>4</v>
      </c>
      <c r="Z840">
        <v>0</v>
      </c>
      <c r="AA840" t="s">
        <v>49</v>
      </c>
      <c r="AB840">
        <v>0</v>
      </c>
      <c r="AC840" t="s">
        <v>49</v>
      </c>
      <c r="AD840">
        <v>0</v>
      </c>
      <c r="AE840">
        <v>-1</v>
      </c>
      <c r="AF840" t="s">
        <v>50</v>
      </c>
      <c r="AG840" t="s">
        <v>1160</v>
      </c>
    </row>
    <row r="841" spans="1:33" x14ac:dyDescent="0.35">
      <c r="A841" s="1">
        <v>44888.302083333336</v>
      </c>
      <c r="B841">
        <v>6798536</v>
      </c>
      <c r="C841" t="s">
        <v>2011</v>
      </c>
      <c r="D841" t="s">
        <v>76</v>
      </c>
      <c r="E841" s="2">
        <v>43600</v>
      </c>
      <c r="F841" t="str">
        <f>"9780429680885"</f>
        <v>9780429680885</v>
      </c>
      <c r="G841" t="str">
        <f>"9780367023782"</f>
        <v>9780367023782</v>
      </c>
      <c r="H841" t="s">
        <v>77</v>
      </c>
      <c r="I841" t="s">
        <v>628</v>
      </c>
      <c r="J841" t="s">
        <v>2012</v>
      </c>
      <c r="K841" t="s">
        <v>55</v>
      </c>
      <c r="Q841" t="s">
        <v>47</v>
      </c>
      <c r="R841" t="s">
        <v>44</v>
      </c>
      <c r="S841">
        <v>0</v>
      </c>
      <c r="W841" s="3">
        <v>5.115740740740741E-3</v>
      </c>
      <c r="X841" t="s">
        <v>2013</v>
      </c>
      <c r="Y841">
        <v>17</v>
      </c>
      <c r="Z841">
        <v>0</v>
      </c>
      <c r="AA841" t="s">
        <v>49</v>
      </c>
      <c r="AB841">
        <v>0</v>
      </c>
      <c r="AC841" t="s">
        <v>49</v>
      </c>
      <c r="AD841">
        <v>0</v>
      </c>
      <c r="AE841">
        <v>-1</v>
      </c>
      <c r="AF841" t="s">
        <v>50</v>
      </c>
      <c r="AG841" t="s">
        <v>388</v>
      </c>
    </row>
    <row r="842" spans="1:33" x14ac:dyDescent="0.35">
      <c r="A842" s="1">
        <v>44888.218055555553</v>
      </c>
      <c r="B842">
        <v>5092525</v>
      </c>
      <c r="C842" t="s">
        <v>695</v>
      </c>
      <c r="D842" t="s">
        <v>696</v>
      </c>
      <c r="E842" s="2">
        <v>41683</v>
      </c>
      <c r="F842" t="str">
        <f>"9781909453692"</f>
        <v>9781909453692</v>
      </c>
      <c r="G842" t="str">
        <f>"9781909453715"</f>
        <v>9781909453715</v>
      </c>
      <c r="H842" t="s">
        <v>77</v>
      </c>
      <c r="I842">
        <v>610.28</v>
      </c>
      <c r="J842" t="s">
        <v>697</v>
      </c>
      <c r="K842" t="s">
        <v>44</v>
      </c>
      <c r="N842" t="s">
        <v>45</v>
      </c>
      <c r="O842" t="s">
        <v>46</v>
      </c>
      <c r="P842" t="s">
        <v>45</v>
      </c>
      <c r="Q842" t="s">
        <v>47</v>
      </c>
      <c r="R842" t="s">
        <v>44</v>
      </c>
      <c r="S842">
        <v>0</v>
      </c>
      <c r="W842" s="3">
        <v>7.3379629629629628E-3</v>
      </c>
      <c r="X842" t="s">
        <v>2014</v>
      </c>
      <c r="Y842">
        <v>12</v>
      </c>
      <c r="Z842">
        <v>1</v>
      </c>
      <c r="AA842" t="s">
        <v>1786</v>
      </c>
      <c r="AB842">
        <v>24</v>
      </c>
      <c r="AC842" t="s">
        <v>1025</v>
      </c>
      <c r="AD842">
        <v>1</v>
      </c>
      <c r="AE842">
        <v>11451412</v>
      </c>
      <c r="AF842" t="s">
        <v>63</v>
      </c>
      <c r="AG842" t="s">
        <v>388</v>
      </c>
    </row>
    <row r="843" spans="1:33" x14ac:dyDescent="0.35">
      <c r="A843" s="1">
        <v>44888.189583333333</v>
      </c>
      <c r="B843">
        <v>5477806</v>
      </c>
      <c r="C843" t="s">
        <v>2015</v>
      </c>
      <c r="D843" t="s">
        <v>105</v>
      </c>
      <c r="E843" s="2">
        <v>43319</v>
      </c>
      <c r="F843" t="str">
        <f>"9783319609850"</f>
        <v>9783319609850</v>
      </c>
      <c r="G843" t="str">
        <f>"9783319609843"</f>
        <v>9783319609843</v>
      </c>
      <c r="H843" t="s">
        <v>348</v>
      </c>
      <c r="I843">
        <v>909.09749270831196</v>
      </c>
      <c r="J843" t="s">
        <v>451</v>
      </c>
      <c r="K843" t="s">
        <v>55</v>
      </c>
      <c r="Q843" t="s">
        <v>47</v>
      </c>
      <c r="R843" t="s">
        <v>44</v>
      </c>
      <c r="S843">
        <v>0</v>
      </c>
      <c r="W843" s="3">
        <v>6.3657407407407402E-4</v>
      </c>
      <c r="X843" t="s">
        <v>2016</v>
      </c>
      <c r="Y843">
        <v>7</v>
      </c>
      <c r="Z843">
        <v>0</v>
      </c>
      <c r="AA843" t="s">
        <v>49</v>
      </c>
      <c r="AB843">
        <v>0</v>
      </c>
      <c r="AC843" t="s">
        <v>49</v>
      </c>
      <c r="AD843">
        <v>0</v>
      </c>
      <c r="AE843">
        <v>11596460</v>
      </c>
      <c r="AF843" t="s">
        <v>50</v>
      </c>
      <c r="AG843" t="s">
        <v>388</v>
      </c>
    </row>
    <row r="844" spans="1:33" x14ac:dyDescent="0.35">
      <c r="A844" s="1">
        <v>44888.188194444447</v>
      </c>
      <c r="B844">
        <v>6229183</v>
      </c>
      <c r="C844" t="s">
        <v>2017</v>
      </c>
      <c r="D844" t="s">
        <v>2018</v>
      </c>
      <c r="E844" s="2">
        <v>44044</v>
      </c>
      <c r="F844" t="str">
        <f>"9781909942493"</f>
        <v>9781909942493</v>
      </c>
      <c r="G844" t="str">
        <f>"9781909942486"</f>
        <v>9781909942486</v>
      </c>
      <c r="H844" t="s">
        <v>342</v>
      </c>
      <c r="I844">
        <v>909.09749270831196</v>
      </c>
      <c r="J844" t="s">
        <v>2019</v>
      </c>
      <c r="K844" t="s">
        <v>55</v>
      </c>
      <c r="Q844" t="s">
        <v>47</v>
      </c>
      <c r="R844" t="s">
        <v>44</v>
      </c>
      <c r="S844">
        <v>0</v>
      </c>
      <c r="W844" s="3">
        <v>7.407407407407407E-4</v>
      </c>
      <c r="X844" t="s">
        <v>2020</v>
      </c>
      <c r="Y844">
        <v>6</v>
      </c>
      <c r="Z844">
        <v>0</v>
      </c>
      <c r="AA844" t="s">
        <v>49</v>
      </c>
      <c r="AB844">
        <v>0</v>
      </c>
      <c r="AC844" t="s">
        <v>49</v>
      </c>
      <c r="AD844">
        <v>0</v>
      </c>
      <c r="AE844">
        <v>-1</v>
      </c>
      <c r="AF844" t="s">
        <v>50</v>
      </c>
      <c r="AG844" t="s">
        <v>388</v>
      </c>
    </row>
    <row r="845" spans="1:33" x14ac:dyDescent="0.35">
      <c r="A845" s="1">
        <v>44888.186805555553</v>
      </c>
      <c r="B845">
        <v>1810308</v>
      </c>
      <c r="C845" t="s">
        <v>2021</v>
      </c>
      <c r="D845" t="s">
        <v>2022</v>
      </c>
      <c r="E845" s="2">
        <v>41458</v>
      </c>
      <c r="F845" t="str">
        <f>"9781443868747"</f>
        <v>9781443868747</v>
      </c>
      <c r="G845" t="str">
        <f>"9781443847148"</f>
        <v>9781443847148</v>
      </c>
      <c r="H845" t="s">
        <v>337</v>
      </c>
      <c r="I845" t="s">
        <v>2023</v>
      </c>
      <c r="J845" t="s">
        <v>2024</v>
      </c>
      <c r="K845" t="s">
        <v>44</v>
      </c>
      <c r="N845" t="s">
        <v>45</v>
      </c>
      <c r="O845" t="s">
        <v>46</v>
      </c>
      <c r="P845" t="s">
        <v>45</v>
      </c>
      <c r="Q845" t="s">
        <v>47</v>
      </c>
      <c r="R845" t="s">
        <v>44</v>
      </c>
      <c r="S845">
        <v>0</v>
      </c>
      <c r="W845" s="3">
        <v>8.7962962962962962E-4</v>
      </c>
      <c r="X845" t="s">
        <v>2025</v>
      </c>
      <c r="Y845">
        <v>12</v>
      </c>
      <c r="Z845">
        <v>0</v>
      </c>
      <c r="AA845" t="s">
        <v>49</v>
      </c>
      <c r="AB845">
        <v>0</v>
      </c>
      <c r="AC845" t="s">
        <v>49</v>
      </c>
      <c r="AD845">
        <v>0</v>
      </c>
      <c r="AE845">
        <v>10949396</v>
      </c>
      <c r="AF845" t="s">
        <v>50</v>
      </c>
      <c r="AG845" t="s">
        <v>388</v>
      </c>
    </row>
    <row r="846" spans="1:33" x14ac:dyDescent="0.35">
      <c r="A846" s="1">
        <v>44888.109027777777</v>
      </c>
      <c r="B846">
        <v>144768</v>
      </c>
      <c r="C846" t="s">
        <v>1748</v>
      </c>
      <c r="D846" t="s">
        <v>502</v>
      </c>
      <c r="E846" s="2">
        <v>36720</v>
      </c>
      <c r="F846" t="str">
        <f>"9780511151118"</f>
        <v>9780511151118</v>
      </c>
      <c r="G846" t="str">
        <f>"9780521772303"</f>
        <v>9780521772303</v>
      </c>
      <c r="H846" t="s">
        <v>1069</v>
      </c>
      <c r="I846">
        <v>892.70899999999995</v>
      </c>
      <c r="J846" t="s">
        <v>1749</v>
      </c>
      <c r="K846" t="s">
        <v>44</v>
      </c>
      <c r="N846" t="s">
        <v>45</v>
      </c>
      <c r="O846" t="s">
        <v>46</v>
      </c>
      <c r="P846" t="s">
        <v>45</v>
      </c>
      <c r="Q846" t="s">
        <v>47</v>
      </c>
      <c r="R846" t="s">
        <v>44</v>
      </c>
      <c r="S846">
        <v>0</v>
      </c>
      <c r="W846" s="3">
        <v>4.0509259259259258E-4</v>
      </c>
      <c r="X846" t="s">
        <v>205</v>
      </c>
      <c r="Y846">
        <v>2</v>
      </c>
      <c r="Z846">
        <v>0</v>
      </c>
      <c r="AA846" t="s">
        <v>49</v>
      </c>
      <c r="AB846">
        <v>0</v>
      </c>
      <c r="AC846" t="s">
        <v>49</v>
      </c>
      <c r="AD846">
        <v>0</v>
      </c>
      <c r="AE846">
        <v>10014925</v>
      </c>
      <c r="AF846" t="s">
        <v>50</v>
      </c>
      <c r="AG846" t="s">
        <v>122</v>
      </c>
    </row>
    <row r="847" spans="1:33" x14ac:dyDescent="0.35">
      <c r="A847" s="1">
        <v>44888.109027777777</v>
      </c>
      <c r="B847">
        <v>271889</v>
      </c>
      <c r="C847" t="s">
        <v>1729</v>
      </c>
      <c r="D847" t="s">
        <v>507</v>
      </c>
      <c r="E847" s="2">
        <v>38918</v>
      </c>
      <c r="F847" t="str">
        <f>"9780748627240"</f>
        <v>9780748627240</v>
      </c>
      <c r="G847" t="str">
        <f>"9780748612918"</f>
        <v>9780748612918</v>
      </c>
      <c r="H847" t="s">
        <v>1069</v>
      </c>
      <c r="I847" t="s">
        <v>1730</v>
      </c>
      <c r="J847" t="s">
        <v>1731</v>
      </c>
      <c r="K847" t="s">
        <v>44</v>
      </c>
      <c r="N847" t="s">
        <v>45</v>
      </c>
      <c r="O847" t="s">
        <v>46</v>
      </c>
      <c r="P847" t="s">
        <v>45</v>
      </c>
      <c r="Q847" t="s">
        <v>47</v>
      </c>
      <c r="R847" t="s">
        <v>44</v>
      </c>
      <c r="S847">
        <v>0</v>
      </c>
      <c r="W847" s="3">
        <v>1.4097222222222221E-2</v>
      </c>
      <c r="X847" t="s">
        <v>196</v>
      </c>
      <c r="Y847">
        <v>2</v>
      </c>
      <c r="Z847">
        <v>0</v>
      </c>
      <c r="AA847" t="s">
        <v>49</v>
      </c>
      <c r="AB847">
        <v>0</v>
      </c>
      <c r="AC847" t="s">
        <v>49</v>
      </c>
      <c r="AD847">
        <v>0</v>
      </c>
      <c r="AE847">
        <v>10137883</v>
      </c>
      <c r="AF847" t="s">
        <v>50</v>
      </c>
      <c r="AG847" t="s">
        <v>122</v>
      </c>
    </row>
    <row r="848" spans="1:33" x14ac:dyDescent="0.35">
      <c r="A848" s="1">
        <v>44888.070138888892</v>
      </c>
      <c r="B848">
        <v>6460382</v>
      </c>
      <c r="C848" t="s">
        <v>1703</v>
      </c>
      <c r="D848" t="s">
        <v>65</v>
      </c>
      <c r="E848" s="2">
        <v>44218</v>
      </c>
      <c r="F848" t="str">
        <f>"9780128199169"</f>
        <v>9780128199169</v>
      </c>
      <c r="G848" t="str">
        <f>"9780128185353"</f>
        <v>9780128185353</v>
      </c>
      <c r="H848" t="s">
        <v>546</v>
      </c>
      <c r="I848">
        <v>621.31242999999995</v>
      </c>
      <c r="J848" t="s">
        <v>1704</v>
      </c>
      <c r="K848" t="s">
        <v>55</v>
      </c>
      <c r="Q848" t="s">
        <v>47</v>
      </c>
      <c r="R848" t="s">
        <v>44</v>
      </c>
      <c r="S848">
        <v>0</v>
      </c>
      <c r="W848" s="3">
        <v>3.7037037037037035E-4</v>
      </c>
      <c r="X848" t="s">
        <v>2026</v>
      </c>
      <c r="Y848">
        <v>2</v>
      </c>
      <c r="Z848">
        <v>0</v>
      </c>
      <c r="AA848" t="s">
        <v>49</v>
      </c>
      <c r="AB848">
        <v>0</v>
      </c>
      <c r="AC848" t="s">
        <v>49</v>
      </c>
      <c r="AD848">
        <v>0</v>
      </c>
      <c r="AE848">
        <v>-1</v>
      </c>
      <c r="AF848" t="s">
        <v>50</v>
      </c>
      <c r="AG848" t="s">
        <v>388</v>
      </c>
    </row>
    <row r="849" spans="1:33" x14ac:dyDescent="0.35">
      <c r="A849" s="1">
        <v>44888.063194444447</v>
      </c>
      <c r="B849">
        <v>4708253</v>
      </c>
      <c r="C849" t="s">
        <v>1925</v>
      </c>
      <c r="D849" t="s">
        <v>1926</v>
      </c>
      <c r="E849" s="2">
        <v>41039</v>
      </c>
      <c r="F849" t="str">
        <f>"9781780322261"</f>
        <v>9781780322261</v>
      </c>
      <c r="G849" t="str">
        <f>"9781780322247"</f>
        <v>9781780322247</v>
      </c>
      <c r="H849" t="s">
        <v>348</v>
      </c>
      <c r="I849">
        <v>909.09749270831105</v>
      </c>
      <c r="J849" t="s">
        <v>1927</v>
      </c>
      <c r="K849" t="s">
        <v>55</v>
      </c>
      <c r="P849" t="s">
        <v>97</v>
      </c>
      <c r="Q849" t="s">
        <v>47</v>
      </c>
      <c r="R849" t="s">
        <v>44</v>
      </c>
      <c r="S849">
        <v>0</v>
      </c>
      <c r="W849" s="3">
        <v>3.414351851851852E-3</v>
      </c>
      <c r="X849" t="s">
        <v>2027</v>
      </c>
      <c r="Y849">
        <v>12</v>
      </c>
      <c r="Z849">
        <v>2</v>
      </c>
      <c r="AA849" t="s">
        <v>2028</v>
      </c>
      <c r="AB849">
        <v>26</v>
      </c>
      <c r="AC849" t="s">
        <v>49</v>
      </c>
      <c r="AD849">
        <v>0</v>
      </c>
      <c r="AE849">
        <v>11275692</v>
      </c>
      <c r="AF849" t="s">
        <v>50</v>
      </c>
      <c r="AG849" t="s">
        <v>388</v>
      </c>
    </row>
    <row r="850" spans="1:33" x14ac:dyDescent="0.35">
      <c r="A850" s="1">
        <v>44888.052777777775</v>
      </c>
      <c r="B850">
        <v>5553653</v>
      </c>
      <c r="C850" t="s">
        <v>2029</v>
      </c>
      <c r="D850" t="s">
        <v>2030</v>
      </c>
      <c r="E850" s="2">
        <v>43617</v>
      </c>
      <c r="F850" t="str">
        <f>"9781633411319"</f>
        <v>9781633411319</v>
      </c>
      <c r="G850" t="str">
        <f>"9781938875182"</f>
        <v>9781938875182</v>
      </c>
      <c r="H850" t="s">
        <v>2031</v>
      </c>
      <c r="I850">
        <v>1.9420972999999999</v>
      </c>
      <c r="J850" t="s">
        <v>2032</v>
      </c>
      <c r="K850" t="s">
        <v>55</v>
      </c>
      <c r="Q850" t="s">
        <v>47</v>
      </c>
      <c r="R850" t="s">
        <v>44</v>
      </c>
      <c r="S850">
        <v>0</v>
      </c>
      <c r="W850" s="3">
        <v>2.0717592592592593E-3</v>
      </c>
      <c r="X850" t="s">
        <v>2033</v>
      </c>
      <c r="Y850">
        <v>4</v>
      </c>
      <c r="Z850">
        <v>0</v>
      </c>
      <c r="AA850" t="s">
        <v>49</v>
      </c>
      <c r="AB850">
        <v>0</v>
      </c>
      <c r="AC850" t="s">
        <v>49</v>
      </c>
      <c r="AD850">
        <v>0</v>
      </c>
      <c r="AE850">
        <v>-1</v>
      </c>
      <c r="AF850" t="s">
        <v>50</v>
      </c>
      <c r="AG850" t="s">
        <v>388</v>
      </c>
    </row>
    <row r="851" spans="1:33" x14ac:dyDescent="0.35">
      <c r="A851" s="1">
        <v>44888.036111111112</v>
      </c>
      <c r="B851">
        <v>5596896</v>
      </c>
      <c r="C851" t="s">
        <v>2034</v>
      </c>
      <c r="D851" t="s">
        <v>59</v>
      </c>
      <c r="E851" s="2">
        <v>43440</v>
      </c>
      <c r="F851" t="str">
        <f>"9781119460312"</f>
        <v>9781119460312</v>
      </c>
      <c r="G851" t="str">
        <f>"9781119460220"</f>
        <v>9781119460220</v>
      </c>
      <c r="H851" t="s">
        <v>1929</v>
      </c>
      <c r="I851">
        <v>677</v>
      </c>
      <c r="K851" t="s">
        <v>44</v>
      </c>
      <c r="N851" t="s">
        <v>45</v>
      </c>
      <c r="O851" t="s">
        <v>46</v>
      </c>
      <c r="P851" t="s">
        <v>45</v>
      </c>
      <c r="Q851" t="s">
        <v>47</v>
      </c>
      <c r="R851" t="s">
        <v>44</v>
      </c>
      <c r="S851">
        <v>0</v>
      </c>
      <c r="W851" s="3">
        <v>1.9351851851851853E-2</v>
      </c>
      <c r="X851" t="s">
        <v>196</v>
      </c>
      <c r="Y851">
        <v>2</v>
      </c>
      <c r="Z851">
        <v>0</v>
      </c>
      <c r="AA851" t="s">
        <v>49</v>
      </c>
      <c r="AB851">
        <v>0</v>
      </c>
      <c r="AC851" t="s">
        <v>49</v>
      </c>
      <c r="AD851">
        <v>0</v>
      </c>
      <c r="AE851">
        <v>-1</v>
      </c>
      <c r="AF851" t="s">
        <v>50</v>
      </c>
      <c r="AG851" t="s">
        <v>388</v>
      </c>
    </row>
    <row r="852" spans="1:33" x14ac:dyDescent="0.35">
      <c r="A852" s="1">
        <v>44888.02847222222</v>
      </c>
      <c r="B852">
        <v>5596896</v>
      </c>
      <c r="C852" t="s">
        <v>2034</v>
      </c>
      <c r="D852" t="s">
        <v>59</v>
      </c>
      <c r="E852" s="2">
        <v>43440</v>
      </c>
      <c r="F852" t="str">
        <f>"9781119460312"</f>
        <v>9781119460312</v>
      </c>
      <c r="G852" t="str">
        <f>"9781119460220"</f>
        <v>9781119460220</v>
      </c>
      <c r="H852" t="s">
        <v>1929</v>
      </c>
      <c r="I852">
        <v>677</v>
      </c>
      <c r="K852" t="s">
        <v>44</v>
      </c>
      <c r="N852" t="s">
        <v>45</v>
      </c>
      <c r="O852" t="s">
        <v>46</v>
      </c>
      <c r="P852" t="s">
        <v>45</v>
      </c>
      <c r="Q852" t="s">
        <v>47</v>
      </c>
      <c r="R852" t="s">
        <v>44</v>
      </c>
      <c r="S852">
        <v>0</v>
      </c>
      <c r="W852" s="3">
        <v>2.9398148148148148E-3</v>
      </c>
      <c r="X852" t="s">
        <v>2035</v>
      </c>
      <c r="Y852">
        <v>10</v>
      </c>
      <c r="Z852">
        <v>0</v>
      </c>
      <c r="AA852" t="s">
        <v>49</v>
      </c>
      <c r="AB852">
        <v>0</v>
      </c>
      <c r="AC852" t="s">
        <v>49</v>
      </c>
      <c r="AD852">
        <v>0</v>
      </c>
      <c r="AE852">
        <v>-1</v>
      </c>
      <c r="AF852" t="s">
        <v>50</v>
      </c>
      <c r="AG852" t="s">
        <v>388</v>
      </c>
    </row>
    <row r="853" spans="1:33" x14ac:dyDescent="0.35">
      <c r="A853" s="1">
        <v>44888.020138888889</v>
      </c>
      <c r="B853">
        <v>4931553</v>
      </c>
      <c r="C853" t="s">
        <v>2036</v>
      </c>
      <c r="D853" t="s">
        <v>156</v>
      </c>
      <c r="E853" s="2">
        <v>42957</v>
      </c>
      <c r="F853" t="str">
        <f>"9780253027061"</f>
        <v>9780253027061</v>
      </c>
      <c r="G853" t="str">
        <f>"9780253026927"</f>
        <v>9780253026927</v>
      </c>
      <c r="H853" t="s">
        <v>2037</v>
      </c>
      <c r="I853">
        <v>1.94</v>
      </c>
      <c r="J853" t="s">
        <v>2038</v>
      </c>
      <c r="K853" t="s">
        <v>44</v>
      </c>
      <c r="N853" t="s">
        <v>45</v>
      </c>
      <c r="O853" t="s">
        <v>46</v>
      </c>
      <c r="P853" t="s">
        <v>45</v>
      </c>
      <c r="Q853" t="s">
        <v>47</v>
      </c>
      <c r="R853" t="s">
        <v>44</v>
      </c>
      <c r="S853">
        <v>0</v>
      </c>
      <c r="W853" s="3">
        <v>3.4722222222222224E-4</v>
      </c>
      <c r="X853" t="s">
        <v>2039</v>
      </c>
      <c r="Y853">
        <v>3</v>
      </c>
      <c r="Z853">
        <v>0</v>
      </c>
      <c r="AA853" t="s">
        <v>49</v>
      </c>
      <c r="AB853">
        <v>0</v>
      </c>
      <c r="AC853" t="s">
        <v>1963</v>
      </c>
      <c r="AD853">
        <v>1</v>
      </c>
      <c r="AE853">
        <v>11419727</v>
      </c>
      <c r="AF853" t="s">
        <v>50</v>
      </c>
      <c r="AG853" t="s">
        <v>388</v>
      </c>
    </row>
    <row r="854" spans="1:33" x14ac:dyDescent="0.35">
      <c r="A854" s="1">
        <v>44887.911111111112</v>
      </c>
      <c r="B854">
        <v>1584456</v>
      </c>
      <c r="C854" t="s">
        <v>2040</v>
      </c>
      <c r="D854" t="s">
        <v>65</v>
      </c>
      <c r="E854" s="2">
        <v>40663</v>
      </c>
      <c r="F854" t="str">
        <f>"9780857092625"</f>
        <v>9780857092625</v>
      </c>
      <c r="G854" t="str">
        <f>"9781845697075"</f>
        <v>9781845697075</v>
      </c>
      <c r="H854" t="s">
        <v>513</v>
      </c>
      <c r="I854">
        <v>620.16319999999996</v>
      </c>
      <c r="J854" t="s">
        <v>2041</v>
      </c>
      <c r="K854" t="s">
        <v>55</v>
      </c>
      <c r="P854" t="s">
        <v>97</v>
      </c>
      <c r="Q854" t="s">
        <v>47</v>
      </c>
      <c r="R854" t="s">
        <v>44</v>
      </c>
      <c r="S854">
        <v>0</v>
      </c>
      <c r="W854" s="3">
        <v>5.7754629629629623E-3</v>
      </c>
      <c r="X854" t="s">
        <v>2042</v>
      </c>
      <c r="Y854">
        <v>25</v>
      </c>
      <c r="Z854">
        <v>0</v>
      </c>
      <c r="AA854" t="s">
        <v>49</v>
      </c>
      <c r="AB854">
        <v>0</v>
      </c>
      <c r="AC854" t="s">
        <v>49</v>
      </c>
      <c r="AD854">
        <v>0</v>
      </c>
      <c r="AE854">
        <v>10654136</v>
      </c>
      <c r="AF854" t="s">
        <v>50</v>
      </c>
      <c r="AG854" t="s">
        <v>388</v>
      </c>
    </row>
    <row r="855" spans="1:33" x14ac:dyDescent="0.35">
      <c r="A855" s="1">
        <v>44887.867361111108</v>
      </c>
      <c r="B855">
        <v>3378755</v>
      </c>
      <c r="C855" t="s">
        <v>2043</v>
      </c>
      <c r="D855" t="s">
        <v>175</v>
      </c>
      <c r="E855" s="2">
        <v>40641</v>
      </c>
      <c r="F855" t="str">
        <f>"9780309176996"</f>
        <v>9780309176996</v>
      </c>
      <c r="G855" t="str">
        <f>"9780309176989"</f>
        <v>9780309176989</v>
      </c>
      <c r="H855" t="s">
        <v>1186</v>
      </c>
      <c r="K855" t="s">
        <v>44</v>
      </c>
      <c r="N855" t="s">
        <v>45</v>
      </c>
      <c r="O855" t="s">
        <v>46</v>
      </c>
      <c r="P855" t="s">
        <v>177</v>
      </c>
      <c r="Q855" t="s">
        <v>47</v>
      </c>
      <c r="R855" t="s">
        <v>55</v>
      </c>
      <c r="S855">
        <v>0</v>
      </c>
      <c r="W855" s="3">
        <v>3.2511574074074075E-2</v>
      </c>
      <c r="X855" t="s">
        <v>2044</v>
      </c>
      <c r="Y855">
        <v>45</v>
      </c>
      <c r="Z855">
        <v>0</v>
      </c>
      <c r="AA855" t="s">
        <v>49</v>
      </c>
      <c r="AB855">
        <v>0</v>
      </c>
      <c r="AC855" t="s">
        <v>49</v>
      </c>
      <c r="AD855">
        <v>0</v>
      </c>
      <c r="AE855">
        <v>10459091</v>
      </c>
      <c r="AF855" t="s">
        <v>50</v>
      </c>
      <c r="AG855" t="s">
        <v>388</v>
      </c>
    </row>
    <row r="856" spans="1:33" x14ac:dyDescent="0.35">
      <c r="A856" s="1">
        <v>44887.784722222219</v>
      </c>
      <c r="B856">
        <v>6020397</v>
      </c>
      <c r="C856" t="s">
        <v>2045</v>
      </c>
      <c r="D856" t="s">
        <v>76</v>
      </c>
      <c r="E856" s="2">
        <v>43852</v>
      </c>
      <c r="F856" t="str">
        <f>"9781000028997"</f>
        <v>9781000028997</v>
      </c>
      <c r="G856" t="str">
        <f>"9780367408039"</f>
        <v>9780367408039</v>
      </c>
      <c r="H856" t="s">
        <v>2046</v>
      </c>
      <c r="I856">
        <v>1</v>
      </c>
      <c r="J856" t="s">
        <v>2047</v>
      </c>
      <c r="K856" t="s">
        <v>55</v>
      </c>
      <c r="Q856" t="s">
        <v>47</v>
      </c>
      <c r="R856" t="s">
        <v>44</v>
      </c>
      <c r="S856">
        <v>0</v>
      </c>
      <c r="W856" s="3">
        <v>4.7453703703703704E-4</v>
      </c>
      <c r="X856" t="s">
        <v>2048</v>
      </c>
      <c r="Y856">
        <v>4</v>
      </c>
      <c r="Z856">
        <v>0</v>
      </c>
      <c r="AA856" t="s">
        <v>49</v>
      </c>
      <c r="AB856">
        <v>0</v>
      </c>
      <c r="AC856" t="s">
        <v>49</v>
      </c>
      <c r="AD856">
        <v>0</v>
      </c>
      <c r="AE856">
        <v>-1</v>
      </c>
      <c r="AF856" t="s">
        <v>50</v>
      </c>
      <c r="AG856" t="s">
        <v>388</v>
      </c>
    </row>
    <row r="857" spans="1:33" x14ac:dyDescent="0.35">
      <c r="A857" s="1">
        <v>44887.677777777775</v>
      </c>
      <c r="B857">
        <v>430400</v>
      </c>
      <c r="C857" t="s">
        <v>2003</v>
      </c>
      <c r="D857" t="s">
        <v>125</v>
      </c>
      <c r="E857" s="2">
        <v>38939</v>
      </c>
      <c r="F857" t="str">
        <f>"9780191524400"</f>
        <v>9780191524400</v>
      </c>
      <c r="G857" t="str">
        <f>"9780198567707"</f>
        <v>9780198567707</v>
      </c>
      <c r="H857" t="s">
        <v>585</v>
      </c>
      <c r="I857">
        <v>536</v>
      </c>
      <c r="J857" t="s">
        <v>2004</v>
      </c>
      <c r="K857" t="s">
        <v>44</v>
      </c>
      <c r="N857" t="s">
        <v>45</v>
      </c>
      <c r="O857" t="s">
        <v>46</v>
      </c>
      <c r="P857" t="s">
        <v>45</v>
      </c>
      <c r="Q857" t="s">
        <v>47</v>
      </c>
      <c r="R857" t="s">
        <v>44</v>
      </c>
      <c r="S857">
        <v>0</v>
      </c>
      <c r="W857" s="3">
        <v>3.7384259259259263E-3</v>
      </c>
      <c r="X857" t="s">
        <v>2049</v>
      </c>
      <c r="Y857">
        <v>10</v>
      </c>
      <c r="Z857">
        <v>0</v>
      </c>
      <c r="AA857" t="s">
        <v>49</v>
      </c>
      <c r="AB857">
        <v>0</v>
      </c>
      <c r="AC857" t="s">
        <v>49</v>
      </c>
      <c r="AD857">
        <v>0</v>
      </c>
      <c r="AE857">
        <v>10233678</v>
      </c>
      <c r="AF857" t="s">
        <v>50</v>
      </c>
      <c r="AG857" t="s">
        <v>388</v>
      </c>
    </row>
    <row r="858" spans="1:33" x14ac:dyDescent="0.35">
      <c r="A858" s="1">
        <v>44887.668749999997</v>
      </c>
      <c r="B858">
        <v>428695</v>
      </c>
      <c r="C858" t="s">
        <v>2050</v>
      </c>
      <c r="D858" t="s">
        <v>329</v>
      </c>
      <c r="E858" s="2">
        <v>39738</v>
      </c>
      <c r="F858" t="str">
        <f>"9780815519768"</f>
        <v>9780815519768</v>
      </c>
      <c r="G858" t="str">
        <f>"9780815515814"</f>
        <v>9780815515814</v>
      </c>
      <c r="H858" t="s">
        <v>116</v>
      </c>
      <c r="I858">
        <v>668.4</v>
      </c>
      <c r="J858" t="s">
        <v>2051</v>
      </c>
      <c r="K858" t="s">
        <v>44</v>
      </c>
      <c r="N858" t="s">
        <v>45</v>
      </c>
      <c r="O858" t="s">
        <v>46</v>
      </c>
      <c r="P858" t="s">
        <v>45</v>
      </c>
      <c r="Q858" t="s">
        <v>47</v>
      </c>
      <c r="R858" t="s">
        <v>44</v>
      </c>
      <c r="S858">
        <v>0</v>
      </c>
      <c r="W858" s="3">
        <v>6.3425925925925915E-3</v>
      </c>
      <c r="X858" t="s">
        <v>2052</v>
      </c>
      <c r="Y858">
        <v>5</v>
      </c>
      <c r="Z858">
        <v>0</v>
      </c>
      <c r="AA858" t="s">
        <v>49</v>
      </c>
      <c r="AB858">
        <v>0</v>
      </c>
      <c r="AC858" t="s">
        <v>49</v>
      </c>
      <c r="AD858">
        <v>0</v>
      </c>
      <c r="AE858">
        <v>10265675</v>
      </c>
      <c r="AF858" t="s">
        <v>50</v>
      </c>
      <c r="AG858" t="s">
        <v>388</v>
      </c>
    </row>
    <row r="859" spans="1:33" x14ac:dyDescent="0.35">
      <c r="A859" s="1">
        <v>44887.636111111111</v>
      </c>
      <c r="B859">
        <v>1173430</v>
      </c>
      <c r="C859" t="s">
        <v>2053</v>
      </c>
      <c r="D859" t="s">
        <v>59</v>
      </c>
      <c r="E859" s="2">
        <v>41435</v>
      </c>
      <c r="F859" t="str">
        <f>"9781118355909"</f>
        <v>9781118355909</v>
      </c>
      <c r="G859" t="str">
        <f>"9781118355923"</f>
        <v>9781118355923</v>
      </c>
      <c r="H859" t="s">
        <v>1040</v>
      </c>
      <c r="I859" t="s">
        <v>2054</v>
      </c>
      <c r="J859" t="s">
        <v>2055</v>
      </c>
      <c r="K859" t="s">
        <v>44</v>
      </c>
      <c r="N859" t="s">
        <v>45</v>
      </c>
      <c r="O859" t="s">
        <v>46</v>
      </c>
      <c r="P859" t="s">
        <v>45</v>
      </c>
      <c r="Q859" t="s">
        <v>47</v>
      </c>
      <c r="R859" t="s">
        <v>44</v>
      </c>
      <c r="S859">
        <v>0</v>
      </c>
      <c r="W859" s="3">
        <v>2.1180555555555553E-3</v>
      </c>
      <c r="X859" t="s">
        <v>2056</v>
      </c>
      <c r="Y859">
        <v>14</v>
      </c>
      <c r="Z859">
        <v>3</v>
      </c>
      <c r="AA859" t="s">
        <v>2057</v>
      </c>
      <c r="AB859">
        <v>78</v>
      </c>
      <c r="AC859" t="s">
        <v>49</v>
      </c>
      <c r="AD859">
        <v>0</v>
      </c>
      <c r="AE859">
        <v>10691472</v>
      </c>
      <c r="AF859" t="s">
        <v>50</v>
      </c>
      <c r="AG859" t="s">
        <v>1160</v>
      </c>
    </row>
    <row r="860" spans="1:33" x14ac:dyDescent="0.35">
      <c r="A860" s="1">
        <v>44887.625694444447</v>
      </c>
      <c r="B860">
        <v>6737878</v>
      </c>
      <c r="C860" t="s">
        <v>2058</v>
      </c>
      <c r="D860" t="s">
        <v>76</v>
      </c>
      <c r="E860" s="2">
        <v>44287</v>
      </c>
      <c r="F860" t="str">
        <f>"9780429882852"</f>
        <v>9780429882852</v>
      </c>
      <c r="G860" t="str">
        <f>"9781138605985"</f>
        <v>9781138605985</v>
      </c>
      <c r="H860" t="s">
        <v>116</v>
      </c>
      <c r="I860">
        <v>660.29949999999997</v>
      </c>
      <c r="J860" t="s">
        <v>2059</v>
      </c>
      <c r="K860" t="s">
        <v>55</v>
      </c>
      <c r="Q860" t="s">
        <v>47</v>
      </c>
      <c r="R860" t="s">
        <v>44</v>
      </c>
      <c r="S860">
        <v>0</v>
      </c>
      <c r="W860" s="3">
        <v>4.1666666666666666E-3</v>
      </c>
      <c r="X860" t="s">
        <v>2060</v>
      </c>
      <c r="Y860">
        <v>23</v>
      </c>
      <c r="Z860">
        <v>0</v>
      </c>
      <c r="AA860" t="s">
        <v>49</v>
      </c>
      <c r="AB860">
        <v>0</v>
      </c>
      <c r="AC860" t="s">
        <v>49</v>
      </c>
      <c r="AD860">
        <v>0</v>
      </c>
      <c r="AE860">
        <v>-1</v>
      </c>
      <c r="AF860" t="s">
        <v>50</v>
      </c>
      <c r="AG860" t="s">
        <v>1160</v>
      </c>
    </row>
    <row r="861" spans="1:33" x14ac:dyDescent="0.35">
      <c r="A861" s="1">
        <v>44887.609027777777</v>
      </c>
      <c r="B861">
        <v>6259633</v>
      </c>
      <c r="C861" t="s">
        <v>2061</v>
      </c>
      <c r="D861" t="s">
        <v>76</v>
      </c>
      <c r="E861" s="2">
        <v>44075</v>
      </c>
      <c r="F861" t="str">
        <f>"9781000096019"</f>
        <v>9781000096019</v>
      </c>
      <c r="G861" t="str">
        <f>"9780367321659"</f>
        <v>9780367321659</v>
      </c>
      <c r="H861" t="s">
        <v>2062</v>
      </c>
      <c r="I861" t="s">
        <v>2063</v>
      </c>
      <c r="J861" t="s">
        <v>2064</v>
      </c>
      <c r="K861" t="s">
        <v>55</v>
      </c>
      <c r="N861" t="s">
        <v>79</v>
      </c>
      <c r="P861" t="s">
        <v>1169</v>
      </c>
      <c r="Q861" t="s">
        <v>47</v>
      </c>
      <c r="R861" t="s">
        <v>44</v>
      </c>
      <c r="S861">
        <v>1</v>
      </c>
      <c r="T861">
        <v>7</v>
      </c>
      <c r="U861" s="1">
        <v>44887.609027777777</v>
      </c>
      <c r="V861" s="1">
        <v>44894.609027777777</v>
      </c>
      <c r="W861" s="3">
        <v>1.1574074074074073E-5</v>
      </c>
      <c r="X861" t="s">
        <v>49</v>
      </c>
      <c r="Y861">
        <v>0</v>
      </c>
      <c r="Z861">
        <v>0</v>
      </c>
      <c r="AA861" t="s">
        <v>49</v>
      </c>
      <c r="AB861">
        <v>0</v>
      </c>
      <c r="AC861" t="s">
        <v>49</v>
      </c>
      <c r="AD861">
        <v>0</v>
      </c>
      <c r="AE861">
        <v>-1</v>
      </c>
      <c r="AF861" t="s">
        <v>63</v>
      </c>
      <c r="AG861" t="s">
        <v>388</v>
      </c>
    </row>
    <row r="862" spans="1:33" x14ac:dyDescent="0.35">
      <c r="A862" s="1">
        <v>44887.6</v>
      </c>
      <c r="B862">
        <v>279494</v>
      </c>
      <c r="C862" t="s">
        <v>1333</v>
      </c>
      <c r="D862" t="s">
        <v>125</v>
      </c>
      <c r="E862" s="2">
        <v>37280</v>
      </c>
      <c r="F862" t="str">
        <f>"9780198032953"</f>
        <v>9780198032953</v>
      </c>
      <c r="G862" t="str">
        <f>"9780195144208"</f>
        <v>9780195144208</v>
      </c>
      <c r="H862" t="s">
        <v>667</v>
      </c>
      <c r="I862" t="s">
        <v>1334</v>
      </c>
      <c r="J862" t="s">
        <v>1335</v>
      </c>
      <c r="K862" t="s">
        <v>44</v>
      </c>
      <c r="N862" t="s">
        <v>45</v>
      </c>
      <c r="O862" t="s">
        <v>46</v>
      </c>
      <c r="P862" t="s">
        <v>45</v>
      </c>
      <c r="Q862" t="s">
        <v>47</v>
      </c>
      <c r="R862" t="s">
        <v>44</v>
      </c>
      <c r="S862">
        <v>0</v>
      </c>
      <c r="W862" s="3">
        <v>5.7870370370370366E-5</v>
      </c>
      <c r="X862" t="s">
        <v>121</v>
      </c>
      <c r="Y862">
        <v>1</v>
      </c>
      <c r="Z862">
        <v>0</v>
      </c>
      <c r="AA862" t="s">
        <v>49</v>
      </c>
      <c r="AB862">
        <v>0</v>
      </c>
      <c r="AC862" t="s">
        <v>49</v>
      </c>
      <c r="AD862">
        <v>0</v>
      </c>
      <c r="AE862">
        <v>11303309</v>
      </c>
      <c r="AF862" t="s">
        <v>50</v>
      </c>
      <c r="AG862" t="s">
        <v>388</v>
      </c>
    </row>
    <row r="863" spans="1:33" x14ac:dyDescent="0.35">
      <c r="A863" s="1">
        <v>44887.580555555556</v>
      </c>
      <c r="B863">
        <v>887131</v>
      </c>
      <c r="C863" t="s">
        <v>1373</v>
      </c>
      <c r="D863" t="s">
        <v>1224</v>
      </c>
      <c r="E863" s="2">
        <v>40983</v>
      </c>
      <c r="F863" t="str">
        <f>"9783110253399"</f>
        <v>9783110253399</v>
      </c>
      <c r="G863" t="str">
        <f>"9783110253023"</f>
        <v>9783110253023</v>
      </c>
      <c r="H863" t="s">
        <v>1374</v>
      </c>
      <c r="I863" t="s">
        <v>434</v>
      </c>
      <c r="J863" t="s">
        <v>1375</v>
      </c>
      <c r="K863" t="s">
        <v>44</v>
      </c>
      <c r="N863" t="s">
        <v>45</v>
      </c>
      <c r="O863" t="s">
        <v>46</v>
      </c>
      <c r="P863" t="s">
        <v>45</v>
      </c>
      <c r="Q863" t="s">
        <v>47</v>
      </c>
      <c r="R863" t="s">
        <v>44</v>
      </c>
      <c r="S863">
        <v>0</v>
      </c>
      <c r="W863" s="3">
        <v>3.4722222222222222E-5</v>
      </c>
      <c r="X863" t="s">
        <v>121</v>
      </c>
      <c r="Y863">
        <v>1</v>
      </c>
      <c r="Z863">
        <v>0</v>
      </c>
      <c r="AA863" t="s">
        <v>49</v>
      </c>
      <c r="AB863">
        <v>0</v>
      </c>
      <c r="AC863" t="s">
        <v>49</v>
      </c>
      <c r="AD863">
        <v>0</v>
      </c>
      <c r="AE863">
        <v>10554726</v>
      </c>
      <c r="AF863" t="s">
        <v>50</v>
      </c>
      <c r="AG863" t="s">
        <v>388</v>
      </c>
    </row>
    <row r="864" spans="1:33" x14ac:dyDescent="0.35">
      <c r="A864" s="1">
        <v>44887.565972222219</v>
      </c>
      <c r="B864">
        <v>6318399</v>
      </c>
      <c r="C864" t="s">
        <v>2065</v>
      </c>
      <c r="D864" t="s">
        <v>2066</v>
      </c>
      <c r="E864" s="2">
        <v>44063</v>
      </c>
      <c r="F864" t="str">
        <f>"9781786807595"</f>
        <v>9781786807595</v>
      </c>
      <c r="G864" t="str">
        <f>"9780745342016"</f>
        <v>9780745342016</v>
      </c>
      <c r="H864" t="s">
        <v>2067</v>
      </c>
      <c r="I864">
        <v>363.73874699999999</v>
      </c>
      <c r="J864" t="s">
        <v>2068</v>
      </c>
      <c r="K864" t="s">
        <v>55</v>
      </c>
      <c r="Q864" t="s">
        <v>47</v>
      </c>
      <c r="R864" t="s">
        <v>44</v>
      </c>
      <c r="S864">
        <v>0</v>
      </c>
      <c r="W864" s="3">
        <v>4.1666666666666669E-4</v>
      </c>
      <c r="X864" t="s">
        <v>2069</v>
      </c>
      <c r="Y864">
        <v>4</v>
      </c>
      <c r="Z864">
        <v>0</v>
      </c>
      <c r="AA864" t="s">
        <v>49</v>
      </c>
      <c r="AB864">
        <v>0</v>
      </c>
      <c r="AC864" t="s">
        <v>49</v>
      </c>
      <c r="AD864">
        <v>0</v>
      </c>
      <c r="AE864">
        <v>-1</v>
      </c>
      <c r="AF864" t="s">
        <v>50</v>
      </c>
      <c r="AG864" t="s">
        <v>388</v>
      </c>
    </row>
    <row r="865" spans="1:33" x14ac:dyDescent="0.35">
      <c r="A865" s="1">
        <v>44887.549305555556</v>
      </c>
      <c r="B865">
        <v>6792356</v>
      </c>
      <c r="C865" t="s">
        <v>512</v>
      </c>
      <c r="D865" t="s">
        <v>213</v>
      </c>
      <c r="E865" s="2">
        <v>44496</v>
      </c>
      <c r="F865" t="str">
        <f>"9780128209073"</f>
        <v>9780128209073</v>
      </c>
      <c r="G865" t="str">
        <f>"9780128206294"</f>
        <v>9780128206294</v>
      </c>
      <c r="H865" t="s">
        <v>513</v>
      </c>
      <c r="I865">
        <v>620.5</v>
      </c>
      <c r="J865" t="s">
        <v>514</v>
      </c>
      <c r="K865" t="s">
        <v>55</v>
      </c>
      <c r="Q865" t="s">
        <v>47</v>
      </c>
      <c r="R865" t="s">
        <v>44</v>
      </c>
      <c r="S865">
        <v>0</v>
      </c>
      <c r="W865" s="3">
        <v>2.488425925925926E-3</v>
      </c>
      <c r="X865" t="s">
        <v>2070</v>
      </c>
      <c r="Y865">
        <v>13</v>
      </c>
      <c r="Z865">
        <v>0</v>
      </c>
      <c r="AA865" t="s">
        <v>49</v>
      </c>
      <c r="AB865">
        <v>0</v>
      </c>
      <c r="AC865" t="s">
        <v>49</v>
      </c>
      <c r="AD865">
        <v>0</v>
      </c>
      <c r="AE865">
        <v>-1</v>
      </c>
      <c r="AF865" t="s">
        <v>50</v>
      </c>
      <c r="AG865" t="s">
        <v>388</v>
      </c>
    </row>
    <row r="866" spans="1:33" x14ac:dyDescent="0.35">
      <c r="A866" s="1">
        <v>44887.540972222225</v>
      </c>
      <c r="B866">
        <v>1132029</v>
      </c>
      <c r="C866" t="s">
        <v>1305</v>
      </c>
      <c r="D866" t="s">
        <v>1224</v>
      </c>
      <c r="E866" s="2">
        <v>41296</v>
      </c>
      <c r="F866" t="str">
        <f>"9783110238150"</f>
        <v>9783110238150</v>
      </c>
      <c r="G866" t="str">
        <f>"9783110238143"</f>
        <v>9783110238143</v>
      </c>
      <c r="H866" t="s">
        <v>1306</v>
      </c>
      <c r="I866">
        <v>302.22199999999998</v>
      </c>
      <c r="J866" t="s">
        <v>1307</v>
      </c>
      <c r="K866" t="s">
        <v>44</v>
      </c>
      <c r="N866" t="s">
        <v>45</v>
      </c>
      <c r="O866" t="s">
        <v>46</v>
      </c>
      <c r="P866" t="s">
        <v>45</v>
      </c>
      <c r="Q866" t="s">
        <v>47</v>
      </c>
      <c r="R866" t="s">
        <v>44</v>
      </c>
      <c r="S866">
        <v>0</v>
      </c>
      <c r="W866" s="3">
        <v>3.4722222222222222E-5</v>
      </c>
      <c r="X866" t="s">
        <v>1308</v>
      </c>
      <c r="Y866">
        <v>1</v>
      </c>
      <c r="Z866">
        <v>0</v>
      </c>
      <c r="AA866" t="s">
        <v>49</v>
      </c>
      <c r="AB866">
        <v>0</v>
      </c>
      <c r="AC866" t="s">
        <v>49</v>
      </c>
      <c r="AD866">
        <v>0</v>
      </c>
      <c r="AE866">
        <v>10662035</v>
      </c>
      <c r="AF866" t="s">
        <v>50</v>
      </c>
      <c r="AG866" t="s">
        <v>1309</v>
      </c>
    </row>
    <row r="867" spans="1:33" x14ac:dyDescent="0.35">
      <c r="A867" s="1">
        <v>44887.525694444441</v>
      </c>
      <c r="B867">
        <v>5092525</v>
      </c>
      <c r="C867" t="s">
        <v>695</v>
      </c>
      <c r="D867" t="s">
        <v>696</v>
      </c>
      <c r="E867" s="2">
        <v>41683</v>
      </c>
      <c r="F867" t="str">
        <f>"9781909453692"</f>
        <v>9781909453692</v>
      </c>
      <c r="G867" t="str">
        <f>"9781909453715"</f>
        <v>9781909453715</v>
      </c>
      <c r="H867" t="s">
        <v>77</v>
      </c>
      <c r="I867">
        <v>610.28</v>
      </c>
      <c r="J867" t="s">
        <v>697</v>
      </c>
      <c r="K867" t="s">
        <v>44</v>
      </c>
      <c r="N867" t="s">
        <v>45</v>
      </c>
      <c r="O867" t="s">
        <v>46</v>
      </c>
      <c r="P867" t="s">
        <v>45</v>
      </c>
      <c r="Q867" t="s">
        <v>47</v>
      </c>
      <c r="R867" t="s">
        <v>44</v>
      </c>
      <c r="S867">
        <v>0</v>
      </c>
      <c r="W867" s="3">
        <v>1.8518518518518517E-3</v>
      </c>
      <c r="X867" t="s">
        <v>2071</v>
      </c>
      <c r="Y867">
        <v>10</v>
      </c>
      <c r="Z867">
        <v>0</v>
      </c>
      <c r="AA867" t="s">
        <v>49</v>
      </c>
      <c r="AB867">
        <v>0</v>
      </c>
      <c r="AC867" t="s">
        <v>49</v>
      </c>
      <c r="AD867">
        <v>0</v>
      </c>
      <c r="AE867">
        <v>11451412</v>
      </c>
      <c r="AF867" t="s">
        <v>50</v>
      </c>
      <c r="AG867" t="s">
        <v>388</v>
      </c>
    </row>
    <row r="868" spans="1:33" x14ac:dyDescent="0.35">
      <c r="A868" s="1">
        <v>44887.049305555556</v>
      </c>
      <c r="B868">
        <v>5719694</v>
      </c>
      <c r="C868" t="s">
        <v>1661</v>
      </c>
      <c r="D868" t="s">
        <v>65</v>
      </c>
      <c r="E868" s="2">
        <v>43522</v>
      </c>
      <c r="F868" t="str">
        <f>"9780128182550"</f>
        <v>9780128182550</v>
      </c>
      <c r="G868" t="str">
        <f>"9780081026311"</f>
        <v>9780081026311</v>
      </c>
      <c r="H868" t="s">
        <v>1662</v>
      </c>
      <c r="I868" t="s">
        <v>1663</v>
      </c>
      <c r="J868" t="s">
        <v>1664</v>
      </c>
      <c r="K868" t="s">
        <v>55</v>
      </c>
      <c r="Q868" t="s">
        <v>47</v>
      </c>
      <c r="R868" t="s">
        <v>44</v>
      </c>
      <c r="S868">
        <v>0</v>
      </c>
      <c r="W868" s="3">
        <v>5.4398148148148149E-3</v>
      </c>
      <c r="X868" t="s">
        <v>2072</v>
      </c>
      <c r="Y868">
        <v>6</v>
      </c>
      <c r="Z868">
        <v>0</v>
      </c>
      <c r="AA868" t="s">
        <v>49</v>
      </c>
      <c r="AB868">
        <v>0</v>
      </c>
      <c r="AC868" t="s">
        <v>49</v>
      </c>
      <c r="AD868">
        <v>0</v>
      </c>
      <c r="AE868">
        <v>11656711</v>
      </c>
      <c r="AF868" t="s">
        <v>63</v>
      </c>
      <c r="AG868" t="s">
        <v>216</v>
      </c>
    </row>
    <row r="869" spans="1:33" x14ac:dyDescent="0.35">
      <c r="A869" s="1">
        <v>44887.045138888891</v>
      </c>
      <c r="B869">
        <v>5979624</v>
      </c>
      <c r="C869" t="s">
        <v>843</v>
      </c>
      <c r="D869" t="s">
        <v>844</v>
      </c>
      <c r="E869" s="2">
        <v>43798</v>
      </c>
      <c r="F869" t="str">
        <f>"9781789736878"</f>
        <v>9781789736878</v>
      </c>
      <c r="G869" t="str">
        <f>"9781789736908"</f>
        <v>9781789736908</v>
      </c>
      <c r="H869" t="s">
        <v>60</v>
      </c>
      <c r="I869">
        <v>658.40129999999999</v>
      </c>
      <c r="J869" t="s">
        <v>845</v>
      </c>
      <c r="K869" t="s">
        <v>44</v>
      </c>
      <c r="N869" t="s">
        <v>45</v>
      </c>
      <c r="O869" t="s">
        <v>46</v>
      </c>
      <c r="P869" t="s">
        <v>45</v>
      </c>
      <c r="Q869" t="s">
        <v>47</v>
      </c>
      <c r="R869" t="s">
        <v>44</v>
      </c>
      <c r="S869">
        <v>0</v>
      </c>
      <c r="W869" s="3">
        <v>9.2592592592592588E-5</v>
      </c>
      <c r="X869" t="s">
        <v>121</v>
      </c>
      <c r="Y869">
        <v>1</v>
      </c>
      <c r="Z869">
        <v>0</v>
      </c>
      <c r="AA869" t="s">
        <v>49</v>
      </c>
      <c r="AB869">
        <v>0</v>
      </c>
      <c r="AC869" t="s">
        <v>49</v>
      </c>
      <c r="AD869">
        <v>0</v>
      </c>
      <c r="AE869">
        <v>-1</v>
      </c>
      <c r="AF869" t="s">
        <v>50</v>
      </c>
      <c r="AG869" t="s">
        <v>388</v>
      </c>
    </row>
    <row r="870" spans="1:33" x14ac:dyDescent="0.35">
      <c r="A870" s="1">
        <v>44887.033333333333</v>
      </c>
      <c r="B870">
        <v>1720835</v>
      </c>
      <c r="C870" t="s">
        <v>2073</v>
      </c>
      <c r="D870" t="s">
        <v>633</v>
      </c>
      <c r="E870" s="2">
        <v>41729</v>
      </c>
      <c r="F870" t="str">
        <f>"9781614993810"</f>
        <v>9781614993810</v>
      </c>
      <c r="G870" t="str">
        <f>"9781614993803"</f>
        <v>9781614993803</v>
      </c>
      <c r="H870" t="s">
        <v>138</v>
      </c>
      <c r="K870" t="s">
        <v>44</v>
      </c>
      <c r="N870" t="s">
        <v>45</v>
      </c>
      <c r="O870" t="s">
        <v>46</v>
      </c>
      <c r="P870" t="s">
        <v>177</v>
      </c>
      <c r="Q870" t="s">
        <v>47</v>
      </c>
      <c r="R870" t="s">
        <v>55</v>
      </c>
      <c r="S870">
        <v>0</v>
      </c>
      <c r="W870" s="3">
        <v>4.8379629629629632E-3</v>
      </c>
      <c r="X870" t="s">
        <v>2074</v>
      </c>
      <c r="Y870">
        <v>12</v>
      </c>
      <c r="Z870">
        <v>0</v>
      </c>
      <c r="AA870" t="s">
        <v>49</v>
      </c>
      <c r="AB870">
        <v>0</v>
      </c>
      <c r="AC870" t="s">
        <v>49</v>
      </c>
      <c r="AD870">
        <v>0</v>
      </c>
      <c r="AE870">
        <v>10898080</v>
      </c>
      <c r="AF870" t="s">
        <v>50</v>
      </c>
      <c r="AG870" t="s">
        <v>871</v>
      </c>
    </row>
    <row r="871" spans="1:33" x14ac:dyDescent="0.35">
      <c r="A871" s="1">
        <v>44887.027777777781</v>
      </c>
      <c r="B871">
        <v>1681506</v>
      </c>
      <c r="C871" t="s">
        <v>2075</v>
      </c>
      <c r="D871" t="s">
        <v>71</v>
      </c>
      <c r="E871" s="2">
        <v>37043</v>
      </c>
      <c r="F871" t="str">
        <f>"9781848161467"</f>
        <v>9781848161467</v>
      </c>
      <c r="G871" t="str">
        <f>"9781860942631"</f>
        <v>9781860942631</v>
      </c>
      <c r="H871" t="s">
        <v>138</v>
      </c>
      <c r="I871">
        <v>6</v>
      </c>
      <c r="J871" t="s">
        <v>2076</v>
      </c>
      <c r="K871" t="s">
        <v>44</v>
      </c>
      <c r="N871" t="s">
        <v>45</v>
      </c>
      <c r="O871" t="s">
        <v>46</v>
      </c>
      <c r="P871" t="s">
        <v>45</v>
      </c>
      <c r="Q871" t="s">
        <v>47</v>
      </c>
      <c r="R871" t="s">
        <v>44</v>
      </c>
      <c r="S871">
        <v>0</v>
      </c>
      <c r="W871" s="3">
        <v>2.3726851851851851E-3</v>
      </c>
      <c r="X871" t="s">
        <v>2077</v>
      </c>
      <c r="Y871">
        <v>17</v>
      </c>
      <c r="Z871">
        <v>0</v>
      </c>
      <c r="AA871" t="s">
        <v>49</v>
      </c>
      <c r="AB871">
        <v>0</v>
      </c>
      <c r="AC871" t="s">
        <v>49</v>
      </c>
      <c r="AD871">
        <v>0</v>
      </c>
      <c r="AE871">
        <v>10255373</v>
      </c>
      <c r="AF871" t="s">
        <v>50</v>
      </c>
      <c r="AG871" t="s">
        <v>388</v>
      </c>
    </row>
    <row r="872" spans="1:33" x14ac:dyDescent="0.35">
      <c r="A872" s="1">
        <v>44887.018055555556</v>
      </c>
      <c r="B872">
        <v>887131</v>
      </c>
      <c r="C872" t="s">
        <v>1373</v>
      </c>
      <c r="D872" t="s">
        <v>1224</v>
      </c>
      <c r="E872" s="2">
        <v>40983</v>
      </c>
      <c r="F872" t="str">
        <f>"9783110253399"</f>
        <v>9783110253399</v>
      </c>
      <c r="G872" t="str">
        <f>"9783110253023"</f>
        <v>9783110253023</v>
      </c>
      <c r="H872" t="s">
        <v>1374</v>
      </c>
      <c r="I872" t="s">
        <v>434</v>
      </c>
      <c r="J872" t="s">
        <v>1375</v>
      </c>
      <c r="K872" t="s">
        <v>44</v>
      </c>
      <c r="N872" t="s">
        <v>45</v>
      </c>
      <c r="O872" t="s">
        <v>46</v>
      </c>
      <c r="P872" t="s">
        <v>45</v>
      </c>
      <c r="Q872" t="s">
        <v>47</v>
      </c>
      <c r="R872" t="s">
        <v>44</v>
      </c>
      <c r="S872">
        <v>0</v>
      </c>
      <c r="W872" s="3">
        <v>3.4722222222222222E-5</v>
      </c>
      <c r="X872" t="s">
        <v>121</v>
      </c>
      <c r="Y872">
        <v>1</v>
      </c>
      <c r="Z872">
        <v>0</v>
      </c>
      <c r="AA872" t="s">
        <v>49</v>
      </c>
      <c r="AB872">
        <v>0</v>
      </c>
      <c r="AC872" t="s">
        <v>49</v>
      </c>
      <c r="AD872">
        <v>0</v>
      </c>
      <c r="AE872">
        <v>10554726</v>
      </c>
      <c r="AF872" t="s">
        <v>50</v>
      </c>
      <c r="AG872" t="s">
        <v>388</v>
      </c>
    </row>
    <row r="873" spans="1:33" x14ac:dyDescent="0.35">
      <c r="A873" s="1">
        <v>44887</v>
      </c>
      <c r="B873">
        <v>6001933</v>
      </c>
      <c r="C873" t="s">
        <v>2078</v>
      </c>
      <c r="D873" t="s">
        <v>141</v>
      </c>
      <c r="E873" s="2">
        <v>43823</v>
      </c>
      <c r="F873" t="str">
        <f>"9781838822002"</f>
        <v>9781838822002</v>
      </c>
      <c r="G873" t="str">
        <f>"9781838824914"</f>
        <v>9781838824914</v>
      </c>
      <c r="H873" t="s">
        <v>138</v>
      </c>
      <c r="I873">
        <v>6.32</v>
      </c>
      <c r="J873" t="s">
        <v>2079</v>
      </c>
      <c r="K873" t="s">
        <v>55</v>
      </c>
      <c r="Q873" t="s">
        <v>47</v>
      </c>
      <c r="R873" t="s">
        <v>44</v>
      </c>
      <c r="S873">
        <v>0</v>
      </c>
      <c r="W873" s="3">
        <v>1.5162037037037036E-2</v>
      </c>
      <c r="X873" t="s">
        <v>2080</v>
      </c>
      <c r="Y873">
        <v>9</v>
      </c>
      <c r="Z873">
        <v>0</v>
      </c>
      <c r="AA873" t="s">
        <v>49</v>
      </c>
      <c r="AB873">
        <v>0</v>
      </c>
      <c r="AC873" t="s">
        <v>49</v>
      </c>
      <c r="AD873">
        <v>0</v>
      </c>
      <c r="AE873">
        <v>-1</v>
      </c>
      <c r="AF873" t="s">
        <v>50</v>
      </c>
      <c r="AG873" t="s">
        <v>388</v>
      </c>
    </row>
    <row r="874" spans="1:33" x14ac:dyDescent="0.35">
      <c r="A874" s="1">
        <v>44886.973611111112</v>
      </c>
      <c r="B874">
        <v>5979624</v>
      </c>
      <c r="C874" t="s">
        <v>843</v>
      </c>
      <c r="D874" t="s">
        <v>844</v>
      </c>
      <c r="E874" s="2">
        <v>43798</v>
      </c>
      <c r="F874" t="str">
        <f>"9781789736878"</f>
        <v>9781789736878</v>
      </c>
      <c r="G874" t="str">
        <f>"9781789736908"</f>
        <v>9781789736908</v>
      </c>
      <c r="H874" t="s">
        <v>60</v>
      </c>
      <c r="I874">
        <v>658.40129999999999</v>
      </c>
      <c r="J874" t="s">
        <v>845</v>
      </c>
      <c r="K874" t="s">
        <v>44</v>
      </c>
      <c r="N874" t="s">
        <v>45</v>
      </c>
      <c r="O874" t="s">
        <v>46</v>
      </c>
      <c r="P874" t="s">
        <v>45</v>
      </c>
      <c r="Q874" t="s">
        <v>47</v>
      </c>
      <c r="R874" t="s">
        <v>44</v>
      </c>
      <c r="S874">
        <v>0</v>
      </c>
      <c r="W874" s="3">
        <v>4.1238425925925921E-2</v>
      </c>
      <c r="X874" t="s">
        <v>2081</v>
      </c>
      <c r="Y874">
        <v>12</v>
      </c>
      <c r="Z874">
        <v>0</v>
      </c>
      <c r="AA874" t="s">
        <v>49</v>
      </c>
      <c r="AB874">
        <v>0</v>
      </c>
      <c r="AC874" t="s">
        <v>2082</v>
      </c>
      <c r="AD874">
        <v>4</v>
      </c>
      <c r="AE874">
        <v>-1</v>
      </c>
      <c r="AF874" t="s">
        <v>50</v>
      </c>
      <c r="AG874" t="s">
        <v>1160</v>
      </c>
    </row>
    <row r="875" spans="1:33" x14ac:dyDescent="0.35">
      <c r="A875" s="1">
        <v>44886.946527777778</v>
      </c>
      <c r="B875">
        <v>5979624</v>
      </c>
      <c r="C875" t="s">
        <v>843</v>
      </c>
      <c r="D875" t="s">
        <v>844</v>
      </c>
      <c r="E875" s="2">
        <v>43798</v>
      </c>
      <c r="F875" t="str">
        <f>"9781789736878"</f>
        <v>9781789736878</v>
      </c>
      <c r="G875" t="str">
        <f>"9781789736908"</f>
        <v>9781789736908</v>
      </c>
      <c r="H875" t="s">
        <v>60</v>
      </c>
      <c r="I875">
        <v>658.40129999999999</v>
      </c>
      <c r="J875" t="s">
        <v>845</v>
      </c>
      <c r="K875" t="s">
        <v>44</v>
      </c>
      <c r="N875" t="s">
        <v>45</v>
      </c>
      <c r="O875" t="s">
        <v>46</v>
      </c>
      <c r="P875" t="s">
        <v>45</v>
      </c>
      <c r="Q875" t="s">
        <v>47</v>
      </c>
      <c r="R875" t="s">
        <v>44</v>
      </c>
      <c r="S875">
        <v>0</v>
      </c>
      <c r="W875" s="3">
        <v>1.4467592592592594E-3</v>
      </c>
      <c r="X875" t="s">
        <v>2083</v>
      </c>
      <c r="Y875">
        <v>5</v>
      </c>
      <c r="Z875">
        <v>0</v>
      </c>
      <c r="AA875" t="s">
        <v>49</v>
      </c>
      <c r="AB875">
        <v>0</v>
      </c>
      <c r="AC875" t="s">
        <v>2084</v>
      </c>
      <c r="AD875">
        <v>1</v>
      </c>
      <c r="AE875">
        <v>-1</v>
      </c>
      <c r="AF875" t="s">
        <v>50</v>
      </c>
      <c r="AG875" t="s">
        <v>1160</v>
      </c>
    </row>
    <row r="876" spans="1:33" x14ac:dyDescent="0.35">
      <c r="A876" s="1">
        <v>44886.938888888886</v>
      </c>
      <c r="B876">
        <v>6792356</v>
      </c>
      <c r="C876" t="s">
        <v>512</v>
      </c>
      <c r="D876" t="s">
        <v>213</v>
      </c>
      <c r="E876" s="2">
        <v>44496</v>
      </c>
      <c r="F876" t="str">
        <f>"9780128209073"</f>
        <v>9780128209073</v>
      </c>
      <c r="G876" t="str">
        <f>"9780128206294"</f>
        <v>9780128206294</v>
      </c>
      <c r="H876" t="s">
        <v>513</v>
      </c>
      <c r="I876">
        <v>620.5</v>
      </c>
      <c r="J876" t="s">
        <v>514</v>
      </c>
      <c r="K876" t="s">
        <v>55</v>
      </c>
      <c r="Q876" t="s">
        <v>47</v>
      </c>
      <c r="R876" t="s">
        <v>44</v>
      </c>
      <c r="S876">
        <v>0</v>
      </c>
      <c r="W876" s="3">
        <v>4.6296296296296294E-5</v>
      </c>
      <c r="X876" t="s">
        <v>121</v>
      </c>
      <c r="Y876">
        <v>1</v>
      </c>
      <c r="Z876">
        <v>0</v>
      </c>
      <c r="AA876" t="s">
        <v>49</v>
      </c>
      <c r="AB876">
        <v>0</v>
      </c>
      <c r="AC876" t="s">
        <v>49</v>
      </c>
      <c r="AD876">
        <v>0</v>
      </c>
      <c r="AE876">
        <v>-1</v>
      </c>
      <c r="AF876" t="s">
        <v>50</v>
      </c>
      <c r="AG876" t="s">
        <v>388</v>
      </c>
    </row>
    <row r="877" spans="1:33" x14ac:dyDescent="0.35">
      <c r="A877" s="1">
        <v>44886.888888888891</v>
      </c>
      <c r="B877">
        <v>4332385</v>
      </c>
      <c r="C877" t="s">
        <v>2085</v>
      </c>
      <c r="D877" t="s">
        <v>59</v>
      </c>
      <c r="E877" s="2">
        <v>42450</v>
      </c>
      <c r="F877" t="str">
        <f>"9781118844267"</f>
        <v>9781118844267</v>
      </c>
      <c r="G877" t="str">
        <f>"9781118844243"</f>
        <v>9781118844243</v>
      </c>
      <c r="H877" t="s">
        <v>2086</v>
      </c>
      <c r="I877">
        <v>522.68629999999996</v>
      </c>
      <c r="J877" t="s">
        <v>2087</v>
      </c>
      <c r="K877" t="s">
        <v>44</v>
      </c>
      <c r="N877" t="s">
        <v>45</v>
      </c>
      <c r="O877" t="s">
        <v>46</v>
      </c>
      <c r="P877" t="s">
        <v>45</v>
      </c>
      <c r="Q877" t="s">
        <v>47</v>
      </c>
      <c r="R877" t="s">
        <v>44</v>
      </c>
      <c r="S877">
        <v>4</v>
      </c>
      <c r="W877" s="3">
        <v>1.2152777777777778E-3</v>
      </c>
      <c r="X877" t="s">
        <v>2088</v>
      </c>
      <c r="Y877">
        <v>15</v>
      </c>
      <c r="Z877">
        <v>0</v>
      </c>
      <c r="AA877" t="s">
        <v>49</v>
      </c>
      <c r="AB877">
        <v>0</v>
      </c>
      <c r="AC877" t="s">
        <v>49</v>
      </c>
      <c r="AD877">
        <v>0</v>
      </c>
      <c r="AE877">
        <v>11152564</v>
      </c>
      <c r="AF877" t="s">
        <v>63</v>
      </c>
      <c r="AG877" t="s">
        <v>216</v>
      </c>
    </row>
    <row r="878" spans="1:33" x14ac:dyDescent="0.35">
      <c r="A878" s="1">
        <v>44886.888194444444</v>
      </c>
      <c r="B878">
        <v>5434355</v>
      </c>
      <c r="C878" t="s">
        <v>2089</v>
      </c>
      <c r="D878" t="s">
        <v>657</v>
      </c>
      <c r="E878" s="2">
        <v>43192</v>
      </c>
      <c r="F878" t="str">
        <f>"9781476631691"</f>
        <v>9781476631691</v>
      </c>
      <c r="G878" t="str">
        <f>"9781476668390"</f>
        <v>9781476668390</v>
      </c>
      <c r="H878" t="s">
        <v>1102</v>
      </c>
      <c r="I878">
        <v>794.10941000000003</v>
      </c>
      <c r="J878" t="s">
        <v>2090</v>
      </c>
      <c r="K878" t="s">
        <v>44</v>
      </c>
      <c r="N878" t="s">
        <v>45</v>
      </c>
      <c r="O878" t="s">
        <v>46</v>
      </c>
      <c r="P878" t="s">
        <v>45</v>
      </c>
      <c r="Q878" t="s">
        <v>47</v>
      </c>
      <c r="R878" t="s">
        <v>44</v>
      </c>
      <c r="S878">
        <v>0</v>
      </c>
      <c r="W878" s="3">
        <v>1.4583333333333334E-3</v>
      </c>
      <c r="X878" t="s">
        <v>2091</v>
      </c>
      <c r="Y878">
        <v>20</v>
      </c>
      <c r="Z878">
        <v>0</v>
      </c>
      <c r="AA878" t="s">
        <v>49</v>
      </c>
      <c r="AB878">
        <v>0</v>
      </c>
      <c r="AC878" t="s">
        <v>49</v>
      </c>
      <c r="AD878">
        <v>0</v>
      </c>
      <c r="AE878">
        <v>11584949</v>
      </c>
      <c r="AF878" t="s">
        <v>50</v>
      </c>
      <c r="AG878" t="s">
        <v>996</v>
      </c>
    </row>
    <row r="879" spans="1:33" x14ac:dyDescent="0.35">
      <c r="A879" s="1">
        <v>44886.886805555558</v>
      </c>
      <c r="B879">
        <v>4332385</v>
      </c>
      <c r="C879" t="s">
        <v>2085</v>
      </c>
      <c r="D879" t="s">
        <v>59</v>
      </c>
      <c r="E879" s="2">
        <v>42450</v>
      </c>
      <c r="F879" t="str">
        <f>"9781118844267"</f>
        <v>9781118844267</v>
      </c>
      <c r="G879" t="str">
        <f>"9781118844243"</f>
        <v>9781118844243</v>
      </c>
      <c r="H879" t="s">
        <v>2086</v>
      </c>
      <c r="I879">
        <v>522.68629999999996</v>
      </c>
      <c r="J879" t="s">
        <v>2087</v>
      </c>
      <c r="K879" t="s">
        <v>44</v>
      </c>
      <c r="N879" t="s">
        <v>45</v>
      </c>
      <c r="O879" t="s">
        <v>46</v>
      </c>
      <c r="P879" t="s">
        <v>45</v>
      </c>
      <c r="Q879" t="s">
        <v>47</v>
      </c>
      <c r="R879" t="s">
        <v>44</v>
      </c>
      <c r="S879">
        <v>0</v>
      </c>
      <c r="W879" s="3">
        <v>1.1805555555555556E-3</v>
      </c>
      <c r="X879" t="s">
        <v>2092</v>
      </c>
      <c r="Y879">
        <v>3</v>
      </c>
      <c r="Z879">
        <v>0</v>
      </c>
      <c r="AA879" t="s">
        <v>49</v>
      </c>
      <c r="AB879">
        <v>0</v>
      </c>
      <c r="AC879" t="s">
        <v>49</v>
      </c>
      <c r="AD879">
        <v>0</v>
      </c>
      <c r="AE879">
        <v>11152564</v>
      </c>
      <c r="AF879" t="s">
        <v>63</v>
      </c>
      <c r="AG879" t="s">
        <v>216</v>
      </c>
    </row>
    <row r="880" spans="1:33" x14ac:dyDescent="0.35">
      <c r="A880" s="1">
        <v>44886.886805555558</v>
      </c>
      <c r="B880">
        <v>5188151</v>
      </c>
      <c r="C880" t="s">
        <v>1100</v>
      </c>
      <c r="D880" t="s">
        <v>1101</v>
      </c>
      <c r="E880" s="2">
        <v>42962</v>
      </c>
      <c r="F880" t="str">
        <f>"9781526120540"</f>
        <v>9781526120540</v>
      </c>
      <c r="G880" t="str">
        <f>"9781784994204"</f>
        <v>9781784994204</v>
      </c>
      <c r="H880" t="s">
        <v>1102</v>
      </c>
      <c r="I880">
        <v>794.10922000000005</v>
      </c>
      <c r="J880" t="s">
        <v>1103</v>
      </c>
      <c r="K880" t="s">
        <v>44</v>
      </c>
      <c r="N880" t="s">
        <v>45</v>
      </c>
      <c r="O880" t="s">
        <v>46</v>
      </c>
      <c r="P880" t="s">
        <v>45</v>
      </c>
      <c r="Q880" t="s">
        <v>47</v>
      </c>
      <c r="R880" t="s">
        <v>44</v>
      </c>
      <c r="S880">
        <v>0</v>
      </c>
      <c r="W880" s="3">
        <v>4.0509259259259258E-4</v>
      </c>
      <c r="X880" t="s">
        <v>1637</v>
      </c>
      <c r="Y880">
        <v>8</v>
      </c>
      <c r="Z880">
        <v>0</v>
      </c>
      <c r="AA880" t="s">
        <v>49</v>
      </c>
      <c r="AB880">
        <v>0</v>
      </c>
      <c r="AC880" t="s">
        <v>49</v>
      </c>
      <c r="AD880">
        <v>0</v>
      </c>
      <c r="AE880">
        <v>11483818</v>
      </c>
      <c r="AF880" t="s">
        <v>50</v>
      </c>
      <c r="AG880" t="s">
        <v>996</v>
      </c>
    </row>
    <row r="881" spans="1:33" x14ac:dyDescent="0.35">
      <c r="A881" s="1">
        <v>44886.886111111111</v>
      </c>
      <c r="B881">
        <v>3442075</v>
      </c>
      <c r="C881" t="s">
        <v>1067</v>
      </c>
      <c r="D881" t="s">
        <v>1068</v>
      </c>
      <c r="E881" s="2">
        <v>38972</v>
      </c>
      <c r="F881" t="str">
        <f>"9780812201048"</f>
        <v>9780812201048</v>
      </c>
      <c r="G881" t="str">
        <f>"9780812239447"</f>
        <v>9780812239447</v>
      </c>
      <c r="H881" t="s">
        <v>1069</v>
      </c>
      <c r="I881" t="s">
        <v>1070</v>
      </c>
      <c r="K881" t="s">
        <v>44</v>
      </c>
      <c r="N881" t="s">
        <v>45</v>
      </c>
      <c r="O881" t="s">
        <v>46</v>
      </c>
      <c r="P881" t="s">
        <v>45</v>
      </c>
      <c r="Q881" t="s">
        <v>47</v>
      </c>
      <c r="R881" t="s">
        <v>44</v>
      </c>
      <c r="S881">
        <v>0</v>
      </c>
      <c r="W881" s="3">
        <v>1.9675925925925926E-4</v>
      </c>
      <c r="X881" t="s">
        <v>205</v>
      </c>
      <c r="Y881">
        <v>2</v>
      </c>
      <c r="Z881">
        <v>0</v>
      </c>
      <c r="AA881" t="s">
        <v>49</v>
      </c>
      <c r="AB881">
        <v>0</v>
      </c>
      <c r="AC881" t="s">
        <v>49</v>
      </c>
      <c r="AD881">
        <v>0</v>
      </c>
      <c r="AE881">
        <v>10748452</v>
      </c>
      <c r="AF881" t="s">
        <v>50</v>
      </c>
      <c r="AG881" t="s">
        <v>996</v>
      </c>
    </row>
    <row r="882" spans="1:33" x14ac:dyDescent="0.35">
      <c r="A882" s="1">
        <v>44886.856944444444</v>
      </c>
      <c r="B882">
        <v>6456161</v>
      </c>
      <c r="C882" t="s">
        <v>2093</v>
      </c>
      <c r="D882" t="s">
        <v>65</v>
      </c>
      <c r="E882" s="2">
        <v>44211</v>
      </c>
      <c r="F882" t="str">
        <f>"9780128192672"</f>
        <v>9780128192672</v>
      </c>
      <c r="G882" t="str">
        <f>"9780128192641"</f>
        <v>9780128192641</v>
      </c>
      <c r="H882" t="s">
        <v>1256</v>
      </c>
      <c r="I882">
        <v>620.16499999999996</v>
      </c>
      <c r="J882" t="s">
        <v>2094</v>
      </c>
      <c r="K882" t="s">
        <v>55</v>
      </c>
      <c r="Q882" t="s">
        <v>47</v>
      </c>
      <c r="R882" t="s">
        <v>44</v>
      </c>
      <c r="S882">
        <v>0</v>
      </c>
      <c r="W882" s="3">
        <v>3.9004629629629632E-3</v>
      </c>
      <c r="X882" t="s">
        <v>2095</v>
      </c>
      <c r="Y882">
        <v>24</v>
      </c>
      <c r="Z882">
        <v>0</v>
      </c>
      <c r="AA882" t="s">
        <v>49</v>
      </c>
      <c r="AB882">
        <v>0</v>
      </c>
      <c r="AC882" t="s">
        <v>49</v>
      </c>
      <c r="AD882">
        <v>0</v>
      </c>
      <c r="AE882">
        <v>-1</v>
      </c>
      <c r="AF882" t="s">
        <v>50</v>
      </c>
      <c r="AG882" t="s">
        <v>1691</v>
      </c>
    </row>
    <row r="883" spans="1:33" x14ac:dyDescent="0.35">
      <c r="A883" s="1">
        <v>44886.82916666667</v>
      </c>
      <c r="B883">
        <v>5969438</v>
      </c>
      <c r="C883" t="s">
        <v>917</v>
      </c>
      <c r="D883" t="s">
        <v>105</v>
      </c>
      <c r="E883" s="2">
        <v>43780</v>
      </c>
      <c r="F883" t="str">
        <f>"9783030244408"</f>
        <v>9783030244408</v>
      </c>
      <c r="G883" t="str">
        <f>"9783030244392"</f>
        <v>9783030244392</v>
      </c>
      <c r="H883" t="s">
        <v>918</v>
      </c>
      <c r="I883">
        <v>669.94</v>
      </c>
      <c r="J883" t="s">
        <v>919</v>
      </c>
      <c r="K883" t="s">
        <v>55</v>
      </c>
      <c r="Q883" t="s">
        <v>47</v>
      </c>
      <c r="R883" t="s">
        <v>44</v>
      </c>
      <c r="S883">
        <v>0</v>
      </c>
      <c r="W883" s="3">
        <v>3.4722222222222224E-4</v>
      </c>
      <c r="X883" t="s">
        <v>2096</v>
      </c>
      <c r="Y883">
        <v>3</v>
      </c>
      <c r="Z883">
        <v>0</v>
      </c>
      <c r="AA883" t="s">
        <v>49</v>
      </c>
      <c r="AB883">
        <v>0</v>
      </c>
      <c r="AC883" t="s">
        <v>49</v>
      </c>
      <c r="AD883">
        <v>0</v>
      </c>
      <c r="AE883">
        <v>-1</v>
      </c>
      <c r="AF883" t="s">
        <v>50</v>
      </c>
      <c r="AG883" t="s">
        <v>1355</v>
      </c>
    </row>
    <row r="884" spans="1:33" x14ac:dyDescent="0.35">
      <c r="A884" s="1">
        <v>44886.819444444445</v>
      </c>
      <c r="B884">
        <v>6456161</v>
      </c>
      <c r="C884" t="s">
        <v>2093</v>
      </c>
      <c r="D884" t="s">
        <v>65</v>
      </c>
      <c r="E884" s="2">
        <v>44211</v>
      </c>
      <c r="F884" t="str">
        <f>"9780128192672"</f>
        <v>9780128192672</v>
      </c>
      <c r="G884" t="str">
        <f>"9780128192641"</f>
        <v>9780128192641</v>
      </c>
      <c r="H884" t="s">
        <v>1256</v>
      </c>
      <c r="I884">
        <v>620.16499999999996</v>
      </c>
      <c r="J884" t="s">
        <v>2094</v>
      </c>
      <c r="K884" t="s">
        <v>55</v>
      </c>
      <c r="Q884" t="s">
        <v>47</v>
      </c>
      <c r="R884" t="s">
        <v>44</v>
      </c>
      <c r="S884">
        <v>0</v>
      </c>
      <c r="W884" s="3">
        <v>9.2592592592592588E-5</v>
      </c>
      <c r="X884" t="s">
        <v>121</v>
      </c>
      <c r="Y884">
        <v>1</v>
      </c>
      <c r="Z884">
        <v>0</v>
      </c>
      <c r="AA884" t="s">
        <v>49</v>
      </c>
      <c r="AB884">
        <v>0</v>
      </c>
      <c r="AC884" t="s">
        <v>49</v>
      </c>
      <c r="AD884">
        <v>0</v>
      </c>
      <c r="AE884">
        <v>-1</v>
      </c>
      <c r="AF884" t="s">
        <v>50</v>
      </c>
      <c r="AG884" t="s">
        <v>1691</v>
      </c>
    </row>
    <row r="885" spans="1:33" x14ac:dyDescent="0.35">
      <c r="A885" s="1">
        <v>44886.711805555555</v>
      </c>
      <c r="B885">
        <v>474562</v>
      </c>
      <c r="C885" t="s">
        <v>2097</v>
      </c>
      <c r="D885" t="s">
        <v>76</v>
      </c>
      <c r="E885" s="2">
        <v>36373</v>
      </c>
      <c r="F885" t="str">
        <f>"9781410604323"</f>
        <v>9781410604323</v>
      </c>
      <c r="G885" t="str">
        <f>"9780805823806"</f>
        <v>9780805823806</v>
      </c>
      <c r="H885" t="s">
        <v>244</v>
      </c>
      <c r="I885" t="s">
        <v>2098</v>
      </c>
      <c r="J885" t="s">
        <v>2099</v>
      </c>
      <c r="K885" t="s">
        <v>44</v>
      </c>
      <c r="N885" t="s">
        <v>45</v>
      </c>
      <c r="O885" t="s">
        <v>46</v>
      </c>
      <c r="P885" t="s">
        <v>45</v>
      </c>
      <c r="Q885" t="s">
        <v>47</v>
      </c>
      <c r="R885" t="s">
        <v>44</v>
      </c>
      <c r="S885">
        <v>0</v>
      </c>
      <c r="W885" s="3">
        <v>1.273148148148148E-4</v>
      </c>
      <c r="X885" t="s">
        <v>2100</v>
      </c>
      <c r="Y885">
        <v>3</v>
      </c>
      <c r="Z885">
        <v>0</v>
      </c>
      <c r="AA885" t="s">
        <v>49</v>
      </c>
      <c r="AB885">
        <v>0</v>
      </c>
      <c r="AC885" t="s">
        <v>49</v>
      </c>
      <c r="AD885">
        <v>0</v>
      </c>
      <c r="AE885">
        <v>10346735</v>
      </c>
      <c r="AF885" t="s">
        <v>50</v>
      </c>
      <c r="AG885" t="s">
        <v>388</v>
      </c>
    </row>
    <row r="886" spans="1:33" x14ac:dyDescent="0.35">
      <c r="A886" s="1">
        <v>44886.686111111114</v>
      </c>
      <c r="B886">
        <v>675046</v>
      </c>
      <c r="C886" t="s">
        <v>796</v>
      </c>
      <c r="D886" t="s">
        <v>59</v>
      </c>
      <c r="E886" s="2">
        <v>40603</v>
      </c>
      <c r="F886" t="str">
        <f>"9780470905081"</f>
        <v>9780470905081</v>
      </c>
      <c r="G886" t="str">
        <f>"9780470494172"</f>
        <v>9780470494172</v>
      </c>
      <c r="H886" t="s">
        <v>95</v>
      </c>
      <c r="I886">
        <v>620.1</v>
      </c>
      <c r="J886" t="s">
        <v>797</v>
      </c>
      <c r="K886" t="s">
        <v>44</v>
      </c>
      <c r="N886" t="s">
        <v>45</v>
      </c>
      <c r="O886" t="s">
        <v>46</v>
      </c>
      <c r="P886" t="s">
        <v>45</v>
      </c>
      <c r="Q886" t="s">
        <v>47</v>
      </c>
      <c r="R886" t="s">
        <v>44</v>
      </c>
      <c r="S886">
        <v>0</v>
      </c>
      <c r="W886" s="3">
        <v>4.5138888888888892E-4</v>
      </c>
      <c r="X886" t="s">
        <v>2101</v>
      </c>
      <c r="Y886">
        <v>6</v>
      </c>
      <c r="Z886">
        <v>0</v>
      </c>
      <c r="AA886" t="s">
        <v>49</v>
      </c>
      <c r="AB886">
        <v>0</v>
      </c>
      <c r="AC886" t="s">
        <v>49</v>
      </c>
      <c r="AD886">
        <v>0</v>
      </c>
      <c r="AE886">
        <v>10454742</v>
      </c>
      <c r="AF886" t="s">
        <v>50</v>
      </c>
      <c r="AG886" t="s">
        <v>388</v>
      </c>
    </row>
    <row r="887" spans="1:33" x14ac:dyDescent="0.35">
      <c r="A887" s="1">
        <v>44886.68472222222</v>
      </c>
      <c r="B887">
        <v>1584558</v>
      </c>
      <c r="C887" t="s">
        <v>2102</v>
      </c>
      <c r="D887" t="s">
        <v>65</v>
      </c>
      <c r="E887" s="2">
        <v>41344</v>
      </c>
      <c r="F887" t="str">
        <f>"9780857097293"</f>
        <v>9780857097293</v>
      </c>
      <c r="G887" t="str">
        <f>"9780857090881"</f>
        <v>9780857090881</v>
      </c>
      <c r="H887" t="s">
        <v>2103</v>
      </c>
      <c r="I887" t="s">
        <v>2104</v>
      </c>
      <c r="J887" t="s">
        <v>2105</v>
      </c>
      <c r="K887" t="s">
        <v>44</v>
      </c>
      <c r="N887" t="s">
        <v>45</v>
      </c>
      <c r="O887" t="s">
        <v>46</v>
      </c>
      <c r="P887" t="s">
        <v>45</v>
      </c>
      <c r="Q887" t="s">
        <v>47</v>
      </c>
      <c r="R887" t="s">
        <v>44</v>
      </c>
      <c r="S887">
        <v>0</v>
      </c>
      <c r="W887" s="3">
        <v>3.4722222222222224E-4</v>
      </c>
      <c r="X887" t="s">
        <v>2106</v>
      </c>
      <c r="Y887">
        <v>6</v>
      </c>
      <c r="Z887">
        <v>0</v>
      </c>
      <c r="AA887" t="s">
        <v>49</v>
      </c>
      <c r="AB887">
        <v>0</v>
      </c>
      <c r="AC887" t="s">
        <v>49</v>
      </c>
      <c r="AD887">
        <v>0</v>
      </c>
      <c r="AE887">
        <v>10767147</v>
      </c>
      <c r="AF887" t="s">
        <v>50</v>
      </c>
      <c r="AG887" t="s">
        <v>388</v>
      </c>
    </row>
    <row r="888" spans="1:33" x14ac:dyDescent="0.35">
      <c r="A888" s="1">
        <v>44886.667361111111</v>
      </c>
      <c r="B888">
        <v>311429</v>
      </c>
      <c r="C888" t="s">
        <v>2107</v>
      </c>
      <c r="D888" t="s">
        <v>65</v>
      </c>
      <c r="E888" s="2">
        <v>39303</v>
      </c>
      <c r="F888" t="str">
        <f>"9780080550367"</f>
        <v>9780080550367</v>
      </c>
      <c r="G888" t="str">
        <f>"9780750669276"</f>
        <v>9780750669276</v>
      </c>
      <c r="H888" t="s">
        <v>233</v>
      </c>
      <c r="I888" t="s">
        <v>2108</v>
      </c>
      <c r="J888" t="s">
        <v>2109</v>
      </c>
      <c r="K888" t="s">
        <v>44</v>
      </c>
      <c r="N888" t="s">
        <v>45</v>
      </c>
      <c r="O888" t="s">
        <v>46</v>
      </c>
      <c r="P888" t="s">
        <v>45</v>
      </c>
      <c r="Q888" t="s">
        <v>47</v>
      </c>
      <c r="R888" t="s">
        <v>44</v>
      </c>
      <c r="S888">
        <v>1</v>
      </c>
      <c r="W888" s="3">
        <v>0</v>
      </c>
      <c r="X888" t="s">
        <v>49</v>
      </c>
      <c r="Y888">
        <v>0</v>
      </c>
      <c r="Z888">
        <v>0</v>
      </c>
      <c r="AA888" t="s">
        <v>49</v>
      </c>
      <c r="AB888">
        <v>0</v>
      </c>
      <c r="AC888" t="s">
        <v>49</v>
      </c>
      <c r="AD888">
        <v>0</v>
      </c>
      <c r="AE888">
        <v>10188597</v>
      </c>
      <c r="AF888" t="s">
        <v>63</v>
      </c>
      <c r="AG888" t="s">
        <v>122</v>
      </c>
    </row>
    <row r="889" spans="1:33" x14ac:dyDescent="0.35">
      <c r="A889" s="1">
        <v>44886.658333333333</v>
      </c>
      <c r="B889">
        <v>1394312</v>
      </c>
      <c r="C889" t="s">
        <v>2110</v>
      </c>
      <c r="D889" t="s">
        <v>59</v>
      </c>
      <c r="E889" s="2">
        <v>41547</v>
      </c>
      <c r="F889" t="str">
        <f>"9781118813805"</f>
        <v>9781118813805</v>
      </c>
      <c r="G889" t="str">
        <f>"9781118503256"</f>
        <v>9781118503256</v>
      </c>
      <c r="H889" t="s">
        <v>133</v>
      </c>
      <c r="I889">
        <v>332.6</v>
      </c>
      <c r="J889" t="s">
        <v>2111</v>
      </c>
      <c r="K889" t="s">
        <v>44</v>
      </c>
      <c r="N889" t="s">
        <v>45</v>
      </c>
      <c r="O889" t="s">
        <v>46</v>
      </c>
      <c r="P889" t="s">
        <v>45</v>
      </c>
      <c r="Q889" t="s">
        <v>47</v>
      </c>
      <c r="R889" t="s">
        <v>44</v>
      </c>
      <c r="S889">
        <v>0</v>
      </c>
      <c r="W889" s="3">
        <v>1.7361111111111112E-4</v>
      </c>
      <c r="X889" t="s">
        <v>2112</v>
      </c>
      <c r="Y889">
        <v>3</v>
      </c>
      <c r="Z889">
        <v>0</v>
      </c>
      <c r="AA889" t="s">
        <v>49</v>
      </c>
      <c r="AB889">
        <v>0</v>
      </c>
      <c r="AC889" t="s">
        <v>49</v>
      </c>
      <c r="AD889">
        <v>0</v>
      </c>
      <c r="AE889">
        <v>10767025</v>
      </c>
      <c r="AF889" t="s">
        <v>50</v>
      </c>
      <c r="AG889" t="s">
        <v>1190</v>
      </c>
    </row>
    <row r="890" spans="1:33" x14ac:dyDescent="0.35">
      <c r="A890" s="1">
        <v>44886.646527777775</v>
      </c>
      <c r="B890">
        <v>5596896</v>
      </c>
      <c r="C890" t="s">
        <v>2034</v>
      </c>
      <c r="D890" t="s">
        <v>59</v>
      </c>
      <c r="E890" s="2">
        <v>43440</v>
      </c>
      <c r="F890" t="str">
        <f>"9781119460312"</f>
        <v>9781119460312</v>
      </c>
      <c r="G890" t="str">
        <f>"9781119460220"</f>
        <v>9781119460220</v>
      </c>
      <c r="H890" t="s">
        <v>1929</v>
      </c>
      <c r="I890">
        <v>677</v>
      </c>
      <c r="K890" t="s">
        <v>44</v>
      </c>
      <c r="N890" t="s">
        <v>45</v>
      </c>
      <c r="O890" t="s">
        <v>46</v>
      </c>
      <c r="P890" t="s">
        <v>45</v>
      </c>
      <c r="Q890" t="s">
        <v>47</v>
      </c>
      <c r="R890" t="s">
        <v>44</v>
      </c>
      <c r="S890">
        <v>0</v>
      </c>
      <c r="W890" s="3">
        <v>6.6550925925925935E-3</v>
      </c>
      <c r="X890" t="s">
        <v>2113</v>
      </c>
      <c r="Y890">
        <v>36</v>
      </c>
      <c r="Z890">
        <v>0</v>
      </c>
      <c r="AA890" t="s">
        <v>49</v>
      </c>
      <c r="AB890">
        <v>0</v>
      </c>
      <c r="AC890" t="s">
        <v>49</v>
      </c>
      <c r="AD890">
        <v>0</v>
      </c>
      <c r="AE890">
        <v>-1</v>
      </c>
      <c r="AF890" t="s">
        <v>50</v>
      </c>
      <c r="AG890" t="s">
        <v>388</v>
      </c>
    </row>
    <row r="891" spans="1:33" x14ac:dyDescent="0.35">
      <c r="A891" s="1">
        <v>44886.599305555559</v>
      </c>
      <c r="B891">
        <v>6792356</v>
      </c>
      <c r="C891" t="s">
        <v>512</v>
      </c>
      <c r="D891" t="s">
        <v>213</v>
      </c>
      <c r="E891" s="2">
        <v>44496</v>
      </c>
      <c r="F891" t="str">
        <f>"9780128209073"</f>
        <v>9780128209073</v>
      </c>
      <c r="G891" t="str">
        <f>"9780128206294"</f>
        <v>9780128206294</v>
      </c>
      <c r="H891" t="s">
        <v>513</v>
      </c>
      <c r="I891">
        <v>620.5</v>
      </c>
      <c r="J891" t="s">
        <v>514</v>
      </c>
      <c r="K891" t="s">
        <v>55</v>
      </c>
      <c r="Q891" t="s">
        <v>47</v>
      </c>
      <c r="R891" t="s">
        <v>44</v>
      </c>
      <c r="S891">
        <v>0</v>
      </c>
      <c r="W891" s="3">
        <v>2.5925925925925925E-3</v>
      </c>
      <c r="X891" t="s">
        <v>2114</v>
      </c>
      <c r="Y891">
        <v>6</v>
      </c>
      <c r="Z891">
        <v>0</v>
      </c>
      <c r="AA891" t="s">
        <v>49</v>
      </c>
      <c r="AB891">
        <v>0</v>
      </c>
      <c r="AC891" t="s">
        <v>49</v>
      </c>
      <c r="AD891">
        <v>0</v>
      </c>
      <c r="AE891">
        <v>-1</v>
      </c>
      <c r="AF891" t="s">
        <v>50</v>
      </c>
      <c r="AG891" t="s">
        <v>388</v>
      </c>
    </row>
    <row r="892" spans="1:33" x14ac:dyDescent="0.35">
      <c r="A892" s="1">
        <v>44886.527777777781</v>
      </c>
      <c r="B892">
        <v>1816350</v>
      </c>
      <c r="C892" t="s">
        <v>2115</v>
      </c>
      <c r="D892" t="s">
        <v>2116</v>
      </c>
      <c r="E892" s="2">
        <v>41955</v>
      </c>
      <c r="F892" t="str">
        <f>"9781606504871"</f>
        <v>9781606504871</v>
      </c>
      <c r="G892" t="str">
        <f>"9781606504864"</f>
        <v>9781606504864</v>
      </c>
      <c r="H892" t="s">
        <v>261</v>
      </c>
      <c r="I892">
        <v>628.16200000000003</v>
      </c>
      <c r="J892" t="s">
        <v>2117</v>
      </c>
      <c r="K892" t="s">
        <v>44</v>
      </c>
      <c r="N892" t="s">
        <v>45</v>
      </c>
      <c r="O892" t="s">
        <v>46</v>
      </c>
      <c r="P892" t="s">
        <v>45</v>
      </c>
      <c r="Q892" t="s">
        <v>47</v>
      </c>
      <c r="R892" t="s">
        <v>44</v>
      </c>
      <c r="S892">
        <v>0</v>
      </c>
      <c r="W892" s="3">
        <v>5.3240740740740744E-4</v>
      </c>
      <c r="X892" t="s">
        <v>2118</v>
      </c>
      <c r="Y892">
        <v>16</v>
      </c>
      <c r="Z892">
        <v>1</v>
      </c>
      <c r="AA892" t="s">
        <v>2119</v>
      </c>
      <c r="AB892">
        <v>20</v>
      </c>
      <c r="AC892" t="s">
        <v>49</v>
      </c>
      <c r="AD892">
        <v>0</v>
      </c>
      <c r="AE892">
        <v>10956449</v>
      </c>
      <c r="AF892" t="s">
        <v>50</v>
      </c>
      <c r="AG892" t="s">
        <v>388</v>
      </c>
    </row>
    <row r="893" spans="1:33" x14ac:dyDescent="0.35">
      <c r="A893" s="1">
        <v>44886.506249999999</v>
      </c>
      <c r="B893">
        <v>875843</v>
      </c>
      <c r="C893" t="s">
        <v>1377</v>
      </c>
      <c r="D893" t="s">
        <v>59</v>
      </c>
      <c r="E893" s="2">
        <v>41134</v>
      </c>
      <c r="F893" t="str">
        <f>"9781118332856"</f>
        <v>9781118332856</v>
      </c>
      <c r="G893" t="str">
        <f>"9780470902936"</f>
        <v>9780470902936</v>
      </c>
      <c r="H893" t="s">
        <v>1378</v>
      </c>
      <c r="I893">
        <v>621.40219999999999</v>
      </c>
      <c r="J893" t="s">
        <v>1379</v>
      </c>
      <c r="K893" t="s">
        <v>44</v>
      </c>
      <c r="N893" t="s">
        <v>45</v>
      </c>
      <c r="O893" t="s">
        <v>46</v>
      </c>
      <c r="P893" t="s">
        <v>45</v>
      </c>
      <c r="Q893" t="s">
        <v>47</v>
      </c>
      <c r="R893" t="s">
        <v>44</v>
      </c>
      <c r="S893">
        <v>0</v>
      </c>
      <c r="W893" s="3">
        <v>1.6203703703703703E-4</v>
      </c>
      <c r="X893" t="s">
        <v>121</v>
      </c>
      <c r="Y893">
        <v>1</v>
      </c>
      <c r="Z893">
        <v>0</v>
      </c>
      <c r="AA893" t="s">
        <v>49</v>
      </c>
      <c r="AB893">
        <v>0</v>
      </c>
      <c r="AC893" t="s">
        <v>49</v>
      </c>
      <c r="AD893">
        <v>0</v>
      </c>
      <c r="AE893">
        <v>10593121</v>
      </c>
      <c r="AF893" t="s">
        <v>50</v>
      </c>
      <c r="AG893" t="s">
        <v>388</v>
      </c>
    </row>
    <row r="894" spans="1:33" x14ac:dyDescent="0.35">
      <c r="A894" s="1">
        <v>44886.505555555559</v>
      </c>
      <c r="B894">
        <v>887131</v>
      </c>
      <c r="C894" t="s">
        <v>1373</v>
      </c>
      <c r="D894" t="s">
        <v>1224</v>
      </c>
      <c r="E894" s="2">
        <v>40983</v>
      </c>
      <c r="F894" t="str">
        <f>"9783110253399"</f>
        <v>9783110253399</v>
      </c>
      <c r="G894" t="str">
        <f>"9783110253023"</f>
        <v>9783110253023</v>
      </c>
      <c r="H894" t="s">
        <v>1374</v>
      </c>
      <c r="I894" t="s">
        <v>434</v>
      </c>
      <c r="J894" t="s">
        <v>1375</v>
      </c>
      <c r="K894" t="s">
        <v>44</v>
      </c>
      <c r="N894" t="s">
        <v>45</v>
      </c>
      <c r="O894" t="s">
        <v>46</v>
      </c>
      <c r="P894" t="s">
        <v>45</v>
      </c>
      <c r="Q894" t="s">
        <v>47</v>
      </c>
      <c r="R894" t="s">
        <v>44</v>
      </c>
      <c r="S894">
        <v>0</v>
      </c>
      <c r="W894" s="3">
        <v>4.6296296296296294E-5</v>
      </c>
      <c r="X894" t="s">
        <v>121</v>
      </c>
      <c r="Y894">
        <v>1</v>
      </c>
      <c r="Z894">
        <v>0</v>
      </c>
      <c r="AA894" t="s">
        <v>49</v>
      </c>
      <c r="AB894">
        <v>0</v>
      </c>
      <c r="AC894" t="s">
        <v>49</v>
      </c>
      <c r="AD894">
        <v>0</v>
      </c>
      <c r="AE894">
        <v>10554726</v>
      </c>
      <c r="AF894" t="s">
        <v>50</v>
      </c>
      <c r="AG894" t="s">
        <v>388</v>
      </c>
    </row>
    <row r="895" spans="1:33" x14ac:dyDescent="0.35">
      <c r="A895" s="1">
        <v>44886.502083333333</v>
      </c>
      <c r="B895">
        <v>6133748</v>
      </c>
      <c r="C895" t="s">
        <v>2120</v>
      </c>
      <c r="D895" t="s">
        <v>105</v>
      </c>
      <c r="E895" s="2">
        <v>43902</v>
      </c>
      <c r="F895" t="str">
        <f>"9783030353469"</f>
        <v>9783030353469</v>
      </c>
      <c r="G895" t="str">
        <f>"9783030353452"</f>
        <v>9783030353452</v>
      </c>
      <c r="H895" t="s">
        <v>513</v>
      </c>
      <c r="I895">
        <v>629.13400000000001</v>
      </c>
      <c r="J895" t="s">
        <v>2121</v>
      </c>
      <c r="K895" t="s">
        <v>55</v>
      </c>
      <c r="Q895" t="s">
        <v>47</v>
      </c>
      <c r="R895" t="s">
        <v>44</v>
      </c>
      <c r="S895">
        <v>0</v>
      </c>
      <c r="W895" s="3">
        <v>6.4004629629629628E-3</v>
      </c>
      <c r="X895" t="s">
        <v>2122</v>
      </c>
      <c r="Y895">
        <v>6</v>
      </c>
      <c r="Z895">
        <v>0</v>
      </c>
      <c r="AA895" t="s">
        <v>49</v>
      </c>
      <c r="AB895">
        <v>0</v>
      </c>
      <c r="AC895" t="s">
        <v>49</v>
      </c>
      <c r="AD895">
        <v>0</v>
      </c>
      <c r="AE895">
        <v>-1</v>
      </c>
      <c r="AF895" t="s">
        <v>50</v>
      </c>
      <c r="AG895" t="s">
        <v>388</v>
      </c>
    </row>
    <row r="896" spans="1:33" x14ac:dyDescent="0.35">
      <c r="A896" s="1">
        <v>44886.499305555553</v>
      </c>
      <c r="B896">
        <v>3108942</v>
      </c>
      <c r="C896" t="s">
        <v>1138</v>
      </c>
      <c r="D896" t="s">
        <v>1139</v>
      </c>
      <c r="E896" s="2">
        <v>34669</v>
      </c>
      <c r="F896" t="str">
        <f>"9789401106856"</f>
        <v>9789401106856</v>
      </c>
      <c r="G896" t="str">
        <f>"9789401042963"</f>
        <v>9789401042963</v>
      </c>
      <c r="H896" t="s">
        <v>208</v>
      </c>
      <c r="I896">
        <v>629.13400000000001</v>
      </c>
      <c r="J896" t="s">
        <v>1140</v>
      </c>
      <c r="K896" t="s">
        <v>44</v>
      </c>
      <c r="N896" t="s">
        <v>45</v>
      </c>
      <c r="O896" t="s">
        <v>46</v>
      </c>
      <c r="P896" t="s">
        <v>45</v>
      </c>
      <c r="Q896" t="s">
        <v>47</v>
      </c>
      <c r="R896" t="s">
        <v>44</v>
      </c>
      <c r="S896">
        <v>0</v>
      </c>
      <c r="W896" s="3">
        <v>4.8611111111111104E-4</v>
      </c>
      <c r="X896" t="s">
        <v>2123</v>
      </c>
      <c r="Y896">
        <v>10</v>
      </c>
      <c r="Z896">
        <v>0</v>
      </c>
      <c r="AA896" t="s">
        <v>49</v>
      </c>
      <c r="AB896">
        <v>0</v>
      </c>
      <c r="AC896" t="s">
        <v>49</v>
      </c>
      <c r="AD896">
        <v>0</v>
      </c>
      <c r="AE896">
        <v>11039346</v>
      </c>
      <c r="AF896" t="s">
        <v>50</v>
      </c>
      <c r="AG896" t="s">
        <v>388</v>
      </c>
    </row>
    <row r="897" spans="1:33" x14ac:dyDescent="0.35">
      <c r="A897" s="1">
        <v>44886.484027777777</v>
      </c>
      <c r="B897">
        <v>6130885</v>
      </c>
      <c r="C897" t="s">
        <v>2124</v>
      </c>
      <c r="D897" t="s">
        <v>2125</v>
      </c>
      <c r="E897" s="2">
        <v>43921</v>
      </c>
      <c r="F897" t="str">
        <f>"9781000044133"</f>
        <v>9781000044133</v>
      </c>
      <c r="G897" t="str">
        <f>"9780367247799"</f>
        <v>9780367247799</v>
      </c>
      <c r="H897" t="s">
        <v>60</v>
      </c>
      <c r="I897">
        <v>658.4</v>
      </c>
      <c r="J897" t="s">
        <v>2126</v>
      </c>
      <c r="K897" t="s">
        <v>55</v>
      </c>
      <c r="Q897" t="s">
        <v>47</v>
      </c>
      <c r="R897" t="s">
        <v>44</v>
      </c>
      <c r="S897">
        <v>0</v>
      </c>
      <c r="W897" s="3">
        <v>6.3194444444444444E-3</v>
      </c>
      <c r="X897" t="s">
        <v>2127</v>
      </c>
      <c r="Y897">
        <v>10</v>
      </c>
      <c r="Z897">
        <v>0</v>
      </c>
      <c r="AA897" t="s">
        <v>49</v>
      </c>
      <c r="AB897">
        <v>0</v>
      </c>
      <c r="AC897" t="s">
        <v>49</v>
      </c>
      <c r="AD897">
        <v>0</v>
      </c>
      <c r="AE897">
        <v>-1</v>
      </c>
      <c r="AF897" t="s">
        <v>50</v>
      </c>
      <c r="AG897" t="s">
        <v>2128</v>
      </c>
    </row>
    <row r="898" spans="1:33" x14ac:dyDescent="0.35">
      <c r="A898" s="1">
        <v>44886.482638888891</v>
      </c>
      <c r="B898">
        <v>6233986</v>
      </c>
      <c r="C898" t="s">
        <v>2129</v>
      </c>
      <c r="D898" t="s">
        <v>105</v>
      </c>
      <c r="E898" s="2">
        <v>44005</v>
      </c>
      <c r="F898" t="str">
        <f>"9783030481223"</f>
        <v>9783030481223</v>
      </c>
      <c r="G898" t="str">
        <f>"9783030481216"</f>
        <v>9783030481216</v>
      </c>
      <c r="H898" t="s">
        <v>95</v>
      </c>
      <c r="I898">
        <v>620.16</v>
      </c>
      <c r="J898" t="s">
        <v>2121</v>
      </c>
      <c r="K898" t="s">
        <v>55</v>
      </c>
      <c r="Q898" t="s">
        <v>47</v>
      </c>
      <c r="R898" t="s">
        <v>44</v>
      </c>
      <c r="S898">
        <v>0</v>
      </c>
      <c r="W898" s="3">
        <v>3.5879629629629635E-4</v>
      </c>
      <c r="X898" t="s">
        <v>2130</v>
      </c>
      <c r="Y898">
        <v>5</v>
      </c>
      <c r="Z898">
        <v>0</v>
      </c>
      <c r="AA898" t="s">
        <v>49</v>
      </c>
      <c r="AB898">
        <v>0</v>
      </c>
      <c r="AC898" t="s">
        <v>49</v>
      </c>
      <c r="AD898">
        <v>0</v>
      </c>
      <c r="AE898">
        <v>-1</v>
      </c>
      <c r="AF898" t="s">
        <v>50</v>
      </c>
      <c r="AG898" t="s">
        <v>388</v>
      </c>
    </row>
    <row r="899" spans="1:33" x14ac:dyDescent="0.35">
      <c r="A899" s="1">
        <v>44886.467361111114</v>
      </c>
      <c r="B899">
        <v>6233986</v>
      </c>
      <c r="C899" t="s">
        <v>2129</v>
      </c>
      <c r="D899" t="s">
        <v>105</v>
      </c>
      <c r="E899" s="2">
        <v>44005</v>
      </c>
      <c r="F899" t="str">
        <f>"9783030481223"</f>
        <v>9783030481223</v>
      </c>
      <c r="G899" t="str">
        <f>"9783030481216"</f>
        <v>9783030481216</v>
      </c>
      <c r="H899" t="s">
        <v>95</v>
      </c>
      <c r="I899">
        <v>620.16</v>
      </c>
      <c r="J899" t="s">
        <v>2121</v>
      </c>
      <c r="K899" t="s">
        <v>55</v>
      </c>
      <c r="Q899" t="s">
        <v>47</v>
      </c>
      <c r="R899" t="s">
        <v>44</v>
      </c>
      <c r="S899">
        <v>0</v>
      </c>
      <c r="W899" s="3">
        <v>8.1944444444444452E-3</v>
      </c>
      <c r="X899" t="s">
        <v>2131</v>
      </c>
      <c r="Y899">
        <v>4</v>
      </c>
      <c r="Z899">
        <v>0</v>
      </c>
      <c r="AA899" t="s">
        <v>49</v>
      </c>
      <c r="AB899">
        <v>0</v>
      </c>
      <c r="AC899" t="s">
        <v>49</v>
      </c>
      <c r="AD899">
        <v>0</v>
      </c>
      <c r="AE899">
        <v>-1</v>
      </c>
      <c r="AF899" t="s">
        <v>50</v>
      </c>
      <c r="AG899" t="s">
        <v>388</v>
      </c>
    </row>
    <row r="900" spans="1:33" x14ac:dyDescent="0.35">
      <c r="A900" s="1">
        <v>44886.463194444441</v>
      </c>
      <c r="B900">
        <v>1446430</v>
      </c>
      <c r="C900" t="s">
        <v>99</v>
      </c>
      <c r="D900" t="s">
        <v>76</v>
      </c>
      <c r="E900" s="2">
        <v>40274</v>
      </c>
      <c r="F900" t="str">
        <f>"9781439882573"</f>
        <v>9781439882573</v>
      </c>
      <c r="G900" t="str">
        <f>"9781420085983"</f>
        <v>9781420085983</v>
      </c>
      <c r="H900" t="s">
        <v>100</v>
      </c>
      <c r="I900" t="s">
        <v>101</v>
      </c>
      <c r="J900" t="s">
        <v>102</v>
      </c>
      <c r="K900" t="s">
        <v>44</v>
      </c>
      <c r="N900" t="s">
        <v>45</v>
      </c>
      <c r="O900" t="s">
        <v>46</v>
      </c>
      <c r="P900" t="s">
        <v>45</v>
      </c>
      <c r="Q900" t="s">
        <v>47</v>
      </c>
      <c r="R900" t="s">
        <v>44</v>
      </c>
      <c r="S900">
        <v>0</v>
      </c>
      <c r="W900" s="3">
        <v>1.6782407407407406E-3</v>
      </c>
      <c r="X900" t="s">
        <v>2132</v>
      </c>
      <c r="Y900">
        <v>29</v>
      </c>
      <c r="Z900">
        <v>0</v>
      </c>
      <c r="AA900" t="s">
        <v>49</v>
      </c>
      <c r="AB900">
        <v>0</v>
      </c>
      <c r="AC900" t="s">
        <v>49</v>
      </c>
      <c r="AD900">
        <v>0</v>
      </c>
      <c r="AE900">
        <v>11166018</v>
      </c>
      <c r="AF900" t="s">
        <v>50</v>
      </c>
      <c r="AG900" t="s">
        <v>388</v>
      </c>
    </row>
    <row r="901" spans="1:33" x14ac:dyDescent="0.35">
      <c r="A901" s="1">
        <v>44886.461111111108</v>
      </c>
      <c r="B901">
        <v>5969438</v>
      </c>
      <c r="C901" t="s">
        <v>917</v>
      </c>
      <c r="D901" t="s">
        <v>105</v>
      </c>
      <c r="E901" s="2">
        <v>43780</v>
      </c>
      <c r="F901" t="str">
        <f>"9783030244408"</f>
        <v>9783030244408</v>
      </c>
      <c r="G901" t="str">
        <f>"9783030244392"</f>
        <v>9783030244392</v>
      </c>
      <c r="H901" t="s">
        <v>918</v>
      </c>
      <c r="I901">
        <v>669.94</v>
      </c>
      <c r="J901" t="s">
        <v>919</v>
      </c>
      <c r="K901" t="s">
        <v>55</v>
      </c>
      <c r="Q901" t="s">
        <v>47</v>
      </c>
      <c r="R901" t="s">
        <v>44</v>
      </c>
      <c r="S901">
        <v>0</v>
      </c>
      <c r="W901" s="3">
        <v>3.425925925925926E-3</v>
      </c>
      <c r="X901" t="s">
        <v>2133</v>
      </c>
      <c r="Y901">
        <v>13</v>
      </c>
      <c r="Z901">
        <v>0</v>
      </c>
      <c r="AA901" t="s">
        <v>49</v>
      </c>
      <c r="AB901">
        <v>0</v>
      </c>
      <c r="AC901" t="s">
        <v>49</v>
      </c>
      <c r="AD901">
        <v>0</v>
      </c>
      <c r="AE901">
        <v>-1</v>
      </c>
      <c r="AF901" t="s">
        <v>50</v>
      </c>
      <c r="AG901" t="s">
        <v>388</v>
      </c>
    </row>
    <row r="902" spans="1:33" x14ac:dyDescent="0.35">
      <c r="A902" s="1">
        <v>44886.459027777775</v>
      </c>
      <c r="B902">
        <v>5719694</v>
      </c>
      <c r="C902" t="s">
        <v>1661</v>
      </c>
      <c r="D902" t="s">
        <v>65</v>
      </c>
      <c r="E902" s="2">
        <v>43522</v>
      </c>
      <c r="F902" t="str">
        <f>"9780128182550"</f>
        <v>9780128182550</v>
      </c>
      <c r="G902" t="str">
        <f>"9780081026311"</f>
        <v>9780081026311</v>
      </c>
      <c r="H902" t="s">
        <v>1662</v>
      </c>
      <c r="I902" t="s">
        <v>1663</v>
      </c>
      <c r="J902" t="s">
        <v>1664</v>
      </c>
      <c r="K902" t="s">
        <v>55</v>
      </c>
      <c r="Q902" t="s">
        <v>47</v>
      </c>
      <c r="R902" t="s">
        <v>44</v>
      </c>
      <c r="S902">
        <v>0</v>
      </c>
      <c r="W902" s="3">
        <v>2.2106481481481478E-3</v>
      </c>
      <c r="X902" t="s">
        <v>2134</v>
      </c>
      <c r="Y902">
        <v>7</v>
      </c>
      <c r="Z902">
        <v>0</v>
      </c>
      <c r="AA902" t="s">
        <v>49</v>
      </c>
      <c r="AB902">
        <v>0</v>
      </c>
      <c r="AC902" t="s">
        <v>49</v>
      </c>
      <c r="AD902">
        <v>0</v>
      </c>
      <c r="AE902">
        <v>11656711</v>
      </c>
      <c r="AF902" t="s">
        <v>50</v>
      </c>
      <c r="AG902" t="s">
        <v>216</v>
      </c>
    </row>
    <row r="903" spans="1:33" x14ac:dyDescent="0.35">
      <c r="A903" s="1">
        <v>44886.456944444442</v>
      </c>
      <c r="B903">
        <v>605151</v>
      </c>
      <c r="C903" t="s">
        <v>2135</v>
      </c>
      <c r="D903" t="s">
        <v>76</v>
      </c>
      <c r="E903" s="2">
        <v>40540</v>
      </c>
      <c r="F903" t="str">
        <f>"9781409408239"</f>
        <v>9781409408239</v>
      </c>
      <c r="G903" t="str">
        <f>"9781409408222"</f>
        <v>9781409408222</v>
      </c>
      <c r="H903" t="s">
        <v>60</v>
      </c>
      <c r="I903">
        <v>387.10953569999998</v>
      </c>
      <c r="J903" t="s">
        <v>2136</v>
      </c>
      <c r="K903" t="s">
        <v>44</v>
      </c>
      <c r="N903" t="s">
        <v>45</v>
      </c>
      <c r="O903" t="s">
        <v>46</v>
      </c>
      <c r="P903" t="s">
        <v>45</v>
      </c>
      <c r="Q903" t="s">
        <v>47</v>
      </c>
      <c r="R903" t="s">
        <v>44</v>
      </c>
      <c r="S903">
        <v>0</v>
      </c>
      <c r="W903" s="3">
        <v>0</v>
      </c>
      <c r="X903" t="s">
        <v>49</v>
      </c>
      <c r="Y903">
        <v>0</v>
      </c>
      <c r="Z903">
        <v>1</v>
      </c>
      <c r="AA903" t="s">
        <v>2137</v>
      </c>
      <c r="AB903">
        <v>14</v>
      </c>
      <c r="AC903" t="s">
        <v>49</v>
      </c>
      <c r="AD903">
        <v>0</v>
      </c>
      <c r="AE903">
        <v>10428183</v>
      </c>
      <c r="AF903" t="s">
        <v>50</v>
      </c>
      <c r="AG903" t="s">
        <v>388</v>
      </c>
    </row>
    <row r="904" spans="1:33" x14ac:dyDescent="0.35">
      <c r="A904" s="1">
        <v>44886.453472222223</v>
      </c>
      <c r="B904">
        <v>605151</v>
      </c>
      <c r="C904" t="s">
        <v>2135</v>
      </c>
      <c r="D904" t="s">
        <v>76</v>
      </c>
      <c r="E904" s="2">
        <v>40540</v>
      </c>
      <c r="F904" t="str">
        <f>"9781409408239"</f>
        <v>9781409408239</v>
      </c>
      <c r="G904" t="str">
        <f>"9781409408222"</f>
        <v>9781409408222</v>
      </c>
      <c r="H904" t="s">
        <v>60</v>
      </c>
      <c r="I904">
        <v>387.10953569999998</v>
      </c>
      <c r="J904" t="s">
        <v>2136</v>
      </c>
      <c r="K904" t="s">
        <v>44</v>
      </c>
      <c r="N904" t="s">
        <v>45</v>
      </c>
      <c r="O904" t="s">
        <v>46</v>
      </c>
      <c r="P904" t="s">
        <v>45</v>
      </c>
      <c r="Q904" t="s">
        <v>47</v>
      </c>
      <c r="R904" t="s">
        <v>44</v>
      </c>
      <c r="S904">
        <v>0</v>
      </c>
      <c r="W904" s="3">
        <v>0</v>
      </c>
      <c r="X904" t="s">
        <v>49</v>
      </c>
      <c r="Y904">
        <v>0</v>
      </c>
      <c r="Z904">
        <v>6</v>
      </c>
      <c r="AA904" t="s">
        <v>2138</v>
      </c>
      <c r="AB904">
        <v>43</v>
      </c>
      <c r="AC904" t="s">
        <v>49</v>
      </c>
      <c r="AD904">
        <v>0</v>
      </c>
      <c r="AE904">
        <v>10428183</v>
      </c>
      <c r="AF904" t="s">
        <v>50</v>
      </c>
      <c r="AG904" t="s">
        <v>388</v>
      </c>
    </row>
    <row r="905" spans="1:33" x14ac:dyDescent="0.35">
      <c r="A905" s="1">
        <v>44886.45208333333</v>
      </c>
      <c r="B905">
        <v>605151</v>
      </c>
      <c r="C905" t="s">
        <v>2135</v>
      </c>
      <c r="D905" t="s">
        <v>76</v>
      </c>
      <c r="E905" s="2">
        <v>40540</v>
      </c>
      <c r="F905" t="str">
        <f>"9781409408239"</f>
        <v>9781409408239</v>
      </c>
      <c r="G905" t="str">
        <f>"9781409408222"</f>
        <v>9781409408222</v>
      </c>
      <c r="H905" t="s">
        <v>60</v>
      </c>
      <c r="I905">
        <v>387.10953569999998</v>
      </c>
      <c r="J905" t="s">
        <v>2136</v>
      </c>
      <c r="K905" t="s">
        <v>44</v>
      </c>
      <c r="N905" t="s">
        <v>45</v>
      </c>
      <c r="O905" t="s">
        <v>46</v>
      </c>
      <c r="P905" t="s">
        <v>45</v>
      </c>
      <c r="Q905" t="s">
        <v>47</v>
      </c>
      <c r="R905" t="s">
        <v>44</v>
      </c>
      <c r="S905">
        <v>0</v>
      </c>
      <c r="W905" s="3">
        <v>1.1574074074074073E-5</v>
      </c>
      <c r="X905" t="s">
        <v>49</v>
      </c>
      <c r="Y905">
        <v>0</v>
      </c>
      <c r="Z905">
        <v>3</v>
      </c>
      <c r="AA905" t="s">
        <v>2139</v>
      </c>
      <c r="AB905">
        <v>54</v>
      </c>
      <c r="AC905" t="s">
        <v>49</v>
      </c>
      <c r="AD905">
        <v>0</v>
      </c>
      <c r="AE905">
        <v>10428183</v>
      </c>
      <c r="AF905" t="s">
        <v>50</v>
      </c>
      <c r="AG905" t="s">
        <v>388</v>
      </c>
    </row>
    <row r="906" spans="1:33" x14ac:dyDescent="0.35">
      <c r="A906" s="1">
        <v>44886.450694444444</v>
      </c>
      <c r="B906">
        <v>605151</v>
      </c>
      <c r="C906" t="s">
        <v>2135</v>
      </c>
      <c r="D906" t="s">
        <v>76</v>
      </c>
      <c r="E906" s="2">
        <v>40540</v>
      </c>
      <c r="F906" t="str">
        <f>"9781409408239"</f>
        <v>9781409408239</v>
      </c>
      <c r="G906" t="str">
        <f>"9781409408222"</f>
        <v>9781409408222</v>
      </c>
      <c r="H906" t="s">
        <v>60</v>
      </c>
      <c r="I906">
        <v>387.10953569999998</v>
      </c>
      <c r="J906" t="s">
        <v>2136</v>
      </c>
      <c r="K906" t="s">
        <v>44</v>
      </c>
      <c r="N906" t="s">
        <v>45</v>
      </c>
      <c r="O906" t="s">
        <v>46</v>
      </c>
      <c r="P906" t="s">
        <v>45</v>
      </c>
      <c r="Q906" t="s">
        <v>47</v>
      </c>
      <c r="R906" t="s">
        <v>44</v>
      </c>
      <c r="S906">
        <v>0</v>
      </c>
      <c r="W906" s="3">
        <v>1.1574074074074073E-5</v>
      </c>
      <c r="X906" t="s">
        <v>49</v>
      </c>
      <c r="Y906">
        <v>0</v>
      </c>
      <c r="Z906">
        <v>3</v>
      </c>
      <c r="AA906" t="s">
        <v>2140</v>
      </c>
      <c r="AB906">
        <v>78</v>
      </c>
      <c r="AC906" t="s">
        <v>49</v>
      </c>
      <c r="AD906">
        <v>0</v>
      </c>
      <c r="AE906">
        <v>10428183</v>
      </c>
      <c r="AF906" t="s">
        <v>50</v>
      </c>
      <c r="AG906" t="s">
        <v>388</v>
      </c>
    </row>
    <row r="907" spans="1:33" x14ac:dyDescent="0.35">
      <c r="A907" s="1">
        <v>44886.438888888886</v>
      </c>
      <c r="B907">
        <v>6688528</v>
      </c>
      <c r="C907" t="s">
        <v>2141</v>
      </c>
      <c r="D907" t="s">
        <v>76</v>
      </c>
      <c r="E907" s="2">
        <v>44378</v>
      </c>
      <c r="F907" t="str">
        <f>"9780429639135"</f>
        <v>9780429639135</v>
      </c>
      <c r="G907" t="str">
        <f>"9780367139964"</f>
        <v>9780367139964</v>
      </c>
      <c r="H907" t="s">
        <v>244</v>
      </c>
      <c r="I907">
        <v>155.82</v>
      </c>
      <c r="J907" t="s">
        <v>2142</v>
      </c>
      <c r="K907" t="s">
        <v>55</v>
      </c>
      <c r="Q907" t="s">
        <v>47</v>
      </c>
      <c r="R907" t="s">
        <v>44</v>
      </c>
      <c r="S907">
        <v>0</v>
      </c>
      <c r="W907" s="3">
        <v>6.018518518518519E-4</v>
      </c>
      <c r="X907" t="s">
        <v>2143</v>
      </c>
      <c r="Y907">
        <v>8</v>
      </c>
      <c r="Z907">
        <v>0</v>
      </c>
      <c r="AA907" t="s">
        <v>49</v>
      </c>
      <c r="AB907">
        <v>0</v>
      </c>
      <c r="AC907" t="s">
        <v>49</v>
      </c>
      <c r="AD907">
        <v>0</v>
      </c>
      <c r="AE907">
        <v>-1</v>
      </c>
      <c r="AF907" t="s">
        <v>50</v>
      </c>
      <c r="AG907" t="s">
        <v>2144</v>
      </c>
    </row>
    <row r="908" spans="1:33" x14ac:dyDescent="0.35">
      <c r="A908" s="1">
        <v>44886.427777777775</v>
      </c>
      <c r="B908">
        <v>6646917</v>
      </c>
      <c r="C908" t="s">
        <v>2145</v>
      </c>
      <c r="D908" t="s">
        <v>769</v>
      </c>
      <c r="E908" s="2">
        <v>44378</v>
      </c>
      <c r="F908" t="str">
        <f>"9781000417197"</f>
        <v>9781000417197</v>
      </c>
      <c r="G908" t="str">
        <f>"9780367568306"</f>
        <v>9780367568306</v>
      </c>
      <c r="H908" t="s">
        <v>233</v>
      </c>
      <c r="I908">
        <v>629.25490000000002</v>
      </c>
      <c r="J908" t="s">
        <v>2146</v>
      </c>
      <c r="K908" t="s">
        <v>55</v>
      </c>
      <c r="Q908" t="s">
        <v>47</v>
      </c>
      <c r="R908" t="s">
        <v>44</v>
      </c>
      <c r="S908">
        <v>0</v>
      </c>
      <c r="W908" s="3">
        <v>2.6620370370370372E-4</v>
      </c>
      <c r="X908" t="s">
        <v>2147</v>
      </c>
      <c r="Y908">
        <v>5</v>
      </c>
      <c r="Z908">
        <v>0</v>
      </c>
      <c r="AA908" t="s">
        <v>49</v>
      </c>
      <c r="AB908">
        <v>0</v>
      </c>
      <c r="AC908" t="s">
        <v>49</v>
      </c>
      <c r="AD908">
        <v>0</v>
      </c>
      <c r="AE908">
        <v>-1</v>
      </c>
      <c r="AF908" t="s">
        <v>50</v>
      </c>
      <c r="AG908" t="s">
        <v>2148</v>
      </c>
    </row>
    <row r="909" spans="1:33" x14ac:dyDescent="0.35">
      <c r="A909" s="1">
        <v>44885.840277777781</v>
      </c>
      <c r="B909">
        <v>4708253</v>
      </c>
      <c r="C909" t="s">
        <v>1925</v>
      </c>
      <c r="D909" t="s">
        <v>1926</v>
      </c>
      <c r="E909" s="2">
        <v>41039</v>
      </c>
      <c r="F909" t="str">
        <f>"9781780322261"</f>
        <v>9781780322261</v>
      </c>
      <c r="G909" t="str">
        <f>"9781780322247"</f>
        <v>9781780322247</v>
      </c>
      <c r="H909" t="s">
        <v>348</v>
      </c>
      <c r="I909">
        <v>909.09749270831105</v>
      </c>
      <c r="J909" t="s">
        <v>1927</v>
      </c>
      <c r="K909" t="s">
        <v>55</v>
      </c>
      <c r="P909" t="s">
        <v>97</v>
      </c>
      <c r="Q909" t="s">
        <v>47</v>
      </c>
      <c r="R909" t="s">
        <v>44</v>
      </c>
      <c r="S909">
        <v>0</v>
      </c>
      <c r="W909" s="3">
        <v>3.4722222222222222E-5</v>
      </c>
      <c r="X909" t="s">
        <v>121</v>
      </c>
      <c r="Y909">
        <v>1</v>
      </c>
      <c r="Z909">
        <v>0</v>
      </c>
      <c r="AA909" t="s">
        <v>49</v>
      </c>
      <c r="AB909">
        <v>0</v>
      </c>
      <c r="AC909" t="s">
        <v>49</v>
      </c>
      <c r="AD909">
        <v>0</v>
      </c>
      <c r="AE909">
        <v>11275692</v>
      </c>
      <c r="AF909" t="s">
        <v>50</v>
      </c>
      <c r="AG909" t="s">
        <v>388</v>
      </c>
    </row>
    <row r="910" spans="1:33" x14ac:dyDescent="0.35">
      <c r="A910" s="1">
        <v>44885.836805555555</v>
      </c>
      <c r="B910">
        <v>1580905</v>
      </c>
      <c r="C910" t="s">
        <v>2149</v>
      </c>
      <c r="D910" t="s">
        <v>2150</v>
      </c>
      <c r="E910" s="2">
        <v>41821</v>
      </c>
      <c r="F910" t="str">
        <f>"9781617051142"</f>
        <v>9781617051142</v>
      </c>
      <c r="G910" t="str">
        <f>"9781936287666"</f>
        <v>9781936287666</v>
      </c>
      <c r="H910" t="s">
        <v>77</v>
      </c>
      <c r="I910">
        <v>617.9</v>
      </c>
      <c r="J910" t="s">
        <v>2151</v>
      </c>
      <c r="K910" t="s">
        <v>44</v>
      </c>
      <c r="N910" t="s">
        <v>45</v>
      </c>
      <c r="O910" t="s">
        <v>46</v>
      </c>
      <c r="P910" t="s">
        <v>45</v>
      </c>
      <c r="Q910" t="s">
        <v>47</v>
      </c>
      <c r="R910" t="s">
        <v>44</v>
      </c>
      <c r="S910">
        <v>1</v>
      </c>
      <c r="W910" s="3">
        <v>0</v>
      </c>
      <c r="X910" t="s">
        <v>49</v>
      </c>
      <c r="Y910">
        <v>0</v>
      </c>
      <c r="Z910">
        <v>0</v>
      </c>
      <c r="AA910" t="s">
        <v>49</v>
      </c>
      <c r="AB910">
        <v>0</v>
      </c>
      <c r="AC910" t="s">
        <v>49</v>
      </c>
      <c r="AD910">
        <v>0</v>
      </c>
      <c r="AE910">
        <v>10819084</v>
      </c>
      <c r="AF910" t="s">
        <v>63</v>
      </c>
      <c r="AG910" t="s">
        <v>670</v>
      </c>
    </row>
    <row r="911" spans="1:33" x14ac:dyDescent="0.35">
      <c r="A911" s="1">
        <v>44885.834722222222</v>
      </c>
      <c r="B911">
        <v>5553653</v>
      </c>
      <c r="C911" t="s">
        <v>2029</v>
      </c>
      <c r="D911" t="s">
        <v>2030</v>
      </c>
      <c r="E911" s="2">
        <v>43617</v>
      </c>
      <c r="F911" t="str">
        <f>"9781633411319"</f>
        <v>9781633411319</v>
      </c>
      <c r="G911" t="str">
        <f>"9781938875182"</f>
        <v>9781938875182</v>
      </c>
      <c r="H911" t="s">
        <v>2031</v>
      </c>
      <c r="I911">
        <v>1.9420972999999999</v>
      </c>
      <c r="J911" t="s">
        <v>2032</v>
      </c>
      <c r="K911" t="s">
        <v>55</v>
      </c>
      <c r="Q911" t="s">
        <v>47</v>
      </c>
      <c r="R911" t="s">
        <v>44</v>
      </c>
      <c r="S911">
        <v>0</v>
      </c>
      <c r="W911" s="3">
        <v>1.5277777777777779E-3</v>
      </c>
      <c r="X911" t="s">
        <v>2152</v>
      </c>
      <c r="Y911">
        <v>10</v>
      </c>
      <c r="Z911">
        <v>0</v>
      </c>
      <c r="AA911" t="s">
        <v>49</v>
      </c>
      <c r="AB911">
        <v>0</v>
      </c>
      <c r="AC911" t="s">
        <v>49</v>
      </c>
      <c r="AD911">
        <v>0</v>
      </c>
      <c r="AE911">
        <v>-1</v>
      </c>
      <c r="AF911" t="s">
        <v>50</v>
      </c>
      <c r="AG911" t="s">
        <v>388</v>
      </c>
    </row>
    <row r="912" spans="1:33" x14ac:dyDescent="0.35">
      <c r="A912" s="1">
        <v>44885.825694444444</v>
      </c>
      <c r="B912">
        <v>1132029</v>
      </c>
      <c r="C912" t="s">
        <v>1305</v>
      </c>
      <c r="D912" t="s">
        <v>1224</v>
      </c>
      <c r="E912" s="2">
        <v>41296</v>
      </c>
      <c r="F912" t="str">
        <f>"9783110238150"</f>
        <v>9783110238150</v>
      </c>
      <c r="G912" t="str">
        <f>"9783110238143"</f>
        <v>9783110238143</v>
      </c>
      <c r="H912" t="s">
        <v>1306</v>
      </c>
      <c r="I912">
        <v>302.22199999999998</v>
      </c>
      <c r="J912" t="s">
        <v>1307</v>
      </c>
      <c r="K912" t="s">
        <v>44</v>
      </c>
      <c r="N912" t="s">
        <v>45</v>
      </c>
      <c r="O912" t="s">
        <v>46</v>
      </c>
      <c r="P912" t="s">
        <v>45</v>
      </c>
      <c r="Q912" t="s">
        <v>47</v>
      </c>
      <c r="R912" t="s">
        <v>44</v>
      </c>
      <c r="S912">
        <v>0</v>
      </c>
      <c r="W912" s="3">
        <v>8.2175925925925917E-4</v>
      </c>
      <c r="X912" t="s">
        <v>2153</v>
      </c>
      <c r="Y912">
        <v>9</v>
      </c>
      <c r="Z912">
        <v>0</v>
      </c>
      <c r="AA912" t="s">
        <v>49</v>
      </c>
      <c r="AB912">
        <v>0</v>
      </c>
      <c r="AC912" t="s">
        <v>49</v>
      </c>
      <c r="AD912">
        <v>0</v>
      </c>
      <c r="AE912">
        <v>10662035</v>
      </c>
      <c r="AF912" t="s">
        <v>50</v>
      </c>
      <c r="AG912" t="s">
        <v>1309</v>
      </c>
    </row>
    <row r="913" spans="1:33" x14ac:dyDescent="0.35">
      <c r="A913" s="1">
        <v>44885.798611111109</v>
      </c>
      <c r="B913">
        <v>6686343</v>
      </c>
      <c r="C913" t="s">
        <v>2154</v>
      </c>
      <c r="D913" t="s">
        <v>76</v>
      </c>
      <c r="E913" s="2">
        <v>44439</v>
      </c>
      <c r="F913" t="str">
        <f>"9781000398588"</f>
        <v>9781000398588</v>
      </c>
      <c r="G913" t="str">
        <f>"9780367374167"</f>
        <v>9780367374167</v>
      </c>
      <c r="H913" t="s">
        <v>1720</v>
      </c>
      <c r="I913">
        <v>624.154</v>
      </c>
      <c r="J913" t="s">
        <v>2155</v>
      </c>
      <c r="K913" t="s">
        <v>55</v>
      </c>
      <c r="Q913" t="s">
        <v>47</v>
      </c>
      <c r="R913" t="s">
        <v>44</v>
      </c>
      <c r="S913">
        <v>0</v>
      </c>
      <c r="W913" s="3">
        <v>1.3888888888888889E-4</v>
      </c>
      <c r="X913" t="s">
        <v>121</v>
      </c>
      <c r="Y913">
        <v>1</v>
      </c>
      <c r="Z913">
        <v>0</v>
      </c>
      <c r="AA913" t="s">
        <v>49</v>
      </c>
      <c r="AB913">
        <v>0</v>
      </c>
      <c r="AC913" t="s">
        <v>49</v>
      </c>
      <c r="AD913">
        <v>0</v>
      </c>
      <c r="AE913">
        <v>-1</v>
      </c>
      <c r="AF913" t="s">
        <v>50</v>
      </c>
      <c r="AG913" t="s">
        <v>122</v>
      </c>
    </row>
    <row r="914" spans="1:33" x14ac:dyDescent="0.35">
      <c r="A914" s="1">
        <v>44885.698611111111</v>
      </c>
      <c r="B914">
        <v>5979624</v>
      </c>
      <c r="C914" t="s">
        <v>843</v>
      </c>
      <c r="D914" t="s">
        <v>844</v>
      </c>
      <c r="E914" s="2">
        <v>43798</v>
      </c>
      <c r="F914" t="str">
        <f>"9781789736878"</f>
        <v>9781789736878</v>
      </c>
      <c r="G914" t="str">
        <f>"9781789736908"</f>
        <v>9781789736908</v>
      </c>
      <c r="H914" t="s">
        <v>60</v>
      </c>
      <c r="I914">
        <v>658.40129999999999</v>
      </c>
      <c r="J914" t="s">
        <v>845</v>
      </c>
      <c r="K914" t="s">
        <v>44</v>
      </c>
      <c r="N914" t="s">
        <v>45</v>
      </c>
      <c r="O914" t="s">
        <v>46</v>
      </c>
      <c r="P914" t="s">
        <v>45</v>
      </c>
      <c r="Q914" t="s">
        <v>47</v>
      </c>
      <c r="R914" t="s">
        <v>44</v>
      </c>
      <c r="S914">
        <v>0</v>
      </c>
      <c r="W914" s="3">
        <v>2.0486111111111113E-3</v>
      </c>
      <c r="X914" t="s">
        <v>2156</v>
      </c>
      <c r="Y914">
        <v>2</v>
      </c>
      <c r="Z914">
        <v>0</v>
      </c>
      <c r="AA914" t="s">
        <v>49</v>
      </c>
      <c r="AB914">
        <v>0</v>
      </c>
      <c r="AC914" t="s">
        <v>2157</v>
      </c>
      <c r="AD914">
        <v>2</v>
      </c>
      <c r="AE914">
        <v>-1</v>
      </c>
      <c r="AF914" t="s">
        <v>50</v>
      </c>
      <c r="AG914" t="s">
        <v>1160</v>
      </c>
    </row>
    <row r="915" spans="1:33" x14ac:dyDescent="0.35">
      <c r="A915" s="1">
        <v>44885.688194444447</v>
      </c>
      <c r="B915">
        <v>4708253</v>
      </c>
      <c r="C915" t="s">
        <v>1925</v>
      </c>
      <c r="D915" t="s">
        <v>1926</v>
      </c>
      <c r="E915" s="2">
        <v>41039</v>
      </c>
      <c r="F915" t="str">
        <f>"9781780322261"</f>
        <v>9781780322261</v>
      </c>
      <c r="G915" t="str">
        <f>"9781780322247"</f>
        <v>9781780322247</v>
      </c>
      <c r="H915" t="s">
        <v>348</v>
      </c>
      <c r="I915">
        <v>909.09749270831105</v>
      </c>
      <c r="J915" t="s">
        <v>1927</v>
      </c>
      <c r="K915" t="s">
        <v>55</v>
      </c>
      <c r="P915" t="s">
        <v>97</v>
      </c>
      <c r="Q915" t="s">
        <v>47</v>
      </c>
      <c r="R915" t="s">
        <v>44</v>
      </c>
      <c r="S915">
        <v>0</v>
      </c>
      <c r="W915" s="3">
        <v>3.4722222222222222E-5</v>
      </c>
      <c r="X915" t="s">
        <v>121</v>
      </c>
      <c r="Y915">
        <v>1</v>
      </c>
      <c r="Z915">
        <v>0</v>
      </c>
      <c r="AA915" t="s">
        <v>49</v>
      </c>
      <c r="AB915">
        <v>0</v>
      </c>
      <c r="AC915" t="s">
        <v>49</v>
      </c>
      <c r="AD915">
        <v>0</v>
      </c>
      <c r="AE915">
        <v>11275692</v>
      </c>
      <c r="AF915" t="s">
        <v>50</v>
      </c>
      <c r="AG915" t="s">
        <v>388</v>
      </c>
    </row>
    <row r="916" spans="1:33" x14ac:dyDescent="0.35">
      <c r="A916" s="1">
        <v>44885.68472222222</v>
      </c>
      <c r="B916">
        <v>6134019</v>
      </c>
      <c r="C916" t="s">
        <v>2158</v>
      </c>
      <c r="D916" t="s">
        <v>614</v>
      </c>
      <c r="E916" s="2">
        <v>43903</v>
      </c>
      <c r="F916" t="str">
        <f>"9789811516207"</f>
        <v>9789811516207</v>
      </c>
      <c r="G916" t="str">
        <f>"9789811516191"</f>
        <v>9789811516191</v>
      </c>
      <c r="H916" t="s">
        <v>2159</v>
      </c>
      <c r="I916">
        <v>628.44500000000005</v>
      </c>
      <c r="J916" t="s">
        <v>2160</v>
      </c>
      <c r="K916" t="s">
        <v>55</v>
      </c>
      <c r="Q916" t="s">
        <v>47</v>
      </c>
      <c r="R916" t="s">
        <v>44</v>
      </c>
      <c r="S916">
        <v>0</v>
      </c>
      <c r="W916" s="3">
        <v>6.122685185185185E-3</v>
      </c>
      <c r="X916" t="s">
        <v>2161</v>
      </c>
      <c r="Y916">
        <v>12</v>
      </c>
      <c r="Z916">
        <v>0</v>
      </c>
      <c r="AA916" t="s">
        <v>49</v>
      </c>
      <c r="AB916">
        <v>0</v>
      </c>
      <c r="AC916" t="s">
        <v>49</v>
      </c>
      <c r="AD916">
        <v>0</v>
      </c>
      <c r="AE916">
        <v>-1</v>
      </c>
      <c r="AF916" t="s">
        <v>50</v>
      </c>
      <c r="AG916" t="s">
        <v>2162</v>
      </c>
    </row>
    <row r="917" spans="1:33" x14ac:dyDescent="0.35">
      <c r="A917" s="1">
        <v>44885.684027777781</v>
      </c>
      <c r="B917">
        <v>887131</v>
      </c>
      <c r="C917" t="s">
        <v>1373</v>
      </c>
      <c r="D917" t="s">
        <v>1224</v>
      </c>
      <c r="E917" s="2">
        <v>40983</v>
      </c>
      <c r="F917" t="str">
        <f>"9783110253399"</f>
        <v>9783110253399</v>
      </c>
      <c r="G917" t="str">
        <f>"9783110253023"</f>
        <v>9783110253023</v>
      </c>
      <c r="H917" t="s">
        <v>1374</v>
      </c>
      <c r="I917" t="s">
        <v>434</v>
      </c>
      <c r="J917" t="s">
        <v>1375</v>
      </c>
      <c r="K917" t="s">
        <v>44</v>
      </c>
      <c r="N917" t="s">
        <v>45</v>
      </c>
      <c r="O917" t="s">
        <v>46</v>
      </c>
      <c r="P917" t="s">
        <v>45</v>
      </c>
      <c r="Q917" t="s">
        <v>47</v>
      </c>
      <c r="R917" t="s">
        <v>44</v>
      </c>
      <c r="S917">
        <v>0</v>
      </c>
      <c r="W917" s="3">
        <v>1.4270833333333335E-2</v>
      </c>
      <c r="X917" t="s">
        <v>2163</v>
      </c>
      <c r="Y917">
        <v>23</v>
      </c>
      <c r="Z917">
        <v>0</v>
      </c>
      <c r="AA917" t="s">
        <v>49</v>
      </c>
      <c r="AB917">
        <v>0</v>
      </c>
      <c r="AC917" t="s">
        <v>49</v>
      </c>
      <c r="AD917">
        <v>0</v>
      </c>
      <c r="AE917">
        <v>10554726</v>
      </c>
      <c r="AF917" t="s">
        <v>50</v>
      </c>
      <c r="AG917" t="s">
        <v>388</v>
      </c>
    </row>
    <row r="918" spans="1:33" x14ac:dyDescent="0.35">
      <c r="A918" s="1">
        <v>44885.645833333336</v>
      </c>
      <c r="B918">
        <v>5979624</v>
      </c>
      <c r="C918" t="s">
        <v>843</v>
      </c>
      <c r="D918" t="s">
        <v>844</v>
      </c>
      <c r="E918" s="2">
        <v>43798</v>
      </c>
      <c r="F918" t="str">
        <f>"9781789736878"</f>
        <v>9781789736878</v>
      </c>
      <c r="G918" t="str">
        <f>"9781789736908"</f>
        <v>9781789736908</v>
      </c>
      <c r="H918" t="s">
        <v>60</v>
      </c>
      <c r="I918">
        <v>658.40129999999999</v>
      </c>
      <c r="J918" t="s">
        <v>845</v>
      </c>
      <c r="K918" t="s">
        <v>44</v>
      </c>
      <c r="N918" t="s">
        <v>45</v>
      </c>
      <c r="O918" t="s">
        <v>46</v>
      </c>
      <c r="P918" t="s">
        <v>45</v>
      </c>
      <c r="Q918" t="s">
        <v>47</v>
      </c>
      <c r="R918" t="s">
        <v>44</v>
      </c>
      <c r="S918">
        <v>0</v>
      </c>
      <c r="W918" s="3">
        <v>9.1435185185185178E-3</v>
      </c>
      <c r="X918" t="s">
        <v>2164</v>
      </c>
      <c r="Y918">
        <v>3</v>
      </c>
      <c r="Z918">
        <v>0</v>
      </c>
      <c r="AA918" t="s">
        <v>49</v>
      </c>
      <c r="AB918">
        <v>0</v>
      </c>
      <c r="AC918" t="s">
        <v>49</v>
      </c>
      <c r="AD918">
        <v>0</v>
      </c>
      <c r="AE918">
        <v>-1</v>
      </c>
      <c r="AF918" t="s">
        <v>50</v>
      </c>
      <c r="AG918" t="s">
        <v>1160</v>
      </c>
    </row>
    <row r="919" spans="1:33" x14ac:dyDescent="0.35">
      <c r="A919" s="1">
        <v>44885.638888888891</v>
      </c>
      <c r="B919">
        <v>909102</v>
      </c>
      <c r="C919" t="s">
        <v>2165</v>
      </c>
      <c r="D919" t="s">
        <v>666</v>
      </c>
      <c r="E919" s="2">
        <v>37244</v>
      </c>
      <c r="F919" t="str">
        <f>"9780231504799"</f>
        <v>9780231504799</v>
      </c>
      <c r="G919" t="str">
        <f>"9780231114554"</f>
        <v>9780231114554</v>
      </c>
      <c r="H919" t="s">
        <v>2166</v>
      </c>
      <c r="I919">
        <v>333.95159999999998</v>
      </c>
      <c r="J919" t="s">
        <v>2167</v>
      </c>
      <c r="K919" t="s">
        <v>44</v>
      </c>
      <c r="N919" t="s">
        <v>45</v>
      </c>
      <c r="O919" t="s">
        <v>46</v>
      </c>
      <c r="P919" t="s">
        <v>45</v>
      </c>
      <c r="Q919" t="s">
        <v>47</v>
      </c>
      <c r="R919" t="s">
        <v>44</v>
      </c>
      <c r="S919">
        <v>0</v>
      </c>
      <c r="W919" s="3">
        <v>2.7777777777777778E-4</v>
      </c>
      <c r="X919" t="s">
        <v>942</v>
      </c>
      <c r="Y919">
        <v>5</v>
      </c>
      <c r="Z919">
        <v>0</v>
      </c>
      <c r="AA919" t="s">
        <v>49</v>
      </c>
      <c r="AB919">
        <v>0</v>
      </c>
      <c r="AC919" t="s">
        <v>49</v>
      </c>
      <c r="AD919">
        <v>0</v>
      </c>
      <c r="AE919">
        <v>10619681</v>
      </c>
      <c r="AF919" t="s">
        <v>50</v>
      </c>
      <c r="AG919" t="s">
        <v>388</v>
      </c>
    </row>
    <row r="920" spans="1:33" x14ac:dyDescent="0.35">
      <c r="A920" s="1">
        <v>44885.599999999999</v>
      </c>
      <c r="B920">
        <v>875843</v>
      </c>
      <c r="C920" t="s">
        <v>1377</v>
      </c>
      <c r="D920" t="s">
        <v>59</v>
      </c>
      <c r="E920" s="2">
        <v>41134</v>
      </c>
      <c r="F920" t="str">
        <f>"9781118332856"</f>
        <v>9781118332856</v>
      </c>
      <c r="G920" t="str">
        <f>"9780470902936"</f>
        <v>9780470902936</v>
      </c>
      <c r="H920" t="s">
        <v>1378</v>
      </c>
      <c r="I920">
        <v>621.40219999999999</v>
      </c>
      <c r="J920" t="s">
        <v>1379</v>
      </c>
      <c r="K920" t="s">
        <v>44</v>
      </c>
      <c r="N920" t="s">
        <v>45</v>
      </c>
      <c r="O920" t="s">
        <v>46</v>
      </c>
      <c r="P920" t="s">
        <v>45</v>
      </c>
      <c r="Q920" t="s">
        <v>47</v>
      </c>
      <c r="R920" t="s">
        <v>44</v>
      </c>
      <c r="S920">
        <v>0</v>
      </c>
      <c r="W920" s="3">
        <v>7.6689814814814808E-2</v>
      </c>
      <c r="X920" t="s">
        <v>2168</v>
      </c>
      <c r="Y920">
        <v>153</v>
      </c>
      <c r="Z920">
        <v>0</v>
      </c>
      <c r="AA920" t="s">
        <v>49</v>
      </c>
      <c r="AB920">
        <v>0</v>
      </c>
      <c r="AC920" t="s">
        <v>49</v>
      </c>
      <c r="AD920">
        <v>0</v>
      </c>
      <c r="AE920">
        <v>10593121</v>
      </c>
      <c r="AF920" t="s">
        <v>50</v>
      </c>
      <c r="AG920" t="s">
        <v>388</v>
      </c>
    </row>
    <row r="921" spans="1:33" x14ac:dyDescent="0.35">
      <c r="A921" s="1">
        <v>44885.442361111112</v>
      </c>
      <c r="B921">
        <v>5772949</v>
      </c>
      <c r="C921" t="s">
        <v>1594</v>
      </c>
      <c r="D921" t="s">
        <v>76</v>
      </c>
      <c r="E921" s="2">
        <v>43615</v>
      </c>
      <c r="F921" t="str">
        <f>"9781000000795"</f>
        <v>9781000000795</v>
      </c>
      <c r="G921" t="str">
        <f>"9781138387799"</f>
        <v>9781138387799</v>
      </c>
      <c r="H921" t="s">
        <v>90</v>
      </c>
      <c r="I921">
        <v>370</v>
      </c>
      <c r="J921" t="s">
        <v>1595</v>
      </c>
      <c r="K921" t="s">
        <v>55</v>
      </c>
      <c r="N921" t="s">
        <v>293</v>
      </c>
      <c r="P921" t="s">
        <v>80</v>
      </c>
      <c r="Q921" t="s">
        <v>47</v>
      </c>
      <c r="R921" t="s">
        <v>44</v>
      </c>
      <c r="S921">
        <v>0</v>
      </c>
      <c r="W921" s="3">
        <v>4.6990740740740743E-2</v>
      </c>
      <c r="X921" t="s">
        <v>2169</v>
      </c>
      <c r="Y921">
        <v>58</v>
      </c>
      <c r="Z921">
        <v>0</v>
      </c>
      <c r="AA921" t="s">
        <v>49</v>
      </c>
      <c r="AB921">
        <v>0</v>
      </c>
      <c r="AC921" t="s">
        <v>2170</v>
      </c>
      <c r="AD921">
        <v>4</v>
      </c>
      <c r="AE921">
        <v>-1</v>
      </c>
      <c r="AF921" t="s">
        <v>50</v>
      </c>
      <c r="AG921" t="s">
        <v>216</v>
      </c>
    </row>
    <row r="922" spans="1:33" x14ac:dyDescent="0.35">
      <c r="A922" s="1">
        <v>44885.416666666664</v>
      </c>
      <c r="B922">
        <v>279494</v>
      </c>
      <c r="C922" t="s">
        <v>1333</v>
      </c>
      <c r="D922" t="s">
        <v>125</v>
      </c>
      <c r="E922" s="2">
        <v>37280</v>
      </c>
      <c r="F922" t="str">
        <f>"9780198032953"</f>
        <v>9780198032953</v>
      </c>
      <c r="G922" t="str">
        <f>"9780195144208"</f>
        <v>9780195144208</v>
      </c>
      <c r="H922" t="s">
        <v>667</v>
      </c>
      <c r="I922" t="s">
        <v>1334</v>
      </c>
      <c r="J922" t="s">
        <v>1335</v>
      </c>
      <c r="K922" t="s">
        <v>44</v>
      </c>
      <c r="N922" t="s">
        <v>45</v>
      </c>
      <c r="O922" t="s">
        <v>46</v>
      </c>
      <c r="P922" t="s">
        <v>45</v>
      </c>
      <c r="Q922" t="s">
        <v>47</v>
      </c>
      <c r="R922" t="s">
        <v>44</v>
      </c>
      <c r="S922">
        <v>0</v>
      </c>
      <c r="W922" s="3">
        <v>2.6759259259259257E-2</v>
      </c>
      <c r="X922" t="s">
        <v>2171</v>
      </c>
      <c r="Y922">
        <v>6</v>
      </c>
      <c r="Z922">
        <v>0</v>
      </c>
      <c r="AA922" t="s">
        <v>49</v>
      </c>
      <c r="AB922">
        <v>0</v>
      </c>
      <c r="AC922" t="s">
        <v>49</v>
      </c>
      <c r="AD922">
        <v>0</v>
      </c>
      <c r="AE922">
        <v>11303309</v>
      </c>
      <c r="AF922" t="s">
        <v>50</v>
      </c>
      <c r="AG922" t="s">
        <v>388</v>
      </c>
    </row>
    <row r="923" spans="1:33" x14ac:dyDescent="0.35">
      <c r="A923" s="1">
        <v>44885.157638888886</v>
      </c>
      <c r="B923">
        <v>279494</v>
      </c>
      <c r="C923" t="s">
        <v>1333</v>
      </c>
      <c r="D923" t="s">
        <v>125</v>
      </c>
      <c r="E923" s="2">
        <v>37280</v>
      </c>
      <c r="F923" t="str">
        <f>"9780198032953"</f>
        <v>9780198032953</v>
      </c>
      <c r="G923" t="str">
        <f>"9780195144208"</f>
        <v>9780195144208</v>
      </c>
      <c r="H923" t="s">
        <v>667</v>
      </c>
      <c r="I923" t="s">
        <v>1334</v>
      </c>
      <c r="J923" t="s">
        <v>1335</v>
      </c>
      <c r="K923" t="s">
        <v>44</v>
      </c>
      <c r="N923" t="s">
        <v>45</v>
      </c>
      <c r="O923" t="s">
        <v>46</v>
      </c>
      <c r="P923" t="s">
        <v>45</v>
      </c>
      <c r="Q923" t="s">
        <v>47</v>
      </c>
      <c r="R923" t="s">
        <v>44</v>
      </c>
      <c r="S923">
        <v>0</v>
      </c>
      <c r="W923" s="3">
        <v>2.75E-2</v>
      </c>
      <c r="X923" t="s">
        <v>2172</v>
      </c>
      <c r="Y923">
        <v>7</v>
      </c>
      <c r="Z923">
        <v>0</v>
      </c>
      <c r="AA923" t="s">
        <v>49</v>
      </c>
      <c r="AB923">
        <v>0</v>
      </c>
      <c r="AC923" t="s">
        <v>49</v>
      </c>
      <c r="AD923">
        <v>0</v>
      </c>
      <c r="AE923">
        <v>11303309</v>
      </c>
      <c r="AF923" t="s">
        <v>50</v>
      </c>
      <c r="AG923" t="s">
        <v>388</v>
      </c>
    </row>
    <row r="924" spans="1:33" x14ac:dyDescent="0.35">
      <c r="A924" s="1">
        <v>44885.07708333333</v>
      </c>
      <c r="B924">
        <v>279494</v>
      </c>
      <c r="C924" t="s">
        <v>1333</v>
      </c>
      <c r="D924" t="s">
        <v>125</v>
      </c>
      <c r="E924" s="2">
        <v>37280</v>
      </c>
      <c r="F924" t="str">
        <f>"9780198032953"</f>
        <v>9780198032953</v>
      </c>
      <c r="G924" t="str">
        <f>"9780195144208"</f>
        <v>9780195144208</v>
      </c>
      <c r="H924" t="s">
        <v>667</v>
      </c>
      <c r="I924" t="s">
        <v>1334</v>
      </c>
      <c r="J924" t="s">
        <v>1335</v>
      </c>
      <c r="K924" t="s">
        <v>44</v>
      </c>
      <c r="N924" t="s">
        <v>45</v>
      </c>
      <c r="O924" t="s">
        <v>46</v>
      </c>
      <c r="P924" t="s">
        <v>45</v>
      </c>
      <c r="Q924" t="s">
        <v>47</v>
      </c>
      <c r="R924" t="s">
        <v>44</v>
      </c>
      <c r="S924">
        <v>0</v>
      </c>
      <c r="W924" s="3">
        <v>5.004629629629629E-2</v>
      </c>
      <c r="X924" t="s">
        <v>2173</v>
      </c>
      <c r="Y924">
        <v>13</v>
      </c>
      <c r="Z924">
        <v>0</v>
      </c>
      <c r="AA924" t="s">
        <v>49</v>
      </c>
      <c r="AB924">
        <v>0</v>
      </c>
      <c r="AC924" t="s">
        <v>49</v>
      </c>
      <c r="AD924">
        <v>0</v>
      </c>
      <c r="AE924">
        <v>11303309</v>
      </c>
      <c r="AF924" t="s">
        <v>50</v>
      </c>
      <c r="AG924" t="s">
        <v>388</v>
      </c>
    </row>
    <row r="925" spans="1:33" x14ac:dyDescent="0.35">
      <c r="A925" s="1">
        <v>44884.959722222222</v>
      </c>
      <c r="B925">
        <v>5721194</v>
      </c>
      <c r="C925" t="s">
        <v>1568</v>
      </c>
      <c r="D925" t="s">
        <v>1569</v>
      </c>
      <c r="E925" s="2">
        <v>43330</v>
      </c>
      <c r="F925" t="str">
        <f>"9782759822324"</f>
        <v>9782759822324</v>
      </c>
      <c r="G925" t="str">
        <f>"9782759822317"</f>
        <v>9782759822317</v>
      </c>
      <c r="H925" t="s">
        <v>1570</v>
      </c>
      <c r="K925" t="s">
        <v>55</v>
      </c>
      <c r="Q925" t="s">
        <v>47</v>
      </c>
      <c r="R925" t="s">
        <v>44</v>
      </c>
      <c r="S925">
        <v>0</v>
      </c>
      <c r="W925" s="3">
        <v>1.3506944444444445E-2</v>
      </c>
      <c r="X925" t="s">
        <v>2174</v>
      </c>
      <c r="Y925">
        <v>21</v>
      </c>
      <c r="Z925">
        <v>0</v>
      </c>
      <c r="AA925" t="s">
        <v>49</v>
      </c>
      <c r="AB925">
        <v>0</v>
      </c>
      <c r="AC925" t="s">
        <v>49</v>
      </c>
      <c r="AD925">
        <v>0</v>
      </c>
      <c r="AE925">
        <v>-1</v>
      </c>
      <c r="AF925" t="s">
        <v>63</v>
      </c>
      <c r="AG925" t="s">
        <v>866</v>
      </c>
    </row>
    <row r="926" spans="1:33" x14ac:dyDescent="0.35">
      <c r="A926" s="1">
        <v>44884.955555555556</v>
      </c>
      <c r="B926">
        <v>5733868</v>
      </c>
      <c r="C926" t="s">
        <v>1656</v>
      </c>
      <c r="D926" t="s">
        <v>1657</v>
      </c>
      <c r="E926" s="2">
        <v>43311</v>
      </c>
      <c r="F926" t="str">
        <f>"9781502639370"</f>
        <v>9781502639370</v>
      </c>
      <c r="G926" t="str">
        <f>"9781502639356"</f>
        <v>9781502639356</v>
      </c>
      <c r="H926" t="s">
        <v>1658</v>
      </c>
      <c r="K926" t="s">
        <v>44</v>
      </c>
      <c r="N926" t="s">
        <v>45</v>
      </c>
      <c r="O926" t="s">
        <v>46</v>
      </c>
      <c r="P926" t="s">
        <v>45</v>
      </c>
      <c r="Q926" t="s">
        <v>47</v>
      </c>
      <c r="R926" t="s">
        <v>44</v>
      </c>
      <c r="S926">
        <v>0</v>
      </c>
      <c r="W926" s="3">
        <v>1.6550925925925926E-3</v>
      </c>
      <c r="X926" t="s">
        <v>2175</v>
      </c>
      <c r="Y926">
        <v>6</v>
      </c>
      <c r="Z926">
        <v>0</v>
      </c>
      <c r="AA926" t="s">
        <v>49</v>
      </c>
      <c r="AB926">
        <v>0</v>
      </c>
      <c r="AC926" t="s">
        <v>49</v>
      </c>
      <c r="AD926">
        <v>0</v>
      </c>
      <c r="AE926">
        <v>-1</v>
      </c>
      <c r="AF926" t="s">
        <v>50</v>
      </c>
      <c r="AG926" t="s">
        <v>866</v>
      </c>
    </row>
    <row r="927" spans="1:33" x14ac:dyDescent="0.35">
      <c r="A927" s="1">
        <v>44884.927083333336</v>
      </c>
      <c r="B927">
        <v>515377</v>
      </c>
      <c r="C927" t="s">
        <v>2176</v>
      </c>
      <c r="D927" t="s">
        <v>76</v>
      </c>
      <c r="E927" s="2">
        <v>40309</v>
      </c>
      <c r="F927" t="str">
        <f>"9780203855294"</f>
        <v>9780203855294</v>
      </c>
      <c r="G927" t="str">
        <f>"9780415779807"</f>
        <v>9780415779807</v>
      </c>
      <c r="H927" t="s">
        <v>1540</v>
      </c>
      <c r="I927">
        <v>320.54091749269998</v>
      </c>
      <c r="J927" t="s">
        <v>2177</v>
      </c>
      <c r="K927" t="s">
        <v>44</v>
      </c>
      <c r="N927" t="s">
        <v>45</v>
      </c>
      <c r="O927" t="s">
        <v>46</v>
      </c>
      <c r="P927" t="s">
        <v>45</v>
      </c>
      <c r="Q927" t="s">
        <v>47</v>
      </c>
      <c r="R927" t="s">
        <v>44</v>
      </c>
      <c r="S927">
        <v>0</v>
      </c>
      <c r="W927" s="3">
        <v>6.7129629629629625E-4</v>
      </c>
      <c r="X927" t="s">
        <v>2178</v>
      </c>
      <c r="Y927">
        <v>16</v>
      </c>
      <c r="Z927">
        <v>0</v>
      </c>
      <c r="AA927" t="s">
        <v>49</v>
      </c>
      <c r="AB927">
        <v>0</v>
      </c>
      <c r="AC927" t="s">
        <v>49</v>
      </c>
      <c r="AD927">
        <v>0</v>
      </c>
      <c r="AE927">
        <v>10416489</v>
      </c>
      <c r="AF927" t="s">
        <v>50</v>
      </c>
      <c r="AG927" t="s">
        <v>388</v>
      </c>
    </row>
    <row r="928" spans="1:33" x14ac:dyDescent="0.35">
      <c r="A928" s="1">
        <v>44884.922222222223</v>
      </c>
      <c r="B928">
        <v>1573266</v>
      </c>
      <c r="C928" t="s">
        <v>2179</v>
      </c>
      <c r="D928" t="s">
        <v>76</v>
      </c>
      <c r="E928" s="2">
        <v>41601</v>
      </c>
      <c r="F928" t="str">
        <f>"9781134647453"</f>
        <v>9781134647453</v>
      </c>
      <c r="G928" t="str">
        <f>"9780415710572"</f>
        <v>9780415710572</v>
      </c>
      <c r="H928" t="s">
        <v>474</v>
      </c>
      <c r="I928">
        <v>297.27</v>
      </c>
      <c r="J928" t="s">
        <v>2180</v>
      </c>
      <c r="K928" t="s">
        <v>44</v>
      </c>
      <c r="N928" t="s">
        <v>45</v>
      </c>
      <c r="O928" t="s">
        <v>46</v>
      </c>
      <c r="P928" t="s">
        <v>45</v>
      </c>
      <c r="Q928" t="s">
        <v>47</v>
      </c>
      <c r="R928" t="s">
        <v>44</v>
      </c>
      <c r="S928">
        <v>0</v>
      </c>
      <c r="W928" s="3">
        <v>1.8171296296296297E-3</v>
      </c>
      <c r="X928" t="s">
        <v>2181</v>
      </c>
      <c r="Y928">
        <v>20</v>
      </c>
      <c r="Z928">
        <v>0</v>
      </c>
      <c r="AA928" t="s">
        <v>49</v>
      </c>
      <c r="AB928">
        <v>0</v>
      </c>
      <c r="AC928" t="s">
        <v>49</v>
      </c>
      <c r="AD928">
        <v>0</v>
      </c>
      <c r="AE928">
        <v>10813486</v>
      </c>
      <c r="AF928" t="s">
        <v>50</v>
      </c>
      <c r="AG928" t="s">
        <v>388</v>
      </c>
    </row>
    <row r="929" spans="1:33" x14ac:dyDescent="0.35">
      <c r="A929" s="1">
        <v>44884.921527777777</v>
      </c>
      <c r="B929">
        <v>4708253</v>
      </c>
      <c r="C929" t="s">
        <v>1925</v>
      </c>
      <c r="D929" t="s">
        <v>1926</v>
      </c>
      <c r="E929" s="2">
        <v>41039</v>
      </c>
      <c r="F929" t="str">
        <f>"9781780322261"</f>
        <v>9781780322261</v>
      </c>
      <c r="G929" t="str">
        <f>"9781780322247"</f>
        <v>9781780322247</v>
      </c>
      <c r="H929" t="s">
        <v>348</v>
      </c>
      <c r="I929">
        <v>909.09749270831105</v>
      </c>
      <c r="J929" t="s">
        <v>1927</v>
      </c>
      <c r="K929" t="s">
        <v>55</v>
      </c>
      <c r="P929" t="s">
        <v>97</v>
      </c>
      <c r="Q929" t="s">
        <v>47</v>
      </c>
      <c r="R929" t="s">
        <v>44</v>
      </c>
      <c r="S929">
        <v>0</v>
      </c>
      <c r="W929" s="3">
        <v>1.3888888888888889E-4</v>
      </c>
      <c r="X929" t="s">
        <v>2182</v>
      </c>
      <c r="Y929">
        <v>3</v>
      </c>
      <c r="Z929">
        <v>0</v>
      </c>
      <c r="AA929" t="s">
        <v>49</v>
      </c>
      <c r="AB929">
        <v>0</v>
      </c>
      <c r="AC929" t="s">
        <v>49</v>
      </c>
      <c r="AD929">
        <v>0</v>
      </c>
      <c r="AE929">
        <v>11275692</v>
      </c>
      <c r="AF929" t="s">
        <v>50</v>
      </c>
      <c r="AG929" t="s">
        <v>388</v>
      </c>
    </row>
    <row r="930" spans="1:33" x14ac:dyDescent="0.35">
      <c r="A930" s="1">
        <v>44884.908333333333</v>
      </c>
      <c r="B930">
        <v>5721194</v>
      </c>
      <c r="C930" t="s">
        <v>1568</v>
      </c>
      <c r="D930" t="s">
        <v>1569</v>
      </c>
      <c r="E930" s="2">
        <v>43330</v>
      </c>
      <c r="F930" t="str">
        <f>"9782759822324"</f>
        <v>9782759822324</v>
      </c>
      <c r="G930" t="str">
        <f>"9782759822317"</f>
        <v>9782759822317</v>
      </c>
      <c r="H930" t="s">
        <v>1570</v>
      </c>
      <c r="K930" t="s">
        <v>55</v>
      </c>
      <c r="Q930" t="s">
        <v>47</v>
      </c>
      <c r="R930" t="s">
        <v>44</v>
      </c>
      <c r="S930">
        <v>0</v>
      </c>
      <c r="W930" s="3">
        <v>7.5231481481481471E-4</v>
      </c>
      <c r="X930" t="s">
        <v>2183</v>
      </c>
      <c r="Y930">
        <v>5</v>
      </c>
      <c r="Z930">
        <v>0</v>
      </c>
      <c r="AA930" t="s">
        <v>49</v>
      </c>
      <c r="AB930">
        <v>0</v>
      </c>
      <c r="AC930" t="s">
        <v>49</v>
      </c>
      <c r="AD930">
        <v>0</v>
      </c>
      <c r="AE930">
        <v>-1</v>
      </c>
      <c r="AF930" t="s">
        <v>50</v>
      </c>
      <c r="AG930" t="s">
        <v>866</v>
      </c>
    </row>
    <row r="931" spans="1:33" x14ac:dyDescent="0.35">
      <c r="A931" s="1">
        <v>44884.899305555555</v>
      </c>
      <c r="B931">
        <v>5733868</v>
      </c>
      <c r="C931" t="s">
        <v>1656</v>
      </c>
      <c r="D931" t="s">
        <v>1657</v>
      </c>
      <c r="E931" s="2">
        <v>43311</v>
      </c>
      <c r="F931" t="str">
        <f>"9781502639370"</f>
        <v>9781502639370</v>
      </c>
      <c r="G931" t="str">
        <f>"9781502639356"</f>
        <v>9781502639356</v>
      </c>
      <c r="H931" t="s">
        <v>1658</v>
      </c>
      <c r="K931" t="s">
        <v>44</v>
      </c>
      <c r="N931" t="s">
        <v>45</v>
      </c>
      <c r="O931" t="s">
        <v>46</v>
      </c>
      <c r="P931" t="s">
        <v>45</v>
      </c>
      <c r="Q931" t="s">
        <v>47</v>
      </c>
      <c r="R931" t="s">
        <v>44</v>
      </c>
      <c r="S931">
        <v>0</v>
      </c>
      <c r="W931" s="3">
        <v>1.8587962962962962E-2</v>
      </c>
      <c r="X931" t="s">
        <v>2184</v>
      </c>
      <c r="Y931">
        <v>19</v>
      </c>
      <c r="Z931">
        <v>0</v>
      </c>
      <c r="AA931" t="s">
        <v>49</v>
      </c>
      <c r="AB931">
        <v>0</v>
      </c>
      <c r="AC931" t="s">
        <v>2185</v>
      </c>
      <c r="AD931">
        <v>1</v>
      </c>
      <c r="AE931">
        <v>-1</v>
      </c>
      <c r="AF931" t="s">
        <v>50</v>
      </c>
      <c r="AG931" t="s">
        <v>866</v>
      </c>
    </row>
    <row r="932" spans="1:33" x14ac:dyDescent="0.35">
      <c r="A932" s="1">
        <v>44884.863888888889</v>
      </c>
      <c r="B932">
        <v>536977</v>
      </c>
      <c r="C932" t="s">
        <v>1900</v>
      </c>
      <c r="D932" t="s">
        <v>507</v>
      </c>
      <c r="E932" s="2">
        <v>40043</v>
      </c>
      <c r="F932" t="str">
        <f>"9780748637942"</f>
        <v>9780748637942</v>
      </c>
      <c r="G932" t="str">
        <f>"9780748637928"</f>
        <v>9780748637928</v>
      </c>
      <c r="H932" t="s">
        <v>162</v>
      </c>
      <c r="I932">
        <v>297</v>
      </c>
      <c r="J932" t="s">
        <v>1901</v>
      </c>
      <c r="K932" t="s">
        <v>44</v>
      </c>
      <c r="N932" t="s">
        <v>45</v>
      </c>
      <c r="O932" t="s">
        <v>46</v>
      </c>
      <c r="P932" t="s">
        <v>45</v>
      </c>
      <c r="Q932" t="s">
        <v>47</v>
      </c>
      <c r="R932" t="s">
        <v>44</v>
      </c>
      <c r="S932">
        <v>0</v>
      </c>
      <c r="W932" s="3">
        <v>1.7361111111111112E-4</v>
      </c>
      <c r="X932" t="s">
        <v>2186</v>
      </c>
      <c r="Y932">
        <v>2</v>
      </c>
      <c r="Z932">
        <v>2</v>
      </c>
      <c r="AA932" t="s">
        <v>2187</v>
      </c>
      <c r="AB932">
        <v>49</v>
      </c>
      <c r="AC932" t="s">
        <v>49</v>
      </c>
      <c r="AD932">
        <v>0</v>
      </c>
      <c r="AE932">
        <v>10391780</v>
      </c>
      <c r="AF932" t="s">
        <v>50</v>
      </c>
      <c r="AG932" t="s">
        <v>388</v>
      </c>
    </row>
    <row r="933" spans="1:33" x14ac:dyDescent="0.35">
      <c r="A933" s="1">
        <v>44884.861111111109</v>
      </c>
      <c r="B933">
        <v>1899984</v>
      </c>
      <c r="C933" t="s">
        <v>1907</v>
      </c>
      <c r="D933" t="s">
        <v>76</v>
      </c>
      <c r="E933" s="2">
        <v>39722</v>
      </c>
      <c r="F933" t="str">
        <f>"9781317461241"</f>
        <v>9781317461241</v>
      </c>
      <c r="G933" t="str">
        <f>"9780765622389"</f>
        <v>9780765622389</v>
      </c>
      <c r="H933" t="s">
        <v>162</v>
      </c>
      <c r="I933" t="s">
        <v>1908</v>
      </c>
      <c r="J933" t="s">
        <v>1909</v>
      </c>
      <c r="K933" t="s">
        <v>44</v>
      </c>
      <c r="N933" t="s">
        <v>45</v>
      </c>
      <c r="O933" t="s">
        <v>46</v>
      </c>
      <c r="P933" t="s">
        <v>45</v>
      </c>
      <c r="Q933" t="s">
        <v>47</v>
      </c>
      <c r="R933" t="s">
        <v>44</v>
      </c>
      <c r="S933">
        <v>0</v>
      </c>
      <c r="W933" s="3">
        <v>2.3726851851851851E-3</v>
      </c>
      <c r="X933" t="s">
        <v>2188</v>
      </c>
      <c r="Y933">
        <v>19</v>
      </c>
      <c r="Z933">
        <v>0</v>
      </c>
      <c r="AA933" t="s">
        <v>49</v>
      </c>
      <c r="AB933">
        <v>0</v>
      </c>
      <c r="AC933" t="s">
        <v>49</v>
      </c>
      <c r="AD933">
        <v>0</v>
      </c>
      <c r="AE933">
        <v>10292183</v>
      </c>
      <c r="AF933" t="s">
        <v>50</v>
      </c>
      <c r="AG933" t="s">
        <v>388</v>
      </c>
    </row>
    <row r="934" spans="1:33" x14ac:dyDescent="0.35">
      <c r="A934" s="1">
        <v>44884.754166666666</v>
      </c>
      <c r="B934">
        <v>909102</v>
      </c>
      <c r="C934" t="s">
        <v>2165</v>
      </c>
      <c r="D934" t="s">
        <v>666</v>
      </c>
      <c r="E934" s="2">
        <v>37244</v>
      </c>
      <c r="F934" t="str">
        <f>"9780231504799"</f>
        <v>9780231504799</v>
      </c>
      <c r="G934" t="str">
        <f>"9780231114554"</f>
        <v>9780231114554</v>
      </c>
      <c r="H934" t="s">
        <v>2166</v>
      </c>
      <c r="I934">
        <v>333.95159999999998</v>
      </c>
      <c r="J934" t="s">
        <v>2167</v>
      </c>
      <c r="K934" t="s">
        <v>44</v>
      </c>
      <c r="N934" t="s">
        <v>45</v>
      </c>
      <c r="O934" t="s">
        <v>46</v>
      </c>
      <c r="P934" t="s">
        <v>45</v>
      </c>
      <c r="Q934" t="s">
        <v>47</v>
      </c>
      <c r="R934" t="s">
        <v>44</v>
      </c>
      <c r="S934">
        <v>0</v>
      </c>
      <c r="W934" s="3">
        <v>3.4722222222222222E-5</v>
      </c>
      <c r="X934" t="s">
        <v>121</v>
      </c>
      <c r="Y934">
        <v>1</v>
      </c>
      <c r="Z934">
        <v>0</v>
      </c>
      <c r="AA934" t="s">
        <v>49</v>
      </c>
      <c r="AB934">
        <v>0</v>
      </c>
      <c r="AC934" t="s">
        <v>49</v>
      </c>
      <c r="AD934">
        <v>0</v>
      </c>
      <c r="AE934">
        <v>10619681</v>
      </c>
      <c r="AF934" t="s">
        <v>50</v>
      </c>
      <c r="AG934" t="s">
        <v>388</v>
      </c>
    </row>
    <row r="935" spans="1:33" x14ac:dyDescent="0.35">
      <c r="A935" s="1">
        <v>44884.746527777781</v>
      </c>
      <c r="B935">
        <v>1185558</v>
      </c>
      <c r="C935" t="s">
        <v>2189</v>
      </c>
      <c r="D935" t="s">
        <v>465</v>
      </c>
      <c r="E935" s="2">
        <v>40318</v>
      </c>
      <c r="F935" t="str">
        <f>"9781849731089"</f>
        <v>9781849731089</v>
      </c>
      <c r="G935" t="str">
        <f>"9781849730464"</f>
        <v>9781849730464</v>
      </c>
      <c r="H935" t="s">
        <v>1112</v>
      </c>
      <c r="I935">
        <v>665.53800000000001</v>
      </c>
      <c r="J935" t="s">
        <v>2190</v>
      </c>
      <c r="K935" t="s">
        <v>44</v>
      </c>
      <c r="N935" t="s">
        <v>45</v>
      </c>
      <c r="O935" t="s">
        <v>46</v>
      </c>
      <c r="P935" t="s">
        <v>45</v>
      </c>
      <c r="Q935" t="s">
        <v>47</v>
      </c>
      <c r="R935" t="s">
        <v>44</v>
      </c>
      <c r="S935">
        <v>0</v>
      </c>
      <c r="W935" s="3">
        <v>7.7546296296296304E-4</v>
      </c>
      <c r="X935" t="s">
        <v>2191</v>
      </c>
      <c r="Y935">
        <v>9</v>
      </c>
      <c r="Z935">
        <v>0</v>
      </c>
      <c r="AA935" t="s">
        <v>49</v>
      </c>
      <c r="AB935">
        <v>0</v>
      </c>
      <c r="AC935" t="s">
        <v>49</v>
      </c>
      <c r="AD935">
        <v>0</v>
      </c>
      <c r="AE935">
        <v>10627671</v>
      </c>
      <c r="AF935" t="s">
        <v>50</v>
      </c>
      <c r="AG935" t="s">
        <v>670</v>
      </c>
    </row>
    <row r="936" spans="1:33" x14ac:dyDescent="0.35">
      <c r="A936" s="1">
        <v>44884.706944444442</v>
      </c>
      <c r="B936">
        <v>6796746</v>
      </c>
      <c r="C936" t="s">
        <v>2192</v>
      </c>
      <c r="D936" t="s">
        <v>2193</v>
      </c>
      <c r="E936" s="2">
        <v>44505</v>
      </c>
      <c r="F936" t="str">
        <f>"9781440873898"</f>
        <v>9781440873898</v>
      </c>
      <c r="G936" t="str">
        <f>"9781440873881"</f>
        <v>9781440873881</v>
      </c>
      <c r="H936" t="s">
        <v>133</v>
      </c>
      <c r="I936">
        <v>338.17372999999998</v>
      </c>
      <c r="J936" t="s">
        <v>2194</v>
      </c>
      <c r="K936" t="s">
        <v>55</v>
      </c>
      <c r="Q936" t="s">
        <v>47</v>
      </c>
      <c r="R936" t="s">
        <v>44</v>
      </c>
      <c r="S936">
        <v>0</v>
      </c>
      <c r="W936" s="3">
        <v>4.6296296296296294E-5</v>
      </c>
      <c r="X936" t="s">
        <v>121</v>
      </c>
      <c r="Y936">
        <v>1</v>
      </c>
      <c r="Z936">
        <v>0</v>
      </c>
      <c r="AA936" t="s">
        <v>49</v>
      </c>
      <c r="AB936">
        <v>0</v>
      </c>
      <c r="AC936" t="s">
        <v>49</v>
      </c>
      <c r="AD936">
        <v>0</v>
      </c>
      <c r="AE936">
        <v>-1</v>
      </c>
      <c r="AF936" t="s">
        <v>50</v>
      </c>
      <c r="AG936" t="s">
        <v>388</v>
      </c>
    </row>
    <row r="937" spans="1:33" x14ac:dyDescent="0.35">
      <c r="A937" s="1">
        <v>44884.67291666667</v>
      </c>
      <c r="B937">
        <v>286669</v>
      </c>
      <c r="C937" t="s">
        <v>1361</v>
      </c>
      <c r="D937" t="s">
        <v>213</v>
      </c>
      <c r="E937" s="2">
        <v>37869</v>
      </c>
      <c r="F937" t="str">
        <f>"9780080469959"</f>
        <v>9780080469959</v>
      </c>
      <c r="G937" t="str">
        <f>"9780750647090"</f>
        <v>9780750647090</v>
      </c>
      <c r="H937" t="s">
        <v>1362</v>
      </c>
      <c r="I937">
        <v>670.72</v>
      </c>
      <c r="J937" t="s">
        <v>1363</v>
      </c>
      <c r="K937" t="s">
        <v>44</v>
      </c>
      <c r="N937" t="s">
        <v>45</v>
      </c>
      <c r="O937" t="s">
        <v>46</v>
      </c>
      <c r="P937" t="s">
        <v>45</v>
      </c>
      <c r="Q937" t="s">
        <v>47</v>
      </c>
      <c r="R937" t="s">
        <v>44</v>
      </c>
      <c r="S937">
        <v>0</v>
      </c>
      <c r="W937" s="3">
        <v>2.0833333333333333E-3</v>
      </c>
      <c r="X937" t="s">
        <v>2195</v>
      </c>
      <c r="Y937">
        <v>24</v>
      </c>
      <c r="Z937">
        <v>0</v>
      </c>
      <c r="AA937" t="s">
        <v>49</v>
      </c>
      <c r="AB937">
        <v>0</v>
      </c>
      <c r="AC937" t="s">
        <v>49</v>
      </c>
      <c r="AD937">
        <v>0</v>
      </c>
      <c r="AE937">
        <v>10166962</v>
      </c>
      <c r="AF937" t="s">
        <v>63</v>
      </c>
      <c r="AG937" t="s">
        <v>216</v>
      </c>
    </row>
    <row r="938" spans="1:33" x14ac:dyDescent="0.35">
      <c r="A938" s="1">
        <v>44884.669444444444</v>
      </c>
      <c r="B938">
        <v>5979624</v>
      </c>
      <c r="C938" t="s">
        <v>843</v>
      </c>
      <c r="D938" t="s">
        <v>844</v>
      </c>
      <c r="E938" s="2">
        <v>43798</v>
      </c>
      <c r="F938" t="str">
        <f>"9781789736878"</f>
        <v>9781789736878</v>
      </c>
      <c r="G938" t="str">
        <f>"9781789736908"</f>
        <v>9781789736908</v>
      </c>
      <c r="H938" t="s">
        <v>60</v>
      </c>
      <c r="I938">
        <v>658.40129999999999</v>
      </c>
      <c r="J938" t="s">
        <v>845</v>
      </c>
      <c r="K938" t="s">
        <v>44</v>
      </c>
      <c r="N938" t="s">
        <v>45</v>
      </c>
      <c r="O938" t="s">
        <v>46</v>
      </c>
      <c r="P938" t="s">
        <v>45</v>
      </c>
      <c r="Q938" t="s">
        <v>47</v>
      </c>
      <c r="R938" t="s">
        <v>44</v>
      </c>
      <c r="S938">
        <v>0</v>
      </c>
      <c r="W938" s="3">
        <v>1.9745370370370371E-2</v>
      </c>
      <c r="X938" t="s">
        <v>2196</v>
      </c>
      <c r="Y938">
        <v>20</v>
      </c>
      <c r="Z938">
        <v>0</v>
      </c>
      <c r="AA938" t="s">
        <v>49</v>
      </c>
      <c r="AB938">
        <v>0</v>
      </c>
      <c r="AC938" t="s">
        <v>2197</v>
      </c>
      <c r="AD938">
        <v>1</v>
      </c>
      <c r="AE938">
        <v>-1</v>
      </c>
      <c r="AF938" t="s">
        <v>63</v>
      </c>
      <c r="AG938" t="s">
        <v>216</v>
      </c>
    </row>
    <row r="939" spans="1:33" x14ac:dyDescent="0.35">
      <c r="A939" s="1">
        <v>44884.665972222225</v>
      </c>
      <c r="B939">
        <v>4551636</v>
      </c>
      <c r="C939" t="s">
        <v>2198</v>
      </c>
      <c r="D939" t="s">
        <v>891</v>
      </c>
      <c r="E939" s="2">
        <v>42661</v>
      </c>
      <c r="F939" t="str">
        <f>"9780815729112"</f>
        <v>9780815729112</v>
      </c>
      <c r="G939" t="str">
        <f>"9780815729105"</f>
        <v>9780815729105</v>
      </c>
      <c r="H939" t="s">
        <v>337</v>
      </c>
      <c r="I939">
        <v>327.54000000000002</v>
      </c>
      <c r="J939" t="s">
        <v>2199</v>
      </c>
      <c r="K939" t="s">
        <v>44</v>
      </c>
      <c r="N939" t="s">
        <v>45</v>
      </c>
      <c r="O939" t="s">
        <v>46</v>
      </c>
      <c r="P939" t="s">
        <v>45</v>
      </c>
      <c r="Q939" t="s">
        <v>47</v>
      </c>
      <c r="R939" t="s">
        <v>44</v>
      </c>
      <c r="S939">
        <v>0</v>
      </c>
      <c r="W939" s="3">
        <v>2.9861111111111113E-3</v>
      </c>
      <c r="X939" t="s">
        <v>2200</v>
      </c>
      <c r="Y939">
        <v>12</v>
      </c>
      <c r="Z939">
        <v>0</v>
      </c>
      <c r="AA939" t="s">
        <v>49</v>
      </c>
      <c r="AB939">
        <v>0</v>
      </c>
      <c r="AC939" t="s">
        <v>49</v>
      </c>
      <c r="AD939">
        <v>0</v>
      </c>
      <c r="AE939">
        <v>11270811</v>
      </c>
      <c r="AF939" t="s">
        <v>50</v>
      </c>
      <c r="AG939" t="s">
        <v>528</v>
      </c>
    </row>
    <row r="940" spans="1:33" x14ac:dyDescent="0.35">
      <c r="A940" s="1">
        <v>44884.661805555559</v>
      </c>
      <c r="B940">
        <v>6425061</v>
      </c>
      <c r="C940" t="s">
        <v>2201</v>
      </c>
      <c r="D940" t="s">
        <v>507</v>
      </c>
      <c r="E940" s="2">
        <v>44124</v>
      </c>
      <c r="F940" t="str">
        <f>"9781474466783"</f>
        <v>9781474466783</v>
      </c>
      <c r="G940" t="str">
        <f>"9781474466752"</f>
        <v>9781474466752</v>
      </c>
      <c r="H940" t="s">
        <v>1069</v>
      </c>
      <c r="I940">
        <v>892.73709354000005</v>
      </c>
      <c r="K940" t="s">
        <v>55</v>
      </c>
      <c r="Q940" t="s">
        <v>47</v>
      </c>
      <c r="R940" t="s">
        <v>44</v>
      </c>
      <c r="S940">
        <v>0</v>
      </c>
      <c r="W940" s="3">
        <v>9.6064814814814808E-4</v>
      </c>
      <c r="X940" t="s">
        <v>2202</v>
      </c>
      <c r="Y940">
        <v>8</v>
      </c>
      <c r="Z940">
        <v>0</v>
      </c>
      <c r="AA940" t="s">
        <v>49</v>
      </c>
      <c r="AB940">
        <v>0</v>
      </c>
      <c r="AC940" t="s">
        <v>49</v>
      </c>
      <c r="AD940">
        <v>0</v>
      </c>
      <c r="AE940">
        <v>-1</v>
      </c>
      <c r="AF940" t="s">
        <v>50</v>
      </c>
      <c r="AG940" t="s">
        <v>264</v>
      </c>
    </row>
    <row r="941" spans="1:33" x14ac:dyDescent="0.35">
      <c r="A941" s="1">
        <v>44884.658333333333</v>
      </c>
      <c r="B941">
        <v>4451853</v>
      </c>
      <c r="C941" t="s">
        <v>2203</v>
      </c>
      <c r="D941" t="s">
        <v>115</v>
      </c>
      <c r="E941" s="2">
        <v>42436</v>
      </c>
      <c r="F941" t="str">
        <f>"9783110439878"</f>
        <v>9783110439878</v>
      </c>
      <c r="G941" t="str">
        <f>"9783110425925"</f>
        <v>9783110425925</v>
      </c>
      <c r="H941" t="s">
        <v>60</v>
      </c>
      <c r="I941">
        <v>658.84</v>
      </c>
      <c r="J941" t="s">
        <v>2204</v>
      </c>
      <c r="K941" t="s">
        <v>44</v>
      </c>
      <c r="N941" t="s">
        <v>45</v>
      </c>
      <c r="O941" t="s">
        <v>46</v>
      </c>
      <c r="P941" t="s">
        <v>45</v>
      </c>
      <c r="Q941" t="s">
        <v>47</v>
      </c>
      <c r="R941" t="s">
        <v>44</v>
      </c>
      <c r="S941">
        <v>0</v>
      </c>
      <c r="W941" s="3">
        <v>1.3541666666666667E-3</v>
      </c>
      <c r="X941" t="s">
        <v>2205</v>
      </c>
      <c r="Y941">
        <v>10</v>
      </c>
      <c r="Z941">
        <v>0</v>
      </c>
      <c r="AA941" t="s">
        <v>49</v>
      </c>
      <c r="AB941">
        <v>0</v>
      </c>
      <c r="AC941" t="s">
        <v>49</v>
      </c>
      <c r="AD941">
        <v>0</v>
      </c>
      <c r="AE941">
        <v>11174268</v>
      </c>
      <c r="AF941" t="s">
        <v>50</v>
      </c>
      <c r="AG941" t="s">
        <v>2206</v>
      </c>
    </row>
    <row r="942" spans="1:33" x14ac:dyDescent="0.35">
      <c r="A942" s="1">
        <v>44884.646527777775</v>
      </c>
      <c r="B942">
        <v>909102</v>
      </c>
      <c r="C942" t="s">
        <v>2165</v>
      </c>
      <c r="D942" t="s">
        <v>666</v>
      </c>
      <c r="E942" s="2">
        <v>37244</v>
      </c>
      <c r="F942" t="str">
        <f>"9780231504799"</f>
        <v>9780231504799</v>
      </c>
      <c r="G942" t="str">
        <f>"9780231114554"</f>
        <v>9780231114554</v>
      </c>
      <c r="H942" t="s">
        <v>2166</v>
      </c>
      <c r="I942">
        <v>333.95159999999998</v>
      </c>
      <c r="J942" t="s">
        <v>2167</v>
      </c>
      <c r="K942" t="s">
        <v>44</v>
      </c>
      <c r="N942" t="s">
        <v>45</v>
      </c>
      <c r="O942" t="s">
        <v>46</v>
      </c>
      <c r="P942" t="s">
        <v>45</v>
      </c>
      <c r="Q942" t="s">
        <v>47</v>
      </c>
      <c r="R942" t="s">
        <v>44</v>
      </c>
      <c r="S942">
        <v>0</v>
      </c>
      <c r="W942" s="3">
        <v>8.9930555555555545E-3</v>
      </c>
      <c r="X942" t="s">
        <v>2207</v>
      </c>
      <c r="Y942">
        <v>18</v>
      </c>
      <c r="Z942">
        <v>0</v>
      </c>
      <c r="AA942" t="s">
        <v>49</v>
      </c>
      <c r="AB942">
        <v>0</v>
      </c>
      <c r="AC942" t="s">
        <v>49</v>
      </c>
      <c r="AD942">
        <v>0</v>
      </c>
      <c r="AE942">
        <v>10619681</v>
      </c>
      <c r="AF942" t="s">
        <v>50</v>
      </c>
      <c r="AG942" t="s">
        <v>388</v>
      </c>
    </row>
    <row r="943" spans="1:33" x14ac:dyDescent="0.35">
      <c r="A943" s="1">
        <v>44884.644444444442</v>
      </c>
      <c r="B943">
        <v>1024647</v>
      </c>
      <c r="C943" t="s">
        <v>2208</v>
      </c>
      <c r="D943" t="s">
        <v>76</v>
      </c>
      <c r="E943" s="2">
        <v>41142</v>
      </c>
      <c r="F943" t="str">
        <f>"9781136306341"</f>
        <v>9781136306341</v>
      </c>
      <c r="G943" t="str">
        <f>"9780415687508"</f>
        <v>9780415687508</v>
      </c>
      <c r="H943" t="s">
        <v>90</v>
      </c>
      <c r="I943">
        <v>378.00917670000001</v>
      </c>
      <c r="J943" t="s">
        <v>2209</v>
      </c>
      <c r="K943" t="s">
        <v>44</v>
      </c>
      <c r="N943" t="s">
        <v>45</v>
      </c>
      <c r="O943" t="s">
        <v>46</v>
      </c>
      <c r="P943" t="s">
        <v>45</v>
      </c>
      <c r="Q943" t="s">
        <v>47</v>
      </c>
      <c r="R943" t="s">
        <v>44</v>
      </c>
      <c r="S943">
        <v>0</v>
      </c>
      <c r="W943" s="3">
        <v>1.1574074074074073E-4</v>
      </c>
      <c r="X943" t="s">
        <v>56</v>
      </c>
      <c r="Y943">
        <v>3</v>
      </c>
      <c r="Z943">
        <v>1</v>
      </c>
      <c r="AA943" t="s">
        <v>2210</v>
      </c>
      <c r="AB943">
        <v>9</v>
      </c>
      <c r="AC943" t="s">
        <v>49</v>
      </c>
      <c r="AD943">
        <v>0</v>
      </c>
      <c r="AE943">
        <v>10603675</v>
      </c>
      <c r="AF943" t="s">
        <v>50</v>
      </c>
      <c r="AG943" t="s">
        <v>388</v>
      </c>
    </row>
    <row r="944" spans="1:33" x14ac:dyDescent="0.35">
      <c r="A944" s="1">
        <v>44884.622916666667</v>
      </c>
      <c r="B944">
        <v>5733868</v>
      </c>
      <c r="C944" t="s">
        <v>1656</v>
      </c>
      <c r="D944" t="s">
        <v>1657</v>
      </c>
      <c r="E944" s="2">
        <v>43311</v>
      </c>
      <c r="F944" t="str">
        <f>"9781502639370"</f>
        <v>9781502639370</v>
      </c>
      <c r="G944" t="str">
        <f>"9781502639356"</f>
        <v>9781502639356</v>
      </c>
      <c r="H944" t="s">
        <v>1658</v>
      </c>
      <c r="K944" t="s">
        <v>44</v>
      </c>
      <c r="N944" t="s">
        <v>45</v>
      </c>
      <c r="O944" t="s">
        <v>46</v>
      </c>
      <c r="P944" t="s">
        <v>45</v>
      </c>
      <c r="Q944" t="s">
        <v>47</v>
      </c>
      <c r="R944" t="s">
        <v>44</v>
      </c>
      <c r="S944">
        <v>0</v>
      </c>
      <c r="W944" s="3">
        <v>1.7476851851851852E-3</v>
      </c>
      <c r="X944" t="s">
        <v>2211</v>
      </c>
      <c r="Y944">
        <v>11</v>
      </c>
      <c r="Z944">
        <v>0</v>
      </c>
      <c r="AA944" t="s">
        <v>49</v>
      </c>
      <c r="AB944">
        <v>0</v>
      </c>
      <c r="AC944" t="s">
        <v>49</v>
      </c>
      <c r="AD944">
        <v>0</v>
      </c>
      <c r="AE944">
        <v>-1</v>
      </c>
      <c r="AF944" t="s">
        <v>50</v>
      </c>
      <c r="AG944" t="s">
        <v>866</v>
      </c>
    </row>
    <row r="945" spans="1:33" x14ac:dyDescent="0.35">
      <c r="A945" s="1">
        <v>44884.613888888889</v>
      </c>
      <c r="B945">
        <v>5979624</v>
      </c>
      <c r="C945" t="s">
        <v>843</v>
      </c>
      <c r="D945" t="s">
        <v>844</v>
      </c>
      <c r="E945" s="2">
        <v>43798</v>
      </c>
      <c r="F945" t="str">
        <f>"9781789736878"</f>
        <v>9781789736878</v>
      </c>
      <c r="G945" t="str">
        <f>"9781789736908"</f>
        <v>9781789736908</v>
      </c>
      <c r="H945" t="s">
        <v>60</v>
      </c>
      <c r="I945">
        <v>658.40129999999999</v>
      </c>
      <c r="J945" t="s">
        <v>845</v>
      </c>
      <c r="K945" t="s">
        <v>44</v>
      </c>
      <c r="N945" t="s">
        <v>45</v>
      </c>
      <c r="O945" t="s">
        <v>46</v>
      </c>
      <c r="P945" t="s">
        <v>45</v>
      </c>
      <c r="Q945" t="s">
        <v>47</v>
      </c>
      <c r="R945" t="s">
        <v>44</v>
      </c>
      <c r="S945">
        <v>0</v>
      </c>
      <c r="W945" s="3">
        <v>5.5231481481481486E-2</v>
      </c>
      <c r="X945" t="s">
        <v>2212</v>
      </c>
      <c r="Y945">
        <v>96</v>
      </c>
      <c r="Z945">
        <v>0</v>
      </c>
      <c r="AA945" t="s">
        <v>49</v>
      </c>
      <c r="AB945">
        <v>0</v>
      </c>
      <c r="AC945" t="s">
        <v>2213</v>
      </c>
      <c r="AD945">
        <v>5</v>
      </c>
      <c r="AE945">
        <v>-1</v>
      </c>
      <c r="AF945" t="s">
        <v>50</v>
      </c>
      <c r="AG945" t="s">
        <v>216</v>
      </c>
    </row>
    <row r="946" spans="1:33" x14ac:dyDescent="0.35">
      <c r="A946" s="1">
        <v>44884.609027777777</v>
      </c>
      <c r="B946">
        <v>144768</v>
      </c>
      <c r="C946" t="s">
        <v>1748</v>
      </c>
      <c r="D946" t="s">
        <v>502</v>
      </c>
      <c r="E946" s="2">
        <v>36720</v>
      </c>
      <c r="F946" t="str">
        <f>"9780511151118"</f>
        <v>9780511151118</v>
      </c>
      <c r="G946" t="str">
        <f>"9780521772303"</f>
        <v>9780521772303</v>
      </c>
      <c r="H946" t="s">
        <v>1069</v>
      </c>
      <c r="I946">
        <v>892.70899999999995</v>
      </c>
      <c r="J946" t="s">
        <v>1749</v>
      </c>
      <c r="K946" t="s">
        <v>44</v>
      </c>
      <c r="N946" t="s">
        <v>45</v>
      </c>
      <c r="O946" t="s">
        <v>46</v>
      </c>
      <c r="P946" t="s">
        <v>45</v>
      </c>
      <c r="Q946" t="s">
        <v>47</v>
      </c>
      <c r="R946" t="s">
        <v>44</v>
      </c>
      <c r="S946">
        <v>0</v>
      </c>
      <c r="W946" s="3">
        <v>3.4722222222222222E-5</v>
      </c>
      <c r="X946" t="s">
        <v>121</v>
      </c>
      <c r="Y946">
        <v>1</v>
      </c>
      <c r="Z946">
        <v>0</v>
      </c>
      <c r="AA946" t="s">
        <v>49</v>
      </c>
      <c r="AB946">
        <v>0</v>
      </c>
      <c r="AC946" t="s">
        <v>49</v>
      </c>
      <c r="AD946">
        <v>0</v>
      </c>
      <c r="AE946">
        <v>10014925</v>
      </c>
      <c r="AF946" t="s">
        <v>50</v>
      </c>
      <c r="AG946" t="s">
        <v>264</v>
      </c>
    </row>
    <row r="947" spans="1:33" x14ac:dyDescent="0.35">
      <c r="A947" s="1">
        <v>44884.606944444444</v>
      </c>
      <c r="B947">
        <v>271889</v>
      </c>
      <c r="C947" t="s">
        <v>1729</v>
      </c>
      <c r="D947" t="s">
        <v>507</v>
      </c>
      <c r="E947" s="2">
        <v>38918</v>
      </c>
      <c r="F947" t="str">
        <f>"9780748627240"</f>
        <v>9780748627240</v>
      </c>
      <c r="G947" t="str">
        <f>"9780748612918"</f>
        <v>9780748612918</v>
      </c>
      <c r="H947" t="s">
        <v>1069</v>
      </c>
      <c r="I947" t="s">
        <v>1730</v>
      </c>
      <c r="J947" t="s">
        <v>1731</v>
      </c>
      <c r="K947" t="s">
        <v>44</v>
      </c>
      <c r="N947" t="s">
        <v>45</v>
      </c>
      <c r="O947" t="s">
        <v>46</v>
      </c>
      <c r="P947" t="s">
        <v>45</v>
      </c>
      <c r="Q947" t="s">
        <v>47</v>
      </c>
      <c r="R947" t="s">
        <v>44</v>
      </c>
      <c r="S947">
        <v>0</v>
      </c>
      <c r="W947" s="3">
        <v>2.3148148148148147E-5</v>
      </c>
      <c r="X947" t="s">
        <v>121</v>
      </c>
      <c r="Y947">
        <v>1</v>
      </c>
      <c r="Z947">
        <v>3</v>
      </c>
      <c r="AA947" t="s">
        <v>2214</v>
      </c>
      <c r="AB947">
        <v>28</v>
      </c>
      <c r="AC947" t="s">
        <v>49</v>
      </c>
      <c r="AD947">
        <v>0</v>
      </c>
      <c r="AE947">
        <v>10137883</v>
      </c>
      <c r="AF947" t="s">
        <v>50</v>
      </c>
      <c r="AG947" t="s">
        <v>264</v>
      </c>
    </row>
    <row r="948" spans="1:33" x14ac:dyDescent="0.35">
      <c r="A948" s="1">
        <v>44884.598611111112</v>
      </c>
      <c r="B948">
        <v>909102</v>
      </c>
      <c r="C948" t="s">
        <v>2165</v>
      </c>
      <c r="D948" t="s">
        <v>666</v>
      </c>
      <c r="E948" s="2">
        <v>37244</v>
      </c>
      <c r="F948" t="str">
        <f>"9780231504799"</f>
        <v>9780231504799</v>
      </c>
      <c r="G948" t="str">
        <f>"9780231114554"</f>
        <v>9780231114554</v>
      </c>
      <c r="H948" t="s">
        <v>2166</v>
      </c>
      <c r="I948">
        <v>333.95159999999998</v>
      </c>
      <c r="J948" t="s">
        <v>2167</v>
      </c>
      <c r="K948" t="s">
        <v>44</v>
      </c>
      <c r="N948" t="s">
        <v>45</v>
      </c>
      <c r="O948" t="s">
        <v>46</v>
      </c>
      <c r="P948" t="s">
        <v>45</v>
      </c>
      <c r="Q948" t="s">
        <v>47</v>
      </c>
      <c r="R948" t="s">
        <v>44</v>
      </c>
      <c r="S948">
        <v>0</v>
      </c>
      <c r="W948" s="3">
        <v>4.5833333333333334E-3</v>
      </c>
      <c r="X948" t="s">
        <v>2215</v>
      </c>
      <c r="Y948">
        <v>26</v>
      </c>
      <c r="Z948">
        <v>0</v>
      </c>
      <c r="AA948" t="s">
        <v>49</v>
      </c>
      <c r="AB948">
        <v>0</v>
      </c>
      <c r="AC948" t="s">
        <v>49</v>
      </c>
      <c r="AD948">
        <v>0</v>
      </c>
      <c r="AE948">
        <v>10619681</v>
      </c>
      <c r="AF948" t="s">
        <v>50</v>
      </c>
      <c r="AG948" t="s">
        <v>2216</v>
      </c>
    </row>
    <row r="949" spans="1:33" x14ac:dyDescent="0.35">
      <c r="A949" s="1">
        <v>44884.574305555558</v>
      </c>
      <c r="B949">
        <v>6859446</v>
      </c>
      <c r="C949" t="s">
        <v>2217</v>
      </c>
      <c r="D949" t="s">
        <v>213</v>
      </c>
      <c r="E949" s="2">
        <v>44581</v>
      </c>
      <c r="F949" t="str">
        <f>"9780128240892"</f>
        <v>9780128240892</v>
      </c>
      <c r="G949" t="str">
        <f>"9780128240885"</f>
        <v>9780128240885</v>
      </c>
      <c r="H949" t="s">
        <v>261</v>
      </c>
      <c r="I949">
        <v>628.54999999999995</v>
      </c>
      <c r="J949" t="s">
        <v>2218</v>
      </c>
      <c r="K949" t="s">
        <v>55</v>
      </c>
      <c r="N949" t="s">
        <v>293</v>
      </c>
      <c r="P949" t="s">
        <v>80</v>
      </c>
      <c r="Q949" t="s">
        <v>47</v>
      </c>
      <c r="R949" t="s">
        <v>44</v>
      </c>
      <c r="S949">
        <v>0</v>
      </c>
      <c r="T949">
        <v>90</v>
      </c>
      <c r="U949" s="1">
        <v>44873.510416666664</v>
      </c>
      <c r="V949" s="1">
        <v>44963.510416666664</v>
      </c>
      <c r="W949" s="3">
        <v>2.3148148148148147E-5</v>
      </c>
      <c r="X949" t="s">
        <v>2219</v>
      </c>
      <c r="Y949">
        <v>1</v>
      </c>
      <c r="Z949">
        <v>0</v>
      </c>
      <c r="AA949" t="s">
        <v>49</v>
      </c>
      <c r="AB949">
        <v>0</v>
      </c>
      <c r="AC949" t="s">
        <v>49</v>
      </c>
      <c r="AD949">
        <v>0</v>
      </c>
      <c r="AE949">
        <v>-1</v>
      </c>
      <c r="AF949" t="s">
        <v>63</v>
      </c>
      <c r="AG949" t="s">
        <v>388</v>
      </c>
    </row>
    <row r="950" spans="1:33" x14ac:dyDescent="0.35">
      <c r="A950" s="1">
        <v>44884.574305555558</v>
      </c>
      <c r="B950">
        <v>6859446</v>
      </c>
      <c r="C950" t="s">
        <v>2217</v>
      </c>
      <c r="D950" t="s">
        <v>213</v>
      </c>
      <c r="E950" s="2">
        <v>44581</v>
      </c>
      <c r="F950" t="str">
        <f>"9780128240892"</f>
        <v>9780128240892</v>
      </c>
      <c r="G950" t="str">
        <f>"9780128240885"</f>
        <v>9780128240885</v>
      </c>
      <c r="H950" t="s">
        <v>261</v>
      </c>
      <c r="I950">
        <v>628.54999999999995</v>
      </c>
      <c r="J950" t="s">
        <v>2218</v>
      </c>
      <c r="K950" t="s">
        <v>55</v>
      </c>
      <c r="N950" t="s">
        <v>293</v>
      </c>
      <c r="P950" t="s">
        <v>80</v>
      </c>
      <c r="Q950" t="s">
        <v>47</v>
      </c>
      <c r="R950" t="s">
        <v>44</v>
      </c>
      <c r="S950">
        <v>0</v>
      </c>
      <c r="W950" s="3">
        <v>1.1574074074074073E-5</v>
      </c>
      <c r="X950" t="s">
        <v>2219</v>
      </c>
      <c r="Y950">
        <v>1</v>
      </c>
      <c r="Z950">
        <v>0</v>
      </c>
      <c r="AA950" t="s">
        <v>49</v>
      </c>
      <c r="AB950">
        <v>0</v>
      </c>
      <c r="AC950" t="s">
        <v>49</v>
      </c>
      <c r="AD950">
        <v>0</v>
      </c>
      <c r="AE950">
        <v>-1</v>
      </c>
      <c r="AF950" t="s">
        <v>50</v>
      </c>
      <c r="AG950" t="s">
        <v>388</v>
      </c>
    </row>
    <row r="951" spans="1:33" x14ac:dyDescent="0.35">
      <c r="A951" s="1">
        <v>44884.571527777778</v>
      </c>
      <c r="B951">
        <v>4931553</v>
      </c>
      <c r="C951" t="s">
        <v>2036</v>
      </c>
      <c r="D951" t="s">
        <v>156</v>
      </c>
      <c r="E951" s="2">
        <v>42957</v>
      </c>
      <c r="F951" t="str">
        <f>"9780253027061"</f>
        <v>9780253027061</v>
      </c>
      <c r="G951" t="str">
        <f>"9780253026927"</f>
        <v>9780253026927</v>
      </c>
      <c r="H951" t="s">
        <v>2037</v>
      </c>
      <c r="I951">
        <v>1.94</v>
      </c>
      <c r="J951" t="s">
        <v>2038</v>
      </c>
      <c r="K951" t="s">
        <v>44</v>
      </c>
      <c r="N951" t="s">
        <v>45</v>
      </c>
      <c r="O951" t="s">
        <v>46</v>
      </c>
      <c r="P951" t="s">
        <v>45</v>
      </c>
      <c r="Q951" t="s">
        <v>47</v>
      </c>
      <c r="R951" t="s">
        <v>44</v>
      </c>
      <c r="S951">
        <v>0</v>
      </c>
      <c r="W951" s="3">
        <v>6.6203703703703702E-3</v>
      </c>
      <c r="X951" t="s">
        <v>2220</v>
      </c>
      <c r="Y951">
        <v>16</v>
      </c>
      <c r="Z951">
        <v>0</v>
      </c>
      <c r="AA951" t="s">
        <v>49</v>
      </c>
      <c r="AB951">
        <v>0</v>
      </c>
      <c r="AC951" t="s">
        <v>2221</v>
      </c>
      <c r="AD951">
        <v>4</v>
      </c>
      <c r="AE951">
        <v>11419727</v>
      </c>
      <c r="AF951" t="s">
        <v>50</v>
      </c>
      <c r="AG951" t="s">
        <v>388</v>
      </c>
    </row>
    <row r="952" spans="1:33" x14ac:dyDescent="0.35">
      <c r="A952" s="1">
        <v>44884.427777777775</v>
      </c>
      <c r="B952">
        <v>3339517</v>
      </c>
      <c r="C952" t="s">
        <v>2222</v>
      </c>
      <c r="D952" t="s">
        <v>303</v>
      </c>
      <c r="E952" s="2">
        <v>41180</v>
      </c>
      <c r="F952" t="str">
        <f>"9780262305563"</f>
        <v>9780262305563</v>
      </c>
      <c r="G952" t="str">
        <f>"9780262017473"</f>
        <v>9780262017473</v>
      </c>
      <c r="H952" t="s">
        <v>2223</v>
      </c>
      <c r="I952" t="s">
        <v>2224</v>
      </c>
      <c r="J952" t="s">
        <v>2225</v>
      </c>
      <c r="K952" t="s">
        <v>44</v>
      </c>
      <c r="N952" t="s">
        <v>45</v>
      </c>
      <c r="O952" t="s">
        <v>46</v>
      </c>
      <c r="P952" t="s">
        <v>45</v>
      </c>
      <c r="Q952" t="s">
        <v>47</v>
      </c>
      <c r="R952" t="s">
        <v>44</v>
      </c>
      <c r="S952">
        <v>1</v>
      </c>
      <c r="W952" s="3">
        <v>0</v>
      </c>
      <c r="X952" t="s">
        <v>49</v>
      </c>
      <c r="Y952">
        <v>0</v>
      </c>
      <c r="Z952">
        <v>1</v>
      </c>
      <c r="AA952" t="s">
        <v>2226</v>
      </c>
      <c r="AB952">
        <v>42</v>
      </c>
      <c r="AC952" t="s">
        <v>49</v>
      </c>
      <c r="AD952">
        <v>0</v>
      </c>
      <c r="AE952">
        <v>10608196</v>
      </c>
      <c r="AF952" t="s">
        <v>63</v>
      </c>
      <c r="AG952" t="s">
        <v>118</v>
      </c>
    </row>
    <row r="953" spans="1:33" x14ac:dyDescent="0.35">
      <c r="A953" s="1">
        <v>44884.20208333333</v>
      </c>
      <c r="B953">
        <v>3018367</v>
      </c>
      <c r="C953" t="s">
        <v>2227</v>
      </c>
      <c r="D953" t="s">
        <v>137</v>
      </c>
      <c r="E953" s="2">
        <v>39873</v>
      </c>
      <c r="F953" t="str">
        <f>"9781607414018"</f>
        <v>9781607414018</v>
      </c>
      <c r="G953" t="str">
        <f>"9781606924372"</f>
        <v>9781606924372</v>
      </c>
      <c r="H953" t="s">
        <v>925</v>
      </c>
      <c r="I953" t="s">
        <v>2228</v>
      </c>
      <c r="J953" t="s">
        <v>2229</v>
      </c>
      <c r="K953" t="s">
        <v>44</v>
      </c>
      <c r="N953" t="s">
        <v>45</v>
      </c>
      <c r="O953" t="s">
        <v>46</v>
      </c>
      <c r="P953" t="s">
        <v>177</v>
      </c>
      <c r="Q953" t="s">
        <v>47</v>
      </c>
      <c r="R953" t="s">
        <v>55</v>
      </c>
      <c r="S953">
        <v>0</v>
      </c>
      <c r="W953" s="3">
        <v>0</v>
      </c>
      <c r="X953" t="s">
        <v>49</v>
      </c>
      <c r="Y953">
        <v>0</v>
      </c>
      <c r="Z953">
        <v>2</v>
      </c>
      <c r="AA953" t="s">
        <v>2230</v>
      </c>
      <c r="AB953">
        <v>29</v>
      </c>
      <c r="AC953" t="s">
        <v>49</v>
      </c>
      <c r="AD953">
        <v>0</v>
      </c>
      <c r="AE953">
        <v>10660228</v>
      </c>
      <c r="AF953" t="s">
        <v>50</v>
      </c>
      <c r="AG953" t="s">
        <v>388</v>
      </c>
    </row>
    <row r="954" spans="1:33" x14ac:dyDescent="0.35">
      <c r="A954" s="1">
        <v>44883.979166666664</v>
      </c>
      <c r="B954">
        <v>788017</v>
      </c>
      <c r="C954" t="s">
        <v>1988</v>
      </c>
      <c r="D954" t="s">
        <v>65</v>
      </c>
      <c r="E954" s="2">
        <v>40861</v>
      </c>
      <c r="F954" t="str">
        <f>"9780123859358"</f>
        <v>9780123859358</v>
      </c>
      <c r="G954" t="str">
        <f>"9780123859341"</f>
        <v>9780123859341</v>
      </c>
      <c r="H954" t="s">
        <v>546</v>
      </c>
      <c r="I954" t="s">
        <v>1989</v>
      </c>
      <c r="J954" t="s">
        <v>1990</v>
      </c>
      <c r="K954" t="s">
        <v>44</v>
      </c>
      <c r="N954" t="s">
        <v>45</v>
      </c>
      <c r="O954" t="s">
        <v>46</v>
      </c>
      <c r="P954" t="s">
        <v>45</v>
      </c>
      <c r="Q954" t="s">
        <v>47</v>
      </c>
      <c r="R954" t="s">
        <v>44</v>
      </c>
      <c r="S954">
        <v>0</v>
      </c>
      <c r="W954" s="3">
        <v>2.7951388888888887E-2</v>
      </c>
      <c r="X954" t="s">
        <v>2231</v>
      </c>
      <c r="Y954">
        <v>43</v>
      </c>
      <c r="Z954">
        <v>0</v>
      </c>
      <c r="AA954" t="s">
        <v>49</v>
      </c>
      <c r="AB954">
        <v>0</v>
      </c>
      <c r="AC954" t="s">
        <v>49</v>
      </c>
      <c r="AD954">
        <v>0</v>
      </c>
      <c r="AE954">
        <v>10505643</v>
      </c>
      <c r="AF954" t="s">
        <v>50</v>
      </c>
      <c r="AG954" t="s">
        <v>388</v>
      </c>
    </row>
    <row r="955" spans="1:33" x14ac:dyDescent="0.35">
      <c r="A955" s="1">
        <v>44883.936111111114</v>
      </c>
      <c r="B955">
        <v>788017</v>
      </c>
      <c r="C955" t="s">
        <v>1988</v>
      </c>
      <c r="D955" t="s">
        <v>65</v>
      </c>
      <c r="E955" s="2">
        <v>40861</v>
      </c>
      <c r="F955" t="str">
        <f>"9780123859358"</f>
        <v>9780123859358</v>
      </c>
      <c r="G955" t="str">
        <f>"9780123859341"</f>
        <v>9780123859341</v>
      </c>
      <c r="H955" t="s">
        <v>546</v>
      </c>
      <c r="I955" t="s">
        <v>1989</v>
      </c>
      <c r="J955" t="s">
        <v>1990</v>
      </c>
      <c r="K955" t="s">
        <v>44</v>
      </c>
      <c r="N955" t="s">
        <v>45</v>
      </c>
      <c r="O955" t="s">
        <v>46</v>
      </c>
      <c r="P955" t="s">
        <v>45</v>
      </c>
      <c r="Q955" t="s">
        <v>47</v>
      </c>
      <c r="R955" t="s">
        <v>44</v>
      </c>
      <c r="S955">
        <v>0</v>
      </c>
      <c r="W955" s="3">
        <v>8.6805555555555551E-4</v>
      </c>
      <c r="X955" t="s">
        <v>2232</v>
      </c>
      <c r="Y955">
        <v>9</v>
      </c>
      <c r="Z955">
        <v>0</v>
      </c>
      <c r="AA955" t="s">
        <v>49</v>
      </c>
      <c r="AB955">
        <v>0</v>
      </c>
      <c r="AC955" t="s">
        <v>49</v>
      </c>
      <c r="AD955">
        <v>0</v>
      </c>
      <c r="AE955">
        <v>10505643</v>
      </c>
      <c r="AF955" t="s">
        <v>50</v>
      </c>
      <c r="AG955" t="s">
        <v>388</v>
      </c>
    </row>
    <row r="956" spans="1:33" x14ac:dyDescent="0.35">
      <c r="A956" s="1">
        <v>44883.911805555559</v>
      </c>
      <c r="B956">
        <v>3138589</v>
      </c>
      <c r="C956" t="s">
        <v>2233</v>
      </c>
      <c r="D956" t="s">
        <v>2234</v>
      </c>
      <c r="E956" s="2">
        <v>41744</v>
      </c>
      <c r="F956" t="str">
        <f>"9780801470530"</f>
        <v>9780801470530</v>
      </c>
      <c r="G956" t="str">
        <f>"9780801479151"</f>
        <v>9780801479151</v>
      </c>
      <c r="H956" t="s">
        <v>90</v>
      </c>
      <c r="I956">
        <v>378.19828296999998</v>
      </c>
      <c r="J956" t="s">
        <v>2235</v>
      </c>
      <c r="K956" t="s">
        <v>44</v>
      </c>
      <c r="N956" t="s">
        <v>45</v>
      </c>
      <c r="O956" t="s">
        <v>46</v>
      </c>
      <c r="P956" t="s">
        <v>177</v>
      </c>
      <c r="Q956" t="s">
        <v>47</v>
      </c>
      <c r="R956" t="s">
        <v>55</v>
      </c>
      <c r="S956">
        <v>0</v>
      </c>
      <c r="W956" s="3">
        <v>2.146990740740741E-2</v>
      </c>
      <c r="X956" t="s">
        <v>2236</v>
      </c>
      <c r="Y956">
        <v>28</v>
      </c>
      <c r="Z956">
        <v>0</v>
      </c>
      <c r="AA956" t="s">
        <v>49</v>
      </c>
      <c r="AB956">
        <v>0</v>
      </c>
      <c r="AC956" t="s">
        <v>49</v>
      </c>
      <c r="AD956">
        <v>0</v>
      </c>
      <c r="AE956">
        <v>10860425</v>
      </c>
      <c r="AF956" t="s">
        <v>50</v>
      </c>
      <c r="AG956" t="s">
        <v>388</v>
      </c>
    </row>
    <row r="957" spans="1:33" x14ac:dyDescent="0.35">
      <c r="A957" s="1">
        <v>44883.814583333333</v>
      </c>
      <c r="B957">
        <v>3138589</v>
      </c>
      <c r="C957" t="s">
        <v>2233</v>
      </c>
      <c r="D957" t="s">
        <v>2234</v>
      </c>
      <c r="E957" s="2">
        <v>41744</v>
      </c>
      <c r="F957" t="str">
        <f>"9780801470530"</f>
        <v>9780801470530</v>
      </c>
      <c r="G957" t="str">
        <f>"9780801479151"</f>
        <v>9780801479151</v>
      </c>
      <c r="H957" t="s">
        <v>90</v>
      </c>
      <c r="I957">
        <v>378.19828296999998</v>
      </c>
      <c r="J957" t="s">
        <v>2235</v>
      </c>
      <c r="K957" t="s">
        <v>44</v>
      </c>
      <c r="N957" t="s">
        <v>45</v>
      </c>
      <c r="O957" t="s">
        <v>46</v>
      </c>
      <c r="P957" t="s">
        <v>177</v>
      </c>
      <c r="Q957" t="s">
        <v>47</v>
      </c>
      <c r="R957" t="s">
        <v>55</v>
      </c>
      <c r="S957">
        <v>0</v>
      </c>
      <c r="W957" s="3">
        <v>9.2592592592592585E-4</v>
      </c>
      <c r="X957" t="s">
        <v>2237</v>
      </c>
      <c r="Y957">
        <v>7</v>
      </c>
      <c r="Z957">
        <v>0</v>
      </c>
      <c r="AA957" t="s">
        <v>49</v>
      </c>
      <c r="AB957">
        <v>0</v>
      </c>
      <c r="AC957" t="s">
        <v>49</v>
      </c>
      <c r="AD957">
        <v>0</v>
      </c>
      <c r="AE957">
        <v>10860425</v>
      </c>
      <c r="AF957" t="s">
        <v>50</v>
      </c>
      <c r="AG957" t="s">
        <v>388</v>
      </c>
    </row>
    <row r="958" spans="1:33" x14ac:dyDescent="0.35">
      <c r="A958" s="1">
        <v>44883.760416666664</v>
      </c>
      <c r="B958">
        <v>6274099</v>
      </c>
      <c r="C958" t="s">
        <v>2238</v>
      </c>
      <c r="D958" t="s">
        <v>1796</v>
      </c>
      <c r="E958" s="2">
        <v>44075</v>
      </c>
      <c r="F958" t="str">
        <f>"9781000217063"</f>
        <v>9781000217063</v>
      </c>
      <c r="G958" t="str">
        <f>"9781859468654"</f>
        <v>9781859468654</v>
      </c>
      <c r="H958" t="s">
        <v>483</v>
      </c>
      <c r="I958">
        <v>728</v>
      </c>
      <c r="J958" t="s">
        <v>2239</v>
      </c>
      <c r="K958" t="s">
        <v>55</v>
      </c>
      <c r="N958" t="s">
        <v>293</v>
      </c>
      <c r="P958" t="s">
        <v>80</v>
      </c>
      <c r="Q958" t="s">
        <v>47</v>
      </c>
      <c r="R958" t="s">
        <v>44</v>
      </c>
      <c r="S958">
        <v>0</v>
      </c>
      <c r="W958" s="3">
        <v>3.4490740740740745E-3</v>
      </c>
      <c r="X958" t="s">
        <v>2240</v>
      </c>
      <c r="Y958">
        <v>26</v>
      </c>
      <c r="Z958">
        <v>0</v>
      </c>
      <c r="AA958" t="s">
        <v>49</v>
      </c>
      <c r="AB958">
        <v>0</v>
      </c>
      <c r="AC958" t="s">
        <v>49</v>
      </c>
      <c r="AD958">
        <v>0</v>
      </c>
      <c r="AE958">
        <v>-1</v>
      </c>
      <c r="AF958" t="s">
        <v>50</v>
      </c>
      <c r="AG958" t="s">
        <v>2241</v>
      </c>
    </row>
    <row r="959" spans="1:33" x14ac:dyDescent="0.35">
      <c r="A959" s="1">
        <v>44883.757638888892</v>
      </c>
      <c r="B959">
        <v>6026402</v>
      </c>
      <c r="C959" t="s">
        <v>2242</v>
      </c>
      <c r="D959" t="s">
        <v>76</v>
      </c>
      <c r="E959" s="2">
        <v>43864</v>
      </c>
      <c r="F959" t="str">
        <f>"9781000763843"</f>
        <v>9781000763843</v>
      </c>
      <c r="G959" t="str">
        <f>"9780367407964"</f>
        <v>9780367407964</v>
      </c>
      <c r="H959" t="s">
        <v>2243</v>
      </c>
      <c r="I959">
        <v>333.79</v>
      </c>
      <c r="J959" t="s">
        <v>2244</v>
      </c>
      <c r="K959" t="s">
        <v>55</v>
      </c>
      <c r="Q959" t="s">
        <v>47</v>
      </c>
      <c r="R959" t="s">
        <v>44</v>
      </c>
      <c r="S959">
        <v>0</v>
      </c>
      <c r="W959" s="3">
        <v>1.712962962962963E-3</v>
      </c>
      <c r="X959" t="s">
        <v>2245</v>
      </c>
      <c r="Y959">
        <v>4</v>
      </c>
      <c r="Z959">
        <v>0</v>
      </c>
      <c r="AA959" t="s">
        <v>49</v>
      </c>
      <c r="AB959">
        <v>0</v>
      </c>
      <c r="AC959" t="s">
        <v>49</v>
      </c>
      <c r="AD959">
        <v>0</v>
      </c>
      <c r="AE959">
        <v>-1</v>
      </c>
      <c r="AF959" t="s">
        <v>50</v>
      </c>
      <c r="AG959" t="s">
        <v>2241</v>
      </c>
    </row>
    <row r="960" spans="1:33" x14ac:dyDescent="0.35">
      <c r="A960" s="1">
        <v>44883.734722222223</v>
      </c>
      <c r="B960">
        <v>788017</v>
      </c>
      <c r="C960" t="s">
        <v>1988</v>
      </c>
      <c r="D960" t="s">
        <v>65</v>
      </c>
      <c r="E960" s="2">
        <v>40861</v>
      </c>
      <c r="F960" t="str">
        <f>"9780123859358"</f>
        <v>9780123859358</v>
      </c>
      <c r="G960" t="str">
        <f>"9780123859341"</f>
        <v>9780123859341</v>
      </c>
      <c r="H960" t="s">
        <v>546</v>
      </c>
      <c r="I960" t="s">
        <v>1989</v>
      </c>
      <c r="J960" t="s">
        <v>1990</v>
      </c>
      <c r="K960" t="s">
        <v>44</v>
      </c>
      <c r="N960" t="s">
        <v>45</v>
      </c>
      <c r="O960" t="s">
        <v>46</v>
      </c>
      <c r="P960" t="s">
        <v>45</v>
      </c>
      <c r="Q960" t="s">
        <v>47</v>
      </c>
      <c r="R960" t="s">
        <v>44</v>
      </c>
      <c r="S960">
        <v>0</v>
      </c>
      <c r="W960" s="3">
        <v>2.5810185185185185E-3</v>
      </c>
      <c r="X960" t="s">
        <v>2246</v>
      </c>
      <c r="Y960">
        <v>11</v>
      </c>
      <c r="Z960">
        <v>0</v>
      </c>
      <c r="AA960" t="s">
        <v>49</v>
      </c>
      <c r="AB960">
        <v>0</v>
      </c>
      <c r="AC960" t="s">
        <v>49</v>
      </c>
      <c r="AD960">
        <v>0</v>
      </c>
      <c r="AE960">
        <v>10505643</v>
      </c>
      <c r="AF960" t="s">
        <v>50</v>
      </c>
      <c r="AG960" t="s">
        <v>388</v>
      </c>
    </row>
    <row r="961" spans="1:33" x14ac:dyDescent="0.35">
      <c r="A961" s="1">
        <v>44883.720138888886</v>
      </c>
      <c r="B961">
        <v>6736506</v>
      </c>
      <c r="C961" t="s">
        <v>2247</v>
      </c>
      <c r="D961" t="s">
        <v>497</v>
      </c>
      <c r="E961" s="2">
        <v>44518</v>
      </c>
      <c r="F961" t="str">
        <f>"9781350167827"</f>
        <v>9781350167827</v>
      </c>
      <c r="G961" t="str">
        <f>"9781350167810"</f>
        <v>9781350167810</v>
      </c>
      <c r="H961" t="s">
        <v>90</v>
      </c>
      <c r="I961">
        <v>370.89</v>
      </c>
      <c r="J961" t="s">
        <v>2248</v>
      </c>
      <c r="K961" t="s">
        <v>55</v>
      </c>
      <c r="Q961" t="s">
        <v>47</v>
      </c>
      <c r="R961" t="s">
        <v>44</v>
      </c>
      <c r="S961">
        <v>0</v>
      </c>
      <c r="W961" s="3">
        <v>3.9351851851851852E-4</v>
      </c>
      <c r="X961" t="s">
        <v>2249</v>
      </c>
      <c r="Y961">
        <v>6</v>
      </c>
      <c r="Z961">
        <v>0</v>
      </c>
      <c r="AA961" t="s">
        <v>49</v>
      </c>
      <c r="AB961">
        <v>0</v>
      </c>
      <c r="AC961" t="s">
        <v>49</v>
      </c>
      <c r="AD961">
        <v>0</v>
      </c>
      <c r="AE961">
        <v>-1</v>
      </c>
      <c r="AF961" t="s">
        <v>50</v>
      </c>
      <c r="AG961" t="s">
        <v>523</v>
      </c>
    </row>
    <row r="962" spans="1:33" x14ac:dyDescent="0.35">
      <c r="A962" s="1">
        <v>44883.684027777781</v>
      </c>
      <c r="B962">
        <v>6511614</v>
      </c>
      <c r="C962" t="s">
        <v>2250</v>
      </c>
      <c r="D962" t="s">
        <v>105</v>
      </c>
      <c r="E962" s="2">
        <v>44264</v>
      </c>
      <c r="F962" t="str">
        <f>"9783030552626"</f>
        <v>9783030552626</v>
      </c>
      <c r="G962" t="str">
        <f>"9783030552619"</f>
        <v>9783030552619</v>
      </c>
      <c r="H962" t="s">
        <v>77</v>
      </c>
      <c r="I962">
        <v>616.04719999999998</v>
      </c>
      <c r="J962" t="s">
        <v>2251</v>
      </c>
      <c r="K962" t="s">
        <v>55</v>
      </c>
      <c r="Q962" t="s">
        <v>47</v>
      </c>
      <c r="R962" t="s">
        <v>44</v>
      </c>
      <c r="S962">
        <v>0</v>
      </c>
      <c r="W962" s="3">
        <v>6.053240740740741E-3</v>
      </c>
      <c r="X962" t="s">
        <v>2252</v>
      </c>
      <c r="Y962">
        <v>11</v>
      </c>
      <c r="Z962">
        <v>0</v>
      </c>
      <c r="AA962" t="s">
        <v>49</v>
      </c>
      <c r="AB962">
        <v>0</v>
      </c>
      <c r="AC962" t="s">
        <v>49</v>
      </c>
      <c r="AD962">
        <v>0</v>
      </c>
      <c r="AE962">
        <v>-1</v>
      </c>
      <c r="AF962" t="s">
        <v>50</v>
      </c>
      <c r="AG962" t="s">
        <v>216</v>
      </c>
    </row>
    <row r="963" spans="1:33" x14ac:dyDescent="0.35">
      <c r="A963" s="1">
        <v>44883.657638888886</v>
      </c>
      <c r="B963">
        <v>788017</v>
      </c>
      <c r="C963" t="s">
        <v>1988</v>
      </c>
      <c r="D963" t="s">
        <v>65</v>
      </c>
      <c r="E963" s="2">
        <v>40861</v>
      </c>
      <c r="F963" t="str">
        <f>"9780123859358"</f>
        <v>9780123859358</v>
      </c>
      <c r="G963" t="str">
        <f>"9780123859341"</f>
        <v>9780123859341</v>
      </c>
      <c r="H963" t="s">
        <v>546</v>
      </c>
      <c r="I963" t="s">
        <v>1989</v>
      </c>
      <c r="J963" t="s">
        <v>1990</v>
      </c>
      <c r="K963" t="s">
        <v>44</v>
      </c>
      <c r="N963" t="s">
        <v>45</v>
      </c>
      <c r="O963" t="s">
        <v>46</v>
      </c>
      <c r="P963" t="s">
        <v>45</v>
      </c>
      <c r="Q963" t="s">
        <v>47</v>
      </c>
      <c r="R963" t="s">
        <v>44</v>
      </c>
      <c r="S963">
        <v>0</v>
      </c>
      <c r="W963" s="3">
        <v>2.4594907407407409E-2</v>
      </c>
      <c r="X963" t="s">
        <v>2253</v>
      </c>
      <c r="Y963">
        <v>32</v>
      </c>
      <c r="Z963">
        <v>0</v>
      </c>
      <c r="AA963" t="s">
        <v>49</v>
      </c>
      <c r="AB963">
        <v>0</v>
      </c>
      <c r="AC963" t="s">
        <v>49</v>
      </c>
      <c r="AD963">
        <v>0</v>
      </c>
      <c r="AE963">
        <v>10505643</v>
      </c>
      <c r="AF963" t="s">
        <v>50</v>
      </c>
      <c r="AG963" t="s">
        <v>388</v>
      </c>
    </row>
    <row r="964" spans="1:33" x14ac:dyDescent="0.35">
      <c r="A964" s="1">
        <v>44883.655555555553</v>
      </c>
      <c r="B964">
        <v>6511614</v>
      </c>
      <c r="C964" t="s">
        <v>2250</v>
      </c>
      <c r="D964" t="s">
        <v>105</v>
      </c>
      <c r="E964" s="2">
        <v>44264</v>
      </c>
      <c r="F964" t="str">
        <f>"9783030552626"</f>
        <v>9783030552626</v>
      </c>
      <c r="G964" t="str">
        <f>"9783030552619"</f>
        <v>9783030552619</v>
      </c>
      <c r="H964" t="s">
        <v>77</v>
      </c>
      <c r="I964">
        <v>616.04719999999998</v>
      </c>
      <c r="J964" t="s">
        <v>2251</v>
      </c>
      <c r="K964" t="s">
        <v>55</v>
      </c>
      <c r="Q964" t="s">
        <v>47</v>
      </c>
      <c r="R964" t="s">
        <v>44</v>
      </c>
      <c r="S964">
        <v>0</v>
      </c>
      <c r="W964" s="3">
        <v>1.1805555555555556E-3</v>
      </c>
      <c r="X964" t="s">
        <v>2254</v>
      </c>
      <c r="Y964">
        <v>8</v>
      </c>
      <c r="Z964">
        <v>0</v>
      </c>
      <c r="AA964" t="s">
        <v>49</v>
      </c>
      <c r="AB964">
        <v>0</v>
      </c>
      <c r="AC964" t="s">
        <v>49</v>
      </c>
      <c r="AD964">
        <v>0</v>
      </c>
      <c r="AE964">
        <v>-1</v>
      </c>
      <c r="AF964" t="s">
        <v>50</v>
      </c>
      <c r="AG964" t="s">
        <v>216</v>
      </c>
    </row>
    <row r="965" spans="1:33" x14ac:dyDescent="0.35">
      <c r="A965" s="1">
        <v>44883.651388888888</v>
      </c>
      <c r="B965">
        <v>5844349</v>
      </c>
      <c r="C965" t="s">
        <v>2255</v>
      </c>
      <c r="D965" t="s">
        <v>1348</v>
      </c>
      <c r="E965" s="2">
        <v>43697</v>
      </c>
      <c r="F965" t="str">
        <f>"9783658273521"</f>
        <v>9783658273521</v>
      </c>
      <c r="G965" t="str">
        <f>"9783658273514"</f>
        <v>9783658273514</v>
      </c>
      <c r="H965" t="s">
        <v>77</v>
      </c>
      <c r="I965">
        <v>617.96199999999999</v>
      </c>
      <c r="J965" t="s">
        <v>2256</v>
      </c>
      <c r="K965" t="s">
        <v>55</v>
      </c>
      <c r="Q965" t="s">
        <v>47</v>
      </c>
      <c r="R965" t="s">
        <v>44</v>
      </c>
      <c r="S965">
        <v>0</v>
      </c>
      <c r="W965" s="3">
        <v>1.5972222222222221E-3</v>
      </c>
      <c r="X965" t="s">
        <v>2257</v>
      </c>
      <c r="Y965">
        <v>14</v>
      </c>
      <c r="Z965">
        <v>0</v>
      </c>
      <c r="AA965" t="s">
        <v>49</v>
      </c>
      <c r="AB965">
        <v>0</v>
      </c>
      <c r="AC965" t="s">
        <v>49</v>
      </c>
      <c r="AD965">
        <v>0</v>
      </c>
      <c r="AE965">
        <v>-1</v>
      </c>
      <c r="AF965" t="s">
        <v>50</v>
      </c>
      <c r="AG965" t="s">
        <v>216</v>
      </c>
    </row>
    <row r="966" spans="1:33" x14ac:dyDescent="0.35">
      <c r="A966" s="1">
        <v>44883.520138888889</v>
      </c>
      <c r="B966">
        <v>6420775</v>
      </c>
      <c r="C966" t="s">
        <v>236</v>
      </c>
      <c r="D966" t="s">
        <v>213</v>
      </c>
      <c r="E966" s="2">
        <v>44147</v>
      </c>
      <c r="F966" t="str">
        <f>"9780128243619"</f>
        <v>9780128243619</v>
      </c>
      <c r="G966" t="str">
        <f>"9780128243602"</f>
        <v>9780128243602</v>
      </c>
      <c r="H966" t="s">
        <v>237</v>
      </c>
      <c r="I966">
        <v>551.70100000000002</v>
      </c>
      <c r="J966" t="s">
        <v>238</v>
      </c>
      <c r="K966" t="s">
        <v>55</v>
      </c>
      <c r="N966" t="s">
        <v>79</v>
      </c>
      <c r="P966" t="s">
        <v>80</v>
      </c>
      <c r="Q966" t="s">
        <v>47</v>
      </c>
      <c r="R966" t="s">
        <v>44</v>
      </c>
      <c r="S966">
        <v>0</v>
      </c>
      <c r="W966" s="3">
        <v>2.2222222222222222E-3</v>
      </c>
      <c r="X966" t="s">
        <v>2258</v>
      </c>
      <c r="Y966">
        <v>9</v>
      </c>
      <c r="Z966">
        <v>0</v>
      </c>
      <c r="AA966" t="s">
        <v>49</v>
      </c>
      <c r="AB966">
        <v>0</v>
      </c>
      <c r="AC966" t="s">
        <v>49</v>
      </c>
      <c r="AD966">
        <v>0</v>
      </c>
      <c r="AE966">
        <v>-1</v>
      </c>
      <c r="AF966" t="s">
        <v>50</v>
      </c>
      <c r="AG966" t="s">
        <v>216</v>
      </c>
    </row>
    <row r="967" spans="1:33" x14ac:dyDescent="0.35">
      <c r="A967" s="1">
        <v>44883.515277777777</v>
      </c>
      <c r="B967">
        <v>6484277</v>
      </c>
      <c r="C967" t="s">
        <v>1302</v>
      </c>
      <c r="D967" t="s">
        <v>213</v>
      </c>
      <c r="E967" s="2">
        <v>44252</v>
      </c>
      <c r="F967" t="str">
        <f>"9780128231906"</f>
        <v>9780128231906</v>
      </c>
      <c r="G967" t="str">
        <f>"9780128210376"</f>
        <v>9780128210376</v>
      </c>
      <c r="H967" t="s">
        <v>1238</v>
      </c>
      <c r="I967">
        <v>621.44000000000005</v>
      </c>
      <c r="J967" t="s">
        <v>1303</v>
      </c>
      <c r="K967" t="s">
        <v>55</v>
      </c>
      <c r="Q967" t="s">
        <v>47</v>
      </c>
      <c r="R967" t="s">
        <v>44</v>
      </c>
      <c r="S967">
        <v>0</v>
      </c>
      <c r="W967" s="3">
        <v>3.9351851851851852E-4</v>
      </c>
      <c r="X967" t="s">
        <v>2259</v>
      </c>
      <c r="Y967">
        <v>5</v>
      </c>
      <c r="Z967">
        <v>0</v>
      </c>
      <c r="AA967" t="s">
        <v>49</v>
      </c>
      <c r="AB967">
        <v>0</v>
      </c>
      <c r="AC967" t="s">
        <v>49</v>
      </c>
      <c r="AD967">
        <v>0</v>
      </c>
      <c r="AE967">
        <v>-1</v>
      </c>
      <c r="AF967" t="s">
        <v>50</v>
      </c>
      <c r="AG967" t="s">
        <v>2260</v>
      </c>
    </row>
    <row r="968" spans="1:33" x14ac:dyDescent="0.35">
      <c r="A968" s="1">
        <v>44883.513888888891</v>
      </c>
      <c r="B968">
        <v>1684462</v>
      </c>
      <c r="C968" t="s">
        <v>2261</v>
      </c>
      <c r="D968" t="s">
        <v>76</v>
      </c>
      <c r="E968" s="2">
        <v>41772</v>
      </c>
      <c r="F968" t="str">
        <f>"9781782411703"</f>
        <v>9781782411703</v>
      </c>
      <c r="G968" t="str">
        <f>"9781855758254"</f>
        <v>9781855758254</v>
      </c>
      <c r="H968" t="s">
        <v>151</v>
      </c>
      <c r="I968">
        <v>616.89075000000003</v>
      </c>
      <c r="J968" t="s">
        <v>2262</v>
      </c>
      <c r="K968" t="s">
        <v>44</v>
      </c>
      <c r="N968" t="s">
        <v>45</v>
      </c>
      <c r="O968" t="s">
        <v>46</v>
      </c>
      <c r="P968" t="s">
        <v>45</v>
      </c>
      <c r="Q968" t="s">
        <v>47</v>
      </c>
      <c r="R968" t="s">
        <v>44</v>
      </c>
      <c r="S968">
        <v>0</v>
      </c>
      <c r="W968" s="3">
        <v>8.7962962962962962E-4</v>
      </c>
      <c r="X968" t="s">
        <v>2263</v>
      </c>
      <c r="Y968">
        <v>13</v>
      </c>
      <c r="Z968">
        <v>0</v>
      </c>
      <c r="AA968" t="s">
        <v>49</v>
      </c>
      <c r="AB968">
        <v>0</v>
      </c>
      <c r="AC968" t="s">
        <v>49</v>
      </c>
      <c r="AD968">
        <v>0</v>
      </c>
      <c r="AE968">
        <v>10869982</v>
      </c>
      <c r="AF968" t="s">
        <v>50</v>
      </c>
      <c r="AG968" t="s">
        <v>216</v>
      </c>
    </row>
    <row r="969" spans="1:33" x14ac:dyDescent="0.35">
      <c r="A969" s="1">
        <v>44883.510416666664</v>
      </c>
      <c r="B969">
        <v>6484277</v>
      </c>
      <c r="C969" t="s">
        <v>1302</v>
      </c>
      <c r="D969" t="s">
        <v>213</v>
      </c>
      <c r="E969" s="2">
        <v>44252</v>
      </c>
      <c r="F969" t="str">
        <f>"9780128231906"</f>
        <v>9780128231906</v>
      </c>
      <c r="G969" t="str">
        <f>"9780128210376"</f>
        <v>9780128210376</v>
      </c>
      <c r="H969" t="s">
        <v>1238</v>
      </c>
      <c r="I969">
        <v>621.44000000000005</v>
      </c>
      <c r="J969" t="s">
        <v>1303</v>
      </c>
      <c r="K969" t="s">
        <v>55</v>
      </c>
      <c r="Q969" t="s">
        <v>47</v>
      </c>
      <c r="R969" t="s">
        <v>44</v>
      </c>
      <c r="S969">
        <v>0</v>
      </c>
      <c r="W969" s="3">
        <v>3.0324074074074073E-3</v>
      </c>
      <c r="X969" t="s">
        <v>2264</v>
      </c>
      <c r="Y969">
        <v>37</v>
      </c>
      <c r="Z969">
        <v>0</v>
      </c>
      <c r="AA969" t="s">
        <v>49</v>
      </c>
      <c r="AB969">
        <v>0</v>
      </c>
      <c r="AC969" t="s">
        <v>49</v>
      </c>
      <c r="AD969">
        <v>0</v>
      </c>
      <c r="AE969">
        <v>-1</v>
      </c>
      <c r="AF969" t="s">
        <v>50</v>
      </c>
      <c r="AG969" t="s">
        <v>388</v>
      </c>
    </row>
    <row r="970" spans="1:33" x14ac:dyDescent="0.35">
      <c r="A970" s="1">
        <v>44883.50277777778</v>
      </c>
      <c r="B970">
        <v>1569391</v>
      </c>
      <c r="C970" t="s">
        <v>2265</v>
      </c>
      <c r="D970" t="s">
        <v>2266</v>
      </c>
      <c r="E970" s="2">
        <v>31778</v>
      </c>
      <c r="F970" t="str">
        <f>"9780398090166"</f>
        <v>9780398090166</v>
      </c>
      <c r="G970" t="str">
        <f>"9780398046699"</f>
        <v>9780398046699</v>
      </c>
      <c r="H970" t="s">
        <v>77</v>
      </c>
      <c r="I970" t="s">
        <v>2267</v>
      </c>
      <c r="J970" t="s">
        <v>2268</v>
      </c>
      <c r="K970" t="s">
        <v>55</v>
      </c>
      <c r="N970" t="s">
        <v>79</v>
      </c>
      <c r="P970" t="s">
        <v>80</v>
      </c>
      <c r="Q970" t="s">
        <v>47</v>
      </c>
      <c r="R970" t="s">
        <v>44</v>
      </c>
      <c r="S970">
        <v>0</v>
      </c>
      <c r="W970" s="3">
        <v>2.4074074074074076E-3</v>
      </c>
      <c r="X970" t="s">
        <v>2269</v>
      </c>
      <c r="Y970">
        <v>27</v>
      </c>
      <c r="Z970">
        <v>0</v>
      </c>
      <c r="AA970" t="s">
        <v>49</v>
      </c>
      <c r="AB970">
        <v>0</v>
      </c>
      <c r="AC970" t="s">
        <v>49</v>
      </c>
      <c r="AD970">
        <v>0</v>
      </c>
      <c r="AE970">
        <v>-1</v>
      </c>
      <c r="AF970" t="s">
        <v>50</v>
      </c>
      <c r="AG970" t="s">
        <v>741</v>
      </c>
    </row>
    <row r="971" spans="1:33" x14ac:dyDescent="0.35">
      <c r="A971" s="1">
        <v>44883.431944444441</v>
      </c>
      <c r="B971">
        <v>3100128</v>
      </c>
      <c r="C971" t="s">
        <v>2270</v>
      </c>
      <c r="D971" t="s">
        <v>2271</v>
      </c>
      <c r="E971" s="2">
        <v>34957</v>
      </c>
      <c r="F971" t="str">
        <f>"9783662126486"</f>
        <v>9783662126486</v>
      </c>
      <c r="G971" t="str">
        <f>"9783642081958"</f>
        <v>9783642081958</v>
      </c>
      <c r="H971" t="s">
        <v>1626</v>
      </c>
      <c r="I971" t="s">
        <v>2272</v>
      </c>
      <c r="J971" t="s">
        <v>2273</v>
      </c>
      <c r="K971" t="s">
        <v>44</v>
      </c>
      <c r="N971" t="s">
        <v>45</v>
      </c>
      <c r="O971" t="s">
        <v>46</v>
      </c>
      <c r="P971" t="s">
        <v>45</v>
      </c>
      <c r="Q971" t="s">
        <v>47</v>
      </c>
      <c r="R971" t="s">
        <v>44</v>
      </c>
      <c r="S971">
        <v>0</v>
      </c>
      <c r="W971" s="3">
        <v>0</v>
      </c>
      <c r="X971" t="s">
        <v>49</v>
      </c>
      <c r="Y971">
        <v>0</v>
      </c>
      <c r="Z971">
        <v>1</v>
      </c>
      <c r="AA971" t="s">
        <v>2274</v>
      </c>
      <c r="AB971">
        <v>25</v>
      </c>
      <c r="AC971" t="s">
        <v>49</v>
      </c>
      <c r="AD971">
        <v>0</v>
      </c>
      <c r="AE971">
        <v>10975031</v>
      </c>
      <c r="AF971" t="s">
        <v>50</v>
      </c>
      <c r="AG971" t="s">
        <v>216</v>
      </c>
    </row>
    <row r="972" spans="1:33" x14ac:dyDescent="0.35">
      <c r="A972" s="1">
        <v>44883.006944444445</v>
      </c>
      <c r="B972">
        <v>279494</v>
      </c>
      <c r="C972" t="s">
        <v>1333</v>
      </c>
      <c r="D972" t="s">
        <v>125</v>
      </c>
      <c r="E972" s="2">
        <v>37280</v>
      </c>
      <c r="F972" t="str">
        <f>"9780198032953"</f>
        <v>9780198032953</v>
      </c>
      <c r="G972" t="str">
        <f>"9780195144208"</f>
        <v>9780195144208</v>
      </c>
      <c r="H972" t="s">
        <v>667</v>
      </c>
      <c r="I972" t="s">
        <v>1334</v>
      </c>
      <c r="J972" t="s">
        <v>1335</v>
      </c>
      <c r="K972" t="s">
        <v>44</v>
      </c>
      <c r="N972" t="s">
        <v>45</v>
      </c>
      <c r="O972" t="s">
        <v>46</v>
      </c>
      <c r="P972" t="s">
        <v>45</v>
      </c>
      <c r="Q972" t="s">
        <v>47</v>
      </c>
      <c r="R972" t="s">
        <v>44</v>
      </c>
      <c r="S972">
        <v>0</v>
      </c>
      <c r="W972" s="3">
        <v>0.11877314814814814</v>
      </c>
      <c r="X972" t="s">
        <v>2275</v>
      </c>
      <c r="Y972">
        <v>61</v>
      </c>
      <c r="Z972">
        <v>0</v>
      </c>
      <c r="AA972" t="s">
        <v>49</v>
      </c>
      <c r="AB972">
        <v>0</v>
      </c>
      <c r="AC972" t="s">
        <v>2276</v>
      </c>
      <c r="AD972">
        <v>3</v>
      </c>
      <c r="AE972">
        <v>11303309</v>
      </c>
      <c r="AF972" t="s">
        <v>50</v>
      </c>
      <c r="AG972" t="s">
        <v>1190</v>
      </c>
    </row>
    <row r="973" spans="1:33" x14ac:dyDescent="0.35">
      <c r="A973" s="1">
        <v>44882.911111111112</v>
      </c>
      <c r="B973">
        <v>6355992</v>
      </c>
      <c r="C973" t="s">
        <v>2277</v>
      </c>
      <c r="D973" t="s">
        <v>633</v>
      </c>
      <c r="E973" s="2">
        <v>44074</v>
      </c>
      <c r="F973" t="str">
        <f>"9781643680958"</f>
        <v>9781643680958</v>
      </c>
      <c r="G973" t="str">
        <f>"9781643680941"</f>
        <v>9781643680941</v>
      </c>
      <c r="H973" t="s">
        <v>1570</v>
      </c>
      <c r="K973" t="s">
        <v>44</v>
      </c>
      <c r="N973" t="s">
        <v>45</v>
      </c>
      <c r="O973" t="s">
        <v>46</v>
      </c>
      <c r="P973" t="s">
        <v>177</v>
      </c>
      <c r="Q973" t="s">
        <v>47</v>
      </c>
      <c r="R973" t="s">
        <v>55</v>
      </c>
      <c r="S973">
        <v>0</v>
      </c>
      <c r="W973" s="3">
        <v>3.2407407407407406E-4</v>
      </c>
      <c r="X973" t="s">
        <v>1143</v>
      </c>
      <c r="Y973">
        <v>7</v>
      </c>
      <c r="Z973">
        <v>0</v>
      </c>
      <c r="AA973" t="s">
        <v>49</v>
      </c>
      <c r="AB973">
        <v>0</v>
      </c>
      <c r="AC973" t="s">
        <v>49</v>
      </c>
      <c r="AD973">
        <v>0</v>
      </c>
      <c r="AE973">
        <v>-1</v>
      </c>
      <c r="AF973" t="s">
        <v>50</v>
      </c>
      <c r="AG973" t="s">
        <v>216</v>
      </c>
    </row>
    <row r="974" spans="1:33" x14ac:dyDescent="0.35">
      <c r="A974" s="1">
        <v>44882.897916666669</v>
      </c>
      <c r="B974">
        <v>5430730</v>
      </c>
      <c r="C974" t="s">
        <v>2278</v>
      </c>
      <c r="D974" t="s">
        <v>861</v>
      </c>
      <c r="E974" s="2">
        <v>42947</v>
      </c>
      <c r="F974" t="str">
        <f>"9781630814731"</f>
        <v>9781630814731</v>
      </c>
      <c r="G974" t="str">
        <f>"9781630810511"</f>
        <v>9781630810511</v>
      </c>
      <c r="H974" t="s">
        <v>208</v>
      </c>
      <c r="I974">
        <v>629.22929999999997</v>
      </c>
      <c r="J974" t="s">
        <v>2279</v>
      </c>
      <c r="K974" t="s">
        <v>44</v>
      </c>
      <c r="N974" t="s">
        <v>45</v>
      </c>
      <c r="O974" t="s">
        <v>46</v>
      </c>
      <c r="P974" t="s">
        <v>45</v>
      </c>
      <c r="Q974" t="s">
        <v>47</v>
      </c>
      <c r="R974" t="s">
        <v>44</v>
      </c>
      <c r="S974">
        <v>0</v>
      </c>
      <c r="W974" s="3">
        <v>0</v>
      </c>
      <c r="X974" t="s">
        <v>49</v>
      </c>
      <c r="Y974">
        <v>0</v>
      </c>
      <c r="Z974">
        <v>3</v>
      </c>
      <c r="AA974" t="s">
        <v>2280</v>
      </c>
      <c r="AB974">
        <v>46</v>
      </c>
      <c r="AC974" t="s">
        <v>49</v>
      </c>
      <c r="AD974">
        <v>0</v>
      </c>
      <c r="AE974">
        <v>-1</v>
      </c>
      <c r="AF974" t="s">
        <v>50</v>
      </c>
      <c r="AG974" t="s">
        <v>216</v>
      </c>
    </row>
    <row r="975" spans="1:33" x14ac:dyDescent="0.35">
      <c r="A975" s="1">
        <v>44882.893750000003</v>
      </c>
      <c r="B975">
        <v>6796746</v>
      </c>
      <c r="C975" t="s">
        <v>2192</v>
      </c>
      <c r="D975" t="s">
        <v>2193</v>
      </c>
      <c r="E975" s="2">
        <v>44505</v>
      </c>
      <c r="F975" t="str">
        <f>"9781440873898"</f>
        <v>9781440873898</v>
      </c>
      <c r="G975" t="str">
        <f>"9781440873881"</f>
        <v>9781440873881</v>
      </c>
      <c r="H975" t="s">
        <v>133</v>
      </c>
      <c r="I975">
        <v>338.17372999999998</v>
      </c>
      <c r="J975" t="s">
        <v>2194</v>
      </c>
      <c r="K975" t="s">
        <v>55</v>
      </c>
      <c r="Q975" t="s">
        <v>47</v>
      </c>
      <c r="R975" t="s">
        <v>44</v>
      </c>
      <c r="S975">
        <v>0</v>
      </c>
      <c r="W975" s="3">
        <v>4.6296296296296294E-5</v>
      </c>
      <c r="X975" t="s">
        <v>121</v>
      </c>
      <c r="Y975">
        <v>1</v>
      </c>
      <c r="Z975">
        <v>0</v>
      </c>
      <c r="AA975" t="s">
        <v>49</v>
      </c>
      <c r="AB975">
        <v>0</v>
      </c>
      <c r="AC975" t="s">
        <v>49</v>
      </c>
      <c r="AD975">
        <v>0</v>
      </c>
      <c r="AE975">
        <v>-1</v>
      </c>
      <c r="AF975" t="s">
        <v>50</v>
      </c>
      <c r="AG975" t="s">
        <v>388</v>
      </c>
    </row>
    <row r="976" spans="1:33" x14ac:dyDescent="0.35">
      <c r="A976" s="1">
        <v>44882.881249999999</v>
      </c>
      <c r="B976">
        <v>1821350</v>
      </c>
      <c r="C976" t="s">
        <v>2281</v>
      </c>
      <c r="D976" t="s">
        <v>76</v>
      </c>
      <c r="E976" s="2">
        <v>41486</v>
      </c>
      <c r="F976" t="str">
        <f>"9781317546481"</f>
        <v>9781317546481</v>
      </c>
      <c r="G976" t="str">
        <f>"9781844652211"</f>
        <v>9781844652211</v>
      </c>
      <c r="H976" t="s">
        <v>162</v>
      </c>
      <c r="I976">
        <v>210.9</v>
      </c>
      <c r="J976" t="s">
        <v>2282</v>
      </c>
      <c r="K976" t="s">
        <v>44</v>
      </c>
      <c r="N976" t="s">
        <v>45</v>
      </c>
      <c r="O976" t="s">
        <v>46</v>
      </c>
      <c r="P976" t="s">
        <v>45</v>
      </c>
      <c r="Q976" t="s">
        <v>47</v>
      </c>
      <c r="R976" t="s">
        <v>44</v>
      </c>
      <c r="S976">
        <v>0</v>
      </c>
      <c r="W976" s="3">
        <v>8.1018518518518516E-5</v>
      </c>
      <c r="X976" t="s">
        <v>121</v>
      </c>
      <c r="Y976">
        <v>1</v>
      </c>
      <c r="Z976">
        <v>0</v>
      </c>
      <c r="AA976" t="s">
        <v>49</v>
      </c>
      <c r="AB976">
        <v>0</v>
      </c>
      <c r="AC976" t="s">
        <v>49</v>
      </c>
      <c r="AD976">
        <v>0</v>
      </c>
      <c r="AE976">
        <v>10553860</v>
      </c>
      <c r="AF976" t="s">
        <v>50</v>
      </c>
      <c r="AG976" t="s">
        <v>670</v>
      </c>
    </row>
    <row r="977" spans="1:33" x14ac:dyDescent="0.35">
      <c r="A977" s="1">
        <v>44882.877083333333</v>
      </c>
      <c r="B977">
        <v>1998746</v>
      </c>
      <c r="C977" t="s">
        <v>2283</v>
      </c>
      <c r="D977" t="s">
        <v>59</v>
      </c>
      <c r="E977" s="2">
        <v>42114</v>
      </c>
      <c r="F977" t="str">
        <f>"9781118653777"</f>
        <v>9781118653777</v>
      </c>
      <c r="G977" t="str">
        <f>"9781118653692"</f>
        <v>9781118653692</v>
      </c>
      <c r="H977" t="s">
        <v>546</v>
      </c>
      <c r="I977" t="s">
        <v>2284</v>
      </c>
      <c r="J977" t="s">
        <v>2285</v>
      </c>
      <c r="K977" t="s">
        <v>44</v>
      </c>
      <c r="N977" t="s">
        <v>45</v>
      </c>
      <c r="O977" t="s">
        <v>46</v>
      </c>
      <c r="P977" t="s">
        <v>45</v>
      </c>
      <c r="Q977" t="s">
        <v>47</v>
      </c>
      <c r="R977" t="s">
        <v>44</v>
      </c>
      <c r="S977">
        <v>0</v>
      </c>
      <c r="W977" s="3">
        <v>1.1574074074074073E-5</v>
      </c>
      <c r="X977" t="s">
        <v>49</v>
      </c>
      <c r="Y977">
        <v>0</v>
      </c>
      <c r="Z977">
        <v>5</v>
      </c>
      <c r="AA977" t="s">
        <v>2286</v>
      </c>
      <c r="AB977">
        <v>69</v>
      </c>
      <c r="AC977" t="s">
        <v>49</v>
      </c>
      <c r="AD977">
        <v>0</v>
      </c>
      <c r="AE977">
        <v>11048211</v>
      </c>
      <c r="AF977" t="s">
        <v>50</v>
      </c>
      <c r="AG977" t="s">
        <v>216</v>
      </c>
    </row>
    <row r="978" spans="1:33" x14ac:dyDescent="0.35">
      <c r="A978" s="1">
        <v>44882.81527777778</v>
      </c>
      <c r="B978">
        <v>6229475</v>
      </c>
      <c r="C978" t="s">
        <v>2287</v>
      </c>
      <c r="D978" t="s">
        <v>65</v>
      </c>
      <c r="E978" s="2">
        <v>44000</v>
      </c>
      <c r="F978" t="str">
        <f>"9780128189436"</f>
        <v>9780128189436</v>
      </c>
      <c r="G978" t="str">
        <f>"9780128184837"</f>
        <v>9780128184837</v>
      </c>
      <c r="H978" t="s">
        <v>460</v>
      </c>
      <c r="I978">
        <v>621.48299999999995</v>
      </c>
      <c r="J978" t="s">
        <v>2288</v>
      </c>
      <c r="K978" t="s">
        <v>55</v>
      </c>
      <c r="Q978" t="s">
        <v>47</v>
      </c>
      <c r="R978" t="s">
        <v>44</v>
      </c>
      <c r="S978">
        <v>0</v>
      </c>
      <c r="W978" s="3">
        <v>0</v>
      </c>
      <c r="X978" t="s">
        <v>49</v>
      </c>
      <c r="Y978">
        <v>0</v>
      </c>
      <c r="Z978">
        <v>0</v>
      </c>
      <c r="AA978" t="s">
        <v>49</v>
      </c>
      <c r="AB978">
        <v>0</v>
      </c>
      <c r="AC978" t="s">
        <v>49</v>
      </c>
      <c r="AD978">
        <v>0</v>
      </c>
      <c r="AE978">
        <v>-1</v>
      </c>
      <c r="AF978" t="s">
        <v>63</v>
      </c>
      <c r="AG978" t="s">
        <v>2289</v>
      </c>
    </row>
    <row r="979" spans="1:33" x14ac:dyDescent="0.35">
      <c r="A979" s="1">
        <v>44882.810416666667</v>
      </c>
      <c r="B979">
        <v>6229475</v>
      </c>
      <c r="C979" t="s">
        <v>2287</v>
      </c>
      <c r="D979" t="s">
        <v>65</v>
      </c>
      <c r="E979" s="2">
        <v>44000</v>
      </c>
      <c r="F979" t="str">
        <f>"9780128189436"</f>
        <v>9780128189436</v>
      </c>
      <c r="G979" t="str">
        <f>"9780128184837"</f>
        <v>9780128184837</v>
      </c>
      <c r="H979" t="s">
        <v>460</v>
      </c>
      <c r="I979">
        <v>621.48299999999995</v>
      </c>
      <c r="J979" t="s">
        <v>2288</v>
      </c>
      <c r="K979" t="s">
        <v>55</v>
      </c>
      <c r="Q979" t="s">
        <v>47</v>
      </c>
      <c r="R979" t="s">
        <v>44</v>
      </c>
      <c r="S979">
        <v>0</v>
      </c>
      <c r="W979" s="3">
        <v>1.8726851851851852E-2</v>
      </c>
      <c r="X979" t="s">
        <v>2290</v>
      </c>
      <c r="Y979">
        <v>22</v>
      </c>
      <c r="Z979">
        <v>0</v>
      </c>
      <c r="AA979" t="s">
        <v>49</v>
      </c>
      <c r="AB979">
        <v>0</v>
      </c>
      <c r="AC979" t="s">
        <v>49</v>
      </c>
      <c r="AD979">
        <v>0</v>
      </c>
      <c r="AE979">
        <v>-1</v>
      </c>
      <c r="AF979" t="s">
        <v>63</v>
      </c>
      <c r="AG979" t="s">
        <v>2289</v>
      </c>
    </row>
    <row r="980" spans="1:33" x14ac:dyDescent="0.35">
      <c r="A980" s="1">
        <v>44882.700694444444</v>
      </c>
      <c r="B980">
        <v>6679436</v>
      </c>
      <c r="C980" t="s">
        <v>2291</v>
      </c>
      <c r="D980" t="s">
        <v>105</v>
      </c>
      <c r="E980" s="2">
        <v>44395</v>
      </c>
      <c r="F980" t="str">
        <f>"9783030754723"</f>
        <v>9783030754723</v>
      </c>
      <c r="G980" t="str">
        <f>"9783030754716"</f>
        <v>9783030754716</v>
      </c>
      <c r="H980" t="s">
        <v>233</v>
      </c>
      <c r="I980">
        <v>629.89200000000005</v>
      </c>
      <c r="J980" t="s">
        <v>234</v>
      </c>
      <c r="K980" t="s">
        <v>55</v>
      </c>
      <c r="Q980" t="s">
        <v>47</v>
      </c>
      <c r="R980" t="s">
        <v>44</v>
      </c>
      <c r="S980">
        <v>0</v>
      </c>
      <c r="W980" s="3">
        <v>0</v>
      </c>
      <c r="X980" t="s">
        <v>49</v>
      </c>
      <c r="Y980">
        <v>0</v>
      </c>
      <c r="Z980">
        <v>0</v>
      </c>
      <c r="AA980" t="s">
        <v>49</v>
      </c>
      <c r="AB980">
        <v>0</v>
      </c>
      <c r="AC980" t="s">
        <v>49</v>
      </c>
      <c r="AD980">
        <v>0</v>
      </c>
      <c r="AE980">
        <v>-1</v>
      </c>
      <c r="AF980" t="s">
        <v>50</v>
      </c>
      <c r="AG980" t="s">
        <v>2292</v>
      </c>
    </row>
    <row r="981" spans="1:33" x14ac:dyDescent="0.35">
      <c r="A981" s="1">
        <v>44882.410416666666</v>
      </c>
      <c r="B981">
        <v>6679436</v>
      </c>
      <c r="C981" t="s">
        <v>2291</v>
      </c>
      <c r="D981" t="s">
        <v>105</v>
      </c>
      <c r="E981" s="2">
        <v>44395</v>
      </c>
      <c r="F981" t="str">
        <f>"9783030754723"</f>
        <v>9783030754723</v>
      </c>
      <c r="G981" t="str">
        <f>"9783030754716"</f>
        <v>9783030754716</v>
      </c>
      <c r="H981" t="s">
        <v>233</v>
      </c>
      <c r="I981">
        <v>629.89200000000005</v>
      </c>
      <c r="J981" t="s">
        <v>234</v>
      </c>
      <c r="K981" t="s">
        <v>55</v>
      </c>
      <c r="Q981" t="s">
        <v>47</v>
      </c>
      <c r="R981" t="s">
        <v>44</v>
      </c>
      <c r="S981">
        <v>0</v>
      </c>
      <c r="W981" s="3">
        <v>4.0509259259259258E-4</v>
      </c>
      <c r="X981" t="s">
        <v>2293</v>
      </c>
      <c r="Y981">
        <v>6</v>
      </c>
      <c r="Z981">
        <v>0</v>
      </c>
      <c r="AA981" t="s">
        <v>49</v>
      </c>
      <c r="AB981">
        <v>0</v>
      </c>
      <c r="AC981" t="s">
        <v>49</v>
      </c>
      <c r="AD981">
        <v>0</v>
      </c>
      <c r="AE981">
        <v>-1</v>
      </c>
      <c r="AF981" t="s">
        <v>50</v>
      </c>
      <c r="AG981" t="s">
        <v>2292</v>
      </c>
    </row>
    <row r="982" spans="1:33" x14ac:dyDescent="0.35">
      <c r="A982" s="1">
        <v>44882.392361111109</v>
      </c>
      <c r="B982">
        <v>5979624</v>
      </c>
      <c r="C982" t="s">
        <v>843</v>
      </c>
      <c r="D982" t="s">
        <v>844</v>
      </c>
      <c r="E982" s="2">
        <v>43798</v>
      </c>
      <c r="F982" t="str">
        <f>"9781789736878"</f>
        <v>9781789736878</v>
      </c>
      <c r="G982" t="str">
        <f>"9781789736908"</f>
        <v>9781789736908</v>
      </c>
      <c r="H982" t="s">
        <v>60</v>
      </c>
      <c r="I982">
        <v>658.40129999999999</v>
      </c>
      <c r="J982" t="s">
        <v>845</v>
      </c>
      <c r="K982" t="s">
        <v>44</v>
      </c>
      <c r="N982" t="s">
        <v>45</v>
      </c>
      <c r="O982" t="s">
        <v>46</v>
      </c>
      <c r="P982" t="s">
        <v>45</v>
      </c>
      <c r="Q982" t="s">
        <v>47</v>
      </c>
      <c r="R982" t="s">
        <v>44</v>
      </c>
      <c r="S982">
        <v>0</v>
      </c>
      <c r="W982" s="3">
        <v>1.3888888888888889E-3</v>
      </c>
      <c r="X982" t="s">
        <v>2294</v>
      </c>
      <c r="Y982">
        <v>9</v>
      </c>
      <c r="Z982">
        <v>0</v>
      </c>
      <c r="AA982" t="s">
        <v>49</v>
      </c>
      <c r="AB982">
        <v>0</v>
      </c>
      <c r="AC982" t="s">
        <v>49</v>
      </c>
      <c r="AD982">
        <v>0</v>
      </c>
      <c r="AE982">
        <v>-1</v>
      </c>
      <c r="AF982" t="s">
        <v>50</v>
      </c>
      <c r="AG982" t="s">
        <v>388</v>
      </c>
    </row>
    <row r="983" spans="1:33" x14ac:dyDescent="0.35">
      <c r="A983" s="1">
        <v>44882.345833333333</v>
      </c>
      <c r="B983">
        <v>4828845</v>
      </c>
      <c r="C983" t="s">
        <v>2295</v>
      </c>
      <c r="D983" t="s">
        <v>773</v>
      </c>
      <c r="E983" s="2">
        <v>44860</v>
      </c>
      <c r="F983" t="str">
        <f>"9781504044479"</f>
        <v>9781504044479</v>
      </c>
      <c r="G983" t="str">
        <f>""</f>
        <v/>
      </c>
      <c r="H983" t="s">
        <v>1069</v>
      </c>
      <c r="I983" t="s">
        <v>2296</v>
      </c>
      <c r="J983" t="s">
        <v>2297</v>
      </c>
      <c r="K983" t="s">
        <v>44</v>
      </c>
      <c r="N983" t="s">
        <v>45</v>
      </c>
      <c r="O983" t="s">
        <v>46</v>
      </c>
      <c r="P983" t="s">
        <v>45</v>
      </c>
      <c r="Q983" t="s">
        <v>47</v>
      </c>
      <c r="R983" t="s">
        <v>44</v>
      </c>
      <c r="S983">
        <v>0</v>
      </c>
      <c r="W983" s="3">
        <v>1.5624999999999999E-3</v>
      </c>
      <c r="X983" t="s">
        <v>1637</v>
      </c>
      <c r="Y983">
        <v>8</v>
      </c>
      <c r="Z983">
        <v>0</v>
      </c>
      <c r="AA983" t="s">
        <v>49</v>
      </c>
      <c r="AB983">
        <v>0</v>
      </c>
      <c r="AC983" t="s">
        <v>49</v>
      </c>
      <c r="AD983">
        <v>0</v>
      </c>
      <c r="AE983">
        <v>11365746</v>
      </c>
      <c r="AF983" t="s">
        <v>50</v>
      </c>
      <c r="AG983" t="s">
        <v>388</v>
      </c>
    </row>
    <row r="984" spans="1:33" x14ac:dyDescent="0.35">
      <c r="A984" s="1">
        <v>44882.30972222222</v>
      </c>
      <c r="B984">
        <v>3338641</v>
      </c>
      <c r="C984" t="s">
        <v>302</v>
      </c>
      <c r="D984" t="s">
        <v>303</v>
      </c>
      <c r="E984" s="2">
        <v>39143</v>
      </c>
      <c r="F984" t="str">
        <f>"9780262282888"</f>
        <v>9780262282888</v>
      </c>
      <c r="G984" t="str">
        <f>"9780262195577"</f>
        <v>9780262195577</v>
      </c>
      <c r="H984" t="s">
        <v>304</v>
      </c>
      <c r="I984" t="s">
        <v>305</v>
      </c>
      <c r="K984" t="s">
        <v>44</v>
      </c>
      <c r="N984" t="s">
        <v>45</v>
      </c>
      <c r="O984" t="s">
        <v>46</v>
      </c>
      <c r="P984" t="s">
        <v>45</v>
      </c>
      <c r="Q984" t="s">
        <v>47</v>
      </c>
      <c r="R984" t="s">
        <v>44</v>
      </c>
      <c r="S984">
        <v>0</v>
      </c>
      <c r="W984" s="3">
        <v>1.1076388888888887E-2</v>
      </c>
      <c r="X984" t="s">
        <v>2298</v>
      </c>
      <c r="Y984">
        <v>40</v>
      </c>
      <c r="Z984">
        <v>0</v>
      </c>
      <c r="AA984" t="s">
        <v>49</v>
      </c>
      <c r="AB984">
        <v>0</v>
      </c>
      <c r="AC984" t="s">
        <v>49</v>
      </c>
      <c r="AD984">
        <v>0</v>
      </c>
      <c r="AE984">
        <v>10173702</v>
      </c>
      <c r="AF984" t="s">
        <v>50</v>
      </c>
      <c r="AG984" t="s">
        <v>1235</v>
      </c>
    </row>
    <row r="985" spans="1:33" x14ac:dyDescent="0.35">
      <c r="A985" s="1">
        <v>44882.09375</v>
      </c>
      <c r="B985">
        <v>1821350</v>
      </c>
      <c r="C985" t="s">
        <v>2281</v>
      </c>
      <c r="D985" t="s">
        <v>76</v>
      </c>
      <c r="E985" s="2">
        <v>41486</v>
      </c>
      <c r="F985" t="str">
        <f>"9781317546481"</f>
        <v>9781317546481</v>
      </c>
      <c r="G985" t="str">
        <f>"9781844652211"</f>
        <v>9781844652211</v>
      </c>
      <c r="H985" t="s">
        <v>162</v>
      </c>
      <c r="I985">
        <v>210.9</v>
      </c>
      <c r="J985" t="s">
        <v>2282</v>
      </c>
      <c r="K985" t="s">
        <v>44</v>
      </c>
      <c r="N985" t="s">
        <v>45</v>
      </c>
      <c r="O985" t="s">
        <v>46</v>
      </c>
      <c r="P985" t="s">
        <v>45</v>
      </c>
      <c r="Q985" t="s">
        <v>47</v>
      </c>
      <c r="R985" t="s">
        <v>44</v>
      </c>
      <c r="S985">
        <v>0</v>
      </c>
      <c r="W985" s="3">
        <v>6.8402777777777776E-3</v>
      </c>
      <c r="X985" t="s">
        <v>2299</v>
      </c>
      <c r="Y985">
        <v>13</v>
      </c>
      <c r="Z985">
        <v>0</v>
      </c>
      <c r="AA985" t="s">
        <v>49</v>
      </c>
      <c r="AB985">
        <v>0</v>
      </c>
      <c r="AC985" t="s">
        <v>2300</v>
      </c>
      <c r="AD985">
        <v>4</v>
      </c>
      <c r="AE985">
        <v>10553860</v>
      </c>
      <c r="AF985" t="s">
        <v>50</v>
      </c>
      <c r="AG985" t="s">
        <v>670</v>
      </c>
    </row>
    <row r="986" spans="1:33" x14ac:dyDescent="0.35">
      <c r="A986" s="1">
        <v>44881.857638888891</v>
      </c>
      <c r="B986">
        <v>3338641</v>
      </c>
      <c r="C986" t="s">
        <v>302</v>
      </c>
      <c r="D986" t="s">
        <v>303</v>
      </c>
      <c r="E986" s="2">
        <v>39143</v>
      </c>
      <c r="F986" t="str">
        <f>"9780262282888"</f>
        <v>9780262282888</v>
      </c>
      <c r="G986" t="str">
        <f>"9780262195577"</f>
        <v>9780262195577</v>
      </c>
      <c r="H986" t="s">
        <v>304</v>
      </c>
      <c r="I986" t="s">
        <v>305</v>
      </c>
      <c r="K986" t="s">
        <v>44</v>
      </c>
      <c r="N986" t="s">
        <v>45</v>
      </c>
      <c r="O986" t="s">
        <v>46</v>
      </c>
      <c r="P986" t="s">
        <v>45</v>
      </c>
      <c r="Q986" t="s">
        <v>47</v>
      </c>
      <c r="R986" t="s">
        <v>44</v>
      </c>
      <c r="S986">
        <v>0</v>
      </c>
      <c r="W986" s="3">
        <v>3.1018518518518522E-3</v>
      </c>
      <c r="X986" t="s">
        <v>1118</v>
      </c>
      <c r="Y986">
        <v>6</v>
      </c>
      <c r="Z986">
        <v>0</v>
      </c>
      <c r="AA986" t="s">
        <v>49</v>
      </c>
      <c r="AB986">
        <v>0</v>
      </c>
      <c r="AC986" t="s">
        <v>49</v>
      </c>
      <c r="AD986">
        <v>0</v>
      </c>
      <c r="AE986">
        <v>10173702</v>
      </c>
      <c r="AF986" t="s">
        <v>50</v>
      </c>
      <c r="AG986" t="s">
        <v>388</v>
      </c>
    </row>
    <row r="987" spans="1:33" x14ac:dyDescent="0.35">
      <c r="A987" s="1">
        <v>44881.852083333331</v>
      </c>
      <c r="B987">
        <v>4003153</v>
      </c>
      <c r="C987" t="s">
        <v>1974</v>
      </c>
      <c r="D987" t="s">
        <v>213</v>
      </c>
      <c r="E987" s="2">
        <v>42151</v>
      </c>
      <c r="F987" t="str">
        <f>"9780444634450"</f>
        <v>9780444634450</v>
      </c>
      <c r="G987" t="str">
        <f>"9780444634290"</f>
        <v>9780444634290</v>
      </c>
      <c r="H987" t="s">
        <v>1975</v>
      </c>
      <c r="I987">
        <v>660.28150000000005</v>
      </c>
      <c r="J987" t="s">
        <v>1976</v>
      </c>
      <c r="K987" t="s">
        <v>44</v>
      </c>
      <c r="N987" t="s">
        <v>45</v>
      </c>
      <c r="O987" t="s">
        <v>46</v>
      </c>
      <c r="P987" t="s">
        <v>45</v>
      </c>
      <c r="Q987" t="s">
        <v>47</v>
      </c>
      <c r="R987" t="s">
        <v>44</v>
      </c>
      <c r="S987">
        <v>0</v>
      </c>
      <c r="W987" s="3">
        <v>1.1921296296296296E-3</v>
      </c>
      <c r="X987" t="s">
        <v>2301</v>
      </c>
      <c r="Y987">
        <v>16</v>
      </c>
      <c r="Z987">
        <v>0</v>
      </c>
      <c r="AA987" t="s">
        <v>49</v>
      </c>
      <c r="AB987">
        <v>0</v>
      </c>
      <c r="AC987" t="s">
        <v>49</v>
      </c>
      <c r="AD987">
        <v>0</v>
      </c>
      <c r="AE987">
        <v>11077951</v>
      </c>
      <c r="AF987" t="s">
        <v>50</v>
      </c>
      <c r="AG987" t="s">
        <v>1235</v>
      </c>
    </row>
    <row r="988" spans="1:33" x14ac:dyDescent="0.35">
      <c r="A988" s="1">
        <v>44881.850694444445</v>
      </c>
      <c r="B988">
        <v>6032986</v>
      </c>
      <c r="C988" t="s">
        <v>2302</v>
      </c>
      <c r="D988" t="s">
        <v>105</v>
      </c>
      <c r="E988" s="2">
        <v>43860</v>
      </c>
      <c r="F988" t="str">
        <f>"9783030347130"</f>
        <v>9783030347130</v>
      </c>
      <c r="G988" t="str">
        <f>"9783030347123"</f>
        <v>9783030347123</v>
      </c>
      <c r="H988" t="s">
        <v>585</v>
      </c>
      <c r="I988">
        <v>531</v>
      </c>
      <c r="J988" t="s">
        <v>2303</v>
      </c>
      <c r="K988" t="s">
        <v>55</v>
      </c>
      <c r="Q988" t="s">
        <v>47</v>
      </c>
      <c r="R988" t="s">
        <v>44</v>
      </c>
      <c r="S988">
        <v>0</v>
      </c>
      <c r="W988" s="3">
        <v>5.0925925925925921E-3</v>
      </c>
      <c r="X988" t="s">
        <v>2304</v>
      </c>
      <c r="Y988">
        <v>7</v>
      </c>
      <c r="Z988">
        <v>0</v>
      </c>
      <c r="AA988" t="s">
        <v>49</v>
      </c>
      <c r="AB988">
        <v>0</v>
      </c>
      <c r="AC988" t="s">
        <v>49</v>
      </c>
      <c r="AD988">
        <v>0</v>
      </c>
      <c r="AE988">
        <v>-1</v>
      </c>
      <c r="AF988" t="s">
        <v>50</v>
      </c>
      <c r="AG988" t="s">
        <v>741</v>
      </c>
    </row>
    <row r="989" spans="1:33" x14ac:dyDescent="0.35">
      <c r="A989" s="1">
        <v>44881.85</v>
      </c>
      <c r="B989">
        <v>6846171</v>
      </c>
      <c r="C989" t="s">
        <v>2305</v>
      </c>
      <c r="D989" t="s">
        <v>76</v>
      </c>
      <c r="E989" s="2">
        <v>44531</v>
      </c>
      <c r="F989" t="str">
        <f>"9781000513400"</f>
        <v>9781000513400</v>
      </c>
      <c r="G989" t="str">
        <f>"9780367139377"</f>
        <v>9780367139377</v>
      </c>
      <c r="H989" t="s">
        <v>171</v>
      </c>
      <c r="I989" t="s">
        <v>2306</v>
      </c>
      <c r="J989" t="s">
        <v>2307</v>
      </c>
      <c r="K989" t="s">
        <v>55</v>
      </c>
      <c r="Q989" t="s">
        <v>47</v>
      </c>
      <c r="R989" t="s">
        <v>44</v>
      </c>
      <c r="S989">
        <v>0</v>
      </c>
      <c r="W989" s="3">
        <v>3.4953703703703705E-3</v>
      </c>
      <c r="X989" t="s">
        <v>2308</v>
      </c>
      <c r="Y989">
        <v>27</v>
      </c>
      <c r="Z989">
        <v>0</v>
      </c>
      <c r="AA989" t="s">
        <v>49</v>
      </c>
      <c r="AB989">
        <v>0</v>
      </c>
      <c r="AC989" t="s">
        <v>49</v>
      </c>
      <c r="AD989">
        <v>0</v>
      </c>
      <c r="AE989">
        <v>-1</v>
      </c>
      <c r="AF989" t="s">
        <v>50</v>
      </c>
      <c r="AG989" t="s">
        <v>388</v>
      </c>
    </row>
    <row r="990" spans="1:33" x14ac:dyDescent="0.35">
      <c r="A990" s="1">
        <v>44881.849305555559</v>
      </c>
      <c r="B990">
        <v>665565</v>
      </c>
      <c r="C990" t="s">
        <v>2309</v>
      </c>
      <c r="D990" t="s">
        <v>2125</v>
      </c>
      <c r="E990" s="2">
        <v>40483</v>
      </c>
      <c r="F990" t="str">
        <f>"9781439828151"</f>
        <v>9781439828151</v>
      </c>
      <c r="G990" t="str">
        <f>"9781439828144"</f>
        <v>9781439828144</v>
      </c>
      <c r="H990" t="s">
        <v>60</v>
      </c>
      <c r="I990">
        <v>658.7</v>
      </c>
      <c r="J990" t="s">
        <v>2310</v>
      </c>
      <c r="K990" t="s">
        <v>44</v>
      </c>
      <c r="N990" t="s">
        <v>45</v>
      </c>
      <c r="O990" t="s">
        <v>46</v>
      </c>
      <c r="P990" t="s">
        <v>45</v>
      </c>
      <c r="Q990" t="s">
        <v>47</v>
      </c>
      <c r="R990" t="s">
        <v>44</v>
      </c>
      <c r="S990">
        <v>0</v>
      </c>
      <c r="W990" s="3">
        <v>6.9444444444444444E-5</v>
      </c>
      <c r="X990" t="s">
        <v>121</v>
      </c>
      <c r="Y990">
        <v>1</v>
      </c>
      <c r="Z990">
        <v>0</v>
      </c>
      <c r="AA990" t="s">
        <v>49</v>
      </c>
      <c r="AB990">
        <v>0</v>
      </c>
      <c r="AC990" t="s">
        <v>49</v>
      </c>
      <c r="AD990">
        <v>0</v>
      </c>
      <c r="AE990">
        <v>10449865</v>
      </c>
      <c r="AF990" t="s">
        <v>50</v>
      </c>
      <c r="AG990" t="s">
        <v>388</v>
      </c>
    </row>
    <row r="991" spans="1:33" x14ac:dyDescent="0.35">
      <c r="A991" s="1">
        <v>44881.82916666667</v>
      </c>
      <c r="B991">
        <v>5601761</v>
      </c>
      <c r="C991" t="s">
        <v>2311</v>
      </c>
      <c r="D991" t="s">
        <v>150</v>
      </c>
      <c r="E991" s="2">
        <v>43102</v>
      </c>
      <c r="F991" t="str">
        <f>"9781526426901"</f>
        <v>9781526426901</v>
      </c>
      <c r="G991" t="str">
        <f>"9781526405883"</f>
        <v>9781526405883</v>
      </c>
      <c r="H991" t="s">
        <v>2312</v>
      </c>
      <c r="I991">
        <v>808.06637799999999</v>
      </c>
      <c r="J991" t="s">
        <v>2313</v>
      </c>
      <c r="K991" t="s">
        <v>44</v>
      </c>
      <c r="N991" t="s">
        <v>45</v>
      </c>
      <c r="O991" t="s">
        <v>46</v>
      </c>
      <c r="P991" t="s">
        <v>45</v>
      </c>
      <c r="Q991" t="s">
        <v>47</v>
      </c>
      <c r="R991" t="s">
        <v>44</v>
      </c>
      <c r="S991">
        <v>0</v>
      </c>
      <c r="W991" s="3">
        <v>5.4398148148148144E-4</v>
      </c>
      <c r="X991" t="s">
        <v>2314</v>
      </c>
      <c r="Y991">
        <v>9</v>
      </c>
      <c r="Z991">
        <v>0</v>
      </c>
      <c r="AA991" t="s">
        <v>49</v>
      </c>
      <c r="AB991">
        <v>0</v>
      </c>
      <c r="AC991" t="s">
        <v>49</v>
      </c>
      <c r="AD991">
        <v>0</v>
      </c>
      <c r="AE991">
        <v>11638964</v>
      </c>
      <c r="AF991" t="s">
        <v>50</v>
      </c>
      <c r="AG991" t="s">
        <v>670</v>
      </c>
    </row>
    <row r="992" spans="1:33" x14ac:dyDescent="0.35">
      <c r="A992" s="1">
        <v>44881.823611111111</v>
      </c>
      <c r="B992">
        <v>1753150</v>
      </c>
      <c r="C992" t="s">
        <v>2315</v>
      </c>
      <c r="D992" t="s">
        <v>2022</v>
      </c>
      <c r="E992" s="2">
        <v>41550</v>
      </c>
      <c r="F992" t="str">
        <f>"9781443864329"</f>
        <v>9781443864329</v>
      </c>
      <c r="G992" t="str">
        <f>"9781443850544"</f>
        <v>9781443850544</v>
      </c>
      <c r="H992" t="s">
        <v>2316</v>
      </c>
      <c r="I992">
        <v>808.06637799999999</v>
      </c>
      <c r="J992" t="s">
        <v>2317</v>
      </c>
      <c r="K992" t="s">
        <v>44</v>
      </c>
      <c r="N992" t="s">
        <v>45</v>
      </c>
      <c r="O992" t="s">
        <v>46</v>
      </c>
      <c r="P992" t="s">
        <v>45</v>
      </c>
      <c r="Q992" t="s">
        <v>47</v>
      </c>
      <c r="R992" t="s">
        <v>44</v>
      </c>
      <c r="S992">
        <v>0</v>
      </c>
      <c r="W992" s="3">
        <v>1.2037037037037038E-3</v>
      </c>
      <c r="X992" t="s">
        <v>2318</v>
      </c>
      <c r="Y992">
        <v>18</v>
      </c>
      <c r="Z992">
        <v>0</v>
      </c>
      <c r="AA992" t="s">
        <v>49</v>
      </c>
      <c r="AB992">
        <v>0</v>
      </c>
      <c r="AC992" t="s">
        <v>49</v>
      </c>
      <c r="AD992">
        <v>0</v>
      </c>
      <c r="AE992">
        <v>10905637</v>
      </c>
      <c r="AF992" t="s">
        <v>50</v>
      </c>
      <c r="AG992" t="s">
        <v>670</v>
      </c>
    </row>
    <row r="993" spans="1:33" x14ac:dyDescent="0.35">
      <c r="A993" s="1">
        <v>44881.822222222225</v>
      </c>
      <c r="B993">
        <v>308414</v>
      </c>
      <c r="C993" t="s">
        <v>2319</v>
      </c>
      <c r="D993" t="s">
        <v>449</v>
      </c>
      <c r="E993" s="2">
        <v>39287</v>
      </c>
      <c r="F993" t="str">
        <f>"9780230604780"</f>
        <v>9780230604780</v>
      </c>
      <c r="G993" t="str">
        <f>"9781403977427"</f>
        <v>9781403977427</v>
      </c>
      <c r="H993" t="s">
        <v>2312</v>
      </c>
      <c r="I993">
        <v>808.04200000000003</v>
      </c>
      <c r="J993" t="s">
        <v>2320</v>
      </c>
      <c r="K993" t="s">
        <v>44</v>
      </c>
      <c r="N993" t="s">
        <v>45</v>
      </c>
      <c r="O993" t="s">
        <v>46</v>
      </c>
      <c r="P993" t="s">
        <v>45</v>
      </c>
      <c r="Q993" t="s">
        <v>47</v>
      </c>
      <c r="R993" t="s">
        <v>44</v>
      </c>
      <c r="S993">
        <v>0</v>
      </c>
      <c r="W993" s="3">
        <v>1.4004629629629629E-3</v>
      </c>
      <c r="X993" t="s">
        <v>2321</v>
      </c>
      <c r="Y993">
        <v>11</v>
      </c>
      <c r="Z993">
        <v>0</v>
      </c>
      <c r="AA993" t="s">
        <v>49</v>
      </c>
      <c r="AB993">
        <v>0</v>
      </c>
      <c r="AC993" t="s">
        <v>49</v>
      </c>
      <c r="AD993">
        <v>0</v>
      </c>
      <c r="AE993">
        <v>10194080</v>
      </c>
      <c r="AF993" t="s">
        <v>50</v>
      </c>
      <c r="AG993" t="s">
        <v>670</v>
      </c>
    </row>
    <row r="994" spans="1:33" x14ac:dyDescent="0.35">
      <c r="A994" s="1">
        <v>44881.820833333331</v>
      </c>
      <c r="B994">
        <v>1133154</v>
      </c>
      <c r="C994" t="s">
        <v>2322</v>
      </c>
      <c r="D994" t="s">
        <v>2022</v>
      </c>
      <c r="E994" s="2">
        <v>39122</v>
      </c>
      <c r="F994" t="str">
        <f>"9781443810241"</f>
        <v>9781443810241</v>
      </c>
      <c r="G994" t="str">
        <f>"9781847180933"</f>
        <v>9781847180933</v>
      </c>
      <c r="H994" t="s">
        <v>171</v>
      </c>
      <c r="I994">
        <v>401.41</v>
      </c>
      <c r="J994" t="s">
        <v>2323</v>
      </c>
      <c r="K994" t="s">
        <v>44</v>
      </c>
      <c r="N994" t="s">
        <v>45</v>
      </c>
      <c r="O994" t="s">
        <v>46</v>
      </c>
      <c r="P994" t="s">
        <v>45</v>
      </c>
      <c r="Q994" t="s">
        <v>47</v>
      </c>
      <c r="R994" t="s">
        <v>44</v>
      </c>
      <c r="S994">
        <v>0</v>
      </c>
      <c r="W994" s="3">
        <v>8.1018518518518516E-4</v>
      </c>
      <c r="X994" t="s">
        <v>2324</v>
      </c>
      <c r="Y994">
        <v>15</v>
      </c>
      <c r="Z994">
        <v>0</v>
      </c>
      <c r="AA994" t="s">
        <v>49</v>
      </c>
      <c r="AB994">
        <v>0</v>
      </c>
      <c r="AC994" t="s">
        <v>49</v>
      </c>
      <c r="AD994">
        <v>0</v>
      </c>
      <c r="AE994">
        <v>10677179</v>
      </c>
      <c r="AF994" t="s">
        <v>50</v>
      </c>
      <c r="AG994" t="s">
        <v>670</v>
      </c>
    </row>
    <row r="995" spans="1:33" x14ac:dyDescent="0.35">
      <c r="A995" s="1">
        <v>44881.818749999999</v>
      </c>
      <c r="B995">
        <v>1020433</v>
      </c>
      <c r="C995" t="s">
        <v>2325</v>
      </c>
      <c r="D995" t="s">
        <v>1224</v>
      </c>
      <c r="E995" s="2">
        <v>42076</v>
      </c>
      <c r="F995" t="str">
        <f>"9781614512691"</f>
        <v>9781614512691</v>
      </c>
      <c r="G995" t="str">
        <f>"9781614513780"</f>
        <v>9781614513780</v>
      </c>
      <c r="H995" t="s">
        <v>2316</v>
      </c>
      <c r="I995" t="s">
        <v>2326</v>
      </c>
      <c r="J995" t="s">
        <v>2327</v>
      </c>
      <c r="K995" t="s">
        <v>44</v>
      </c>
      <c r="N995" t="s">
        <v>45</v>
      </c>
      <c r="O995" t="s">
        <v>46</v>
      </c>
      <c r="P995" t="s">
        <v>45</v>
      </c>
      <c r="Q995" t="s">
        <v>47</v>
      </c>
      <c r="R995" t="s">
        <v>44</v>
      </c>
      <c r="S995">
        <v>0</v>
      </c>
      <c r="W995" s="3">
        <v>1.4699074074074074E-3</v>
      </c>
      <c r="X995" t="s">
        <v>2328</v>
      </c>
      <c r="Y995">
        <v>14</v>
      </c>
      <c r="Z995">
        <v>0</v>
      </c>
      <c r="AA995" t="s">
        <v>49</v>
      </c>
      <c r="AB995">
        <v>0</v>
      </c>
      <c r="AC995" t="s">
        <v>49</v>
      </c>
      <c r="AD995">
        <v>0</v>
      </c>
      <c r="AE995">
        <v>11049453</v>
      </c>
      <c r="AF995" t="s">
        <v>50</v>
      </c>
      <c r="AG995" t="s">
        <v>670</v>
      </c>
    </row>
    <row r="996" spans="1:33" x14ac:dyDescent="0.35">
      <c r="A996" s="1">
        <v>44881.816666666666</v>
      </c>
      <c r="B996">
        <v>1731963</v>
      </c>
      <c r="C996" t="s">
        <v>2329</v>
      </c>
      <c r="D996" t="s">
        <v>2022</v>
      </c>
      <c r="E996" s="2">
        <v>41558</v>
      </c>
      <c r="F996" t="str">
        <f>"9781443863766"</f>
        <v>9781443863766</v>
      </c>
      <c r="G996" t="str">
        <f>"9781443848336"</f>
        <v>9781443848336</v>
      </c>
      <c r="H996" t="s">
        <v>171</v>
      </c>
      <c r="I996">
        <v>428.24</v>
      </c>
      <c r="J996" t="s">
        <v>2330</v>
      </c>
      <c r="K996" t="s">
        <v>44</v>
      </c>
      <c r="N996" t="s">
        <v>45</v>
      </c>
      <c r="O996" t="s">
        <v>46</v>
      </c>
      <c r="P996" t="s">
        <v>45</v>
      </c>
      <c r="Q996" t="s">
        <v>47</v>
      </c>
      <c r="R996" t="s">
        <v>44</v>
      </c>
      <c r="S996">
        <v>0</v>
      </c>
      <c r="W996" s="3">
        <v>8.449074074074075E-4</v>
      </c>
      <c r="X996" t="s">
        <v>2331</v>
      </c>
      <c r="Y996">
        <v>11</v>
      </c>
      <c r="Z996">
        <v>0</v>
      </c>
      <c r="AA996" t="s">
        <v>49</v>
      </c>
      <c r="AB996">
        <v>0</v>
      </c>
      <c r="AC996" t="s">
        <v>49</v>
      </c>
      <c r="AD996">
        <v>0</v>
      </c>
      <c r="AE996">
        <v>10894550</v>
      </c>
      <c r="AF996" t="s">
        <v>50</v>
      </c>
      <c r="AG996" t="s">
        <v>670</v>
      </c>
    </row>
    <row r="997" spans="1:33" x14ac:dyDescent="0.35">
      <c r="A997" s="1">
        <v>44881.791666666664</v>
      </c>
      <c r="B997">
        <v>5979624</v>
      </c>
      <c r="C997" t="s">
        <v>843</v>
      </c>
      <c r="D997" t="s">
        <v>844</v>
      </c>
      <c r="E997" s="2">
        <v>43798</v>
      </c>
      <c r="F997" t="str">
        <f>"9781789736878"</f>
        <v>9781789736878</v>
      </c>
      <c r="G997" t="str">
        <f>"9781789736908"</f>
        <v>9781789736908</v>
      </c>
      <c r="H997" t="s">
        <v>60</v>
      </c>
      <c r="I997">
        <v>658.40129999999999</v>
      </c>
      <c r="J997" t="s">
        <v>845</v>
      </c>
      <c r="K997" t="s">
        <v>44</v>
      </c>
      <c r="N997" t="s">
        <v>45</v>
      </c>
      <c r="O997" t="s">
        <v>46</v>
      </c>
      <c r="P997" t="s">
        <v>45</v>
      </c>
      <c r="Q997" t="s">
        <v>47</v>
      </c>
      <c r="R997" t="s">
        <v>44</v>
      </c>
      <c r="S997">
        <v>0</v>
      </c>
      <c r="W997" s="3">
        <v>1.8634259259259261E-3</v>
      </c>
      <c r="X997" t="s">
        <v>2332</v>
      </c>
      <c r="Y997">
        <v>6</v>
      </c>
      <c r="Z997">
        <v>0</v>
      </c>
      <c r="AA997" t="s">
        <v>49</v>
      </c>
      <c r="AB997">
        <v>0</v>
      </c>
      <c r="AC997" t="s">
        <v>2333</v>
      </c>
      <c r="AD997">
        <v>1</v>
      </c>
      <c r="AE997">
        <v>-1</v>
      </c>
      <c r="AF997" t="s">
        <v>50</v>
      </c>
      <c r="AG997" t="s">
        <v>216</v>
      </c>
    </row>
    <row r="998" spans="1:33" x14ac:dyDescent="0.35">
      <c r="A998" s="1">
        <v>44881.768055555556</v>
      </c>
      <c r="B998">
        <v>4547309</v>
      </c>
      <c r="C998" t="s">
        <v>2334</v>
      </c>
      <c r="D998" t="s">
        <v>473</v>
      </c>
      <c r="E998" s="2">
        <v>42544</v>
      </c>
      <c r="F998" t="str">
        <f>"9789004325180"</f>
        <v>9789004325180</v>
      </c>
      <c r="G998" t="str">
        <f>"9789004325128"</f>
        <v>9789004325128</v>
      </c>
      <c r="H998" t="s">
        <v>498</v>
      </c>
      <c r="I998">
        <v>121</v>
      </c>
      <c r="J998" t="s">
        <v>2335</v>
      </c>
      <c r="K998" t="s">
        <v>44</v>
      </c>
      <c r="N998" t="s">
        <v>45</v>
      </c>
      <c r="O998" t="s">
        <v>46</v>
      </c>
      <c r="P998" t="s">
        <v>45</v>
      </c>
      <c r="Q998" t="s">
        <v>47</v>
      </c>
      <c r="R998" t="s">
        <v>44</v>
      </c>
      <c r="S998">
        <v>0</v>
      </c>
      <c r="W998" s="3">
        <v>3.5879629629629635E-4</v>
      </c>
      <c r="X998" t="s">
        <v>201</v>
      </c>
      <c r="Y998">
        <v>2</v>
      </c>
      <c r="Z998">
        <v>0</v>
      </c>
      <c r="AA998" t="s">
        <v>49</v>
      </c>
      <c r="AB998">
        <v>0</v>
      </c>
      <c r="AC998" t="s">
        <v>49</v>
      </c>
      <c r="AD998">
        <v>0</v>
      </c>
      <c r="AE998">
        <v>11222163</v>
      </c>
      <c r="AF998" t="s">
        <v>50</v>
      </c>
      <c r="AG998" t="s">
        <v>216</v>
      </c>
    </row>
    <row r="999" spans="1:33" x14ac:dyDescent="0.35">
      <c r="A999" s="1">
        <v>44881.763888888891</v>
      </c>
      <c r="B999">
        <v>1681330</v>
      </c>
      <c r="C999" t="s">
        <v>2336</v>
      </c>
      <c r="D999" t="s">
        <v>71</v>
      </c>
      <c r="E999" s="2">
        <v>41095</v>
      </c>
      <c r="F999" t="str">
        <f>"9789814415040"</f>
        <v>9789814415040</v>
      </c>
      <c r="G999" t="str">
        <f>"9789814439909"</f>
        <v>9789814439909</v>
      </c>
      <c r="H999" t="s">
        <v>542</v>
      </c>
      <c r="I999">
        <v>621.38099999999997</v>
      </c>
      <c r="J999" t="s">
        <v>2337</v>
      </c>
      <c r="K999" t="s">
        <v>44</v>
      </c>
      <c r="N999" t="s">
        <v>45</v>
      </c>
      <c r="O999" t="s">
        <v>46</v>
      </c>
      <c r="P999" t="s">
        <v>45</v>
      </c>
      <c r="Q999" t="s">
        <v>47</v>
      </c>
      <c r="R999" t="s">
        <v>44</v>
      </c>
      <c r="S999">
        <v>0</v>
      </c>
      <c r="W999" s="3">
        <v>1.8518518518518517E-3</v>
      </c>
      <c r="X999" t="s">
        <v>2338</v>
      </c>
      <c r="Y999">
        <v>39</v>
      </c>
      <c r="Z999">
        <v>0</v>
      </c>
      <c r="AA999" t="s">
        <v>49</v>
      </c>
      <c r="AB999">
        <v>0</v>
      </c>
      <c r="AC999" t="s">
        <v>49</v>
      </c>
      <c r="AD999">
        <v>0</v>
      </c>
      <c r="AE999">
        <v>10688194</v>
      </c>
      <c r="AF999" t="s">
        <v>50</v>
      </c>
      <c r="AG999" t="s">
        <v>779</v>
      </c>
    </row>
    <row r="1000" spans="1:33" x14ac:dyDescent="0.35">
      <c r="A1000" s="1">
        <v>44881.750694444447</v>
      </c>
      <c r="B1000">
        <v>454386</v>
      </c>
      <c r="C1000" t="s">
        <v>2339</v>
      </c>
      <c r="D1000" t="s">
        <v>59</v>
      </c>
      <c r="E1000" s="2">
        <v>40014</v>
      </c>
      <c r="F1000" t="str">
        <f>"9781444316377"</f>
        <v>9781444316377</v>
      </c>
      <c r="G1000" t="str">
        <f>"9781405194181"</f>
        <v>9781405194181</v>
      </c>
      <c r="H1000" t="s">
        <v>1945</v>
      </c>
      <c r="I1000">
        <v>624.20000000000005</v>
      </c>
      <c r="J1000" t="s">
        <v>2340</v>
      </c>
      <c r="K1000" t="s">
        <v>44</v>
      </c>
      <c r="N1000" t="s">
        <v>45</v>
      </c>
      <c r="O1000" t="s">
        <v>46</v>
      </c>
      <c r="P1000" t="s">
        <v>45</v>
      </c>
      <c r="Q1000" t="s">
        <v>47</v>
      </c>
      <c r="R1000" t="s">
        <v>44</v>
      </c>
      <c r="S1000">
        <v>0</v>
      </c>
      <c r="W1000" s="3">
        <v>9.5138888888888894E-3</v>
      </c>
      <c r="X1000" t="s">
        <v>2341</v>
      </c>
      <c r="Y1000">
        <v>7</v>
      </c>
      <c r="Z1000">
        <v>0</v>
      </c>
      <c r="AA1000" t="s">
        <v>49</v>
      </c>
      <c r="AB1000">
        <v>0</v>
      </c>
      <c r="AC1000" t="s">
        <v>49</v>
      </c>
      <c r="AD1000">
        <v>0</v>
      </c>
      <c r="AE1000">
        <v>10315619</v>
      </c>
      <c r="AF1000" t="s">
        <v>63</v>
      </c>
      <c r="AG1000" t="s">
        <v>216</v>
      </c>
    </row>
    <row r="1001" spans="1:33" x14ac:dyDescent="0.35">
      <c r="A1001" s="1">
        <v>44881.705555555556</v>
      </c>
      <c r="B1001">
        <v>6859446</v>
      </c>
      <c r="C1001" t="s">
        <v>2217</v>
      </c>
      <c r="D1001" t="s">
        <v>213</v>
      </c>
      <c r="E1001" s="2">
        <v>44581</v>
      </c>
      <c r="F1001" t="str">
        <f>"9780128240892"</f>
        <v>9780128240892</v>
      </c>
      <c r="G1001" t="str">
        <f>"9780128240885"</f>
        <v>9780128240885</v>
      </c>
      <c r="H1001" t="s">
        <v>261</v>
      </c>
      <c r="I1001">
        <v>628.54999999999995</v>
      </c>
      <c r="J1001" t="s">
        <v>2218</v>
      </c>
      <c r="K1001" t="s">
        <v>55</v>
      </c>
      <c r="N1001" t="s">
        <v>293</v>
      </c>
      <c r="P1001" t="s">
        <v>80</v>
      </c>
      <c r="Q1001" t="s">
        <v>47</v>
      </c>
      <c r="R1001" t="s">
        <v>44</v>
      </c>
      <c r="S1001">
        <v>0</v>
      </c>
      <c r="W1001" s="3">
        <v>4.1666666666666669E-4</v>
      </c>
      <c r="X1001" t="s">
        <v>2342</v>
      </c>
      <c r="Y1001">
        <v>4</v>
      </c>
      <c r="Z1001">
        <v>1</v>
      </c>
      <c r="AA1001" t="s">
        <v>2343</v>
      </c>
      <c r="AB1001">
        <v>30</v>
      </c>
      <c r="AC1001" t="s">
        <v>49</v>
      </c>
      <c r="AD1001">
        <v>0</v>
      </c>
      <c r="AE1001">
        <v>-1</v>
      </c>
      <c r="AF1001" t="s">
        <v>50</v>
      </c>
      <c r="AG1001" t="s">
        <v>388</v>
      </c>
    </row>
    <row r="1002" spans="1:33" x14ac:dyDescent="0.35">
      <c r="A1002" s="1">
        <v>44881.669444444444</v>
      </c>
      <c r="B1002">
        <v>5752801</v>
      </c>
      <c r="C1002" t="s">
        <v>2344</v>
      </c>
      <c r="D1002" t="s">
        <v>2345</v>
      </c>
      <c r="E1002" s="2">
        <v>43516</v>
      </c>
      <c r="F1002" t="str">
        <f>"9781547573660"</f>
        <v>9781547573660</v>
      </c>
      <c r="G1002" t="str">
        <f>""</f>
        <v/>
      </c>
      <c r="H1002" t="s">
        <v>171</v>
      </c>
      <c r="I1002">
        <v>428.00760000000002</v>
      </c>
      <c r="J1002" t="s">
        <v>2346</v>
      </c>
      <c r="K1002" t="s">
        <v>55</v>
      </c>
      <c r="Q1002" t="s">
        <v>47</v>
      </c>
      <c r="R1002" t="s">
        <v>44</v>
      </c>
      <c r="S1002">
        <v>0</v>
      </c>
      <c r="W1002" s="3">
        <v>1.8518518518518518E-4</v>
      </c>
      <c r="X1002" t="s">
        <v>401</v>
      </c>
      <c r="Y1002">
        <v>3</v>
      </c>
      <c r="Z1002">
        <v>0</v>
      </c>
      <c r="AA1002" t="s">
        <v>49</v>
      </c>
      <c r="AB1002">
        <v>0</v>
      </c>
      <c r="AC1002" t="s">
        <v>49</v>
      </c>
      <c r="AD1002">
        <v>0</v>
      </c>
      <c r="AE1002">
        <v>-1</v>
      </c>
      <c r="AF1002" t="s">
        <v>50</v>
      </c>
      <c r="AG1002" t="s">
        <v>388</v>
      </c>
    </row>
    <row r="1003" spans="1:33" x14ac:dyDescent="0.35">
      <c r="A1003" s="1">
        <v>44881.629861111112</v>
      </c>
      <c r="B1003">
        <v>6186974</v>
      </c>
      <c r="C1003" t="s">
        <v>2347</v>
      </c>
      <c r="D1003" t="s">
        <v>2348</v>
      </c>
      <c r="E1003" s="2">
        <v>43525</v>
      </c>
      <c r="F1003" t="str">
        <f>"9781572783560"</f>
        <v>9781572783560</v>
      </c>
      <c r="G1003" t="str">
        <f>"9781572783539"</f>
        <v>9781572783539</v>
      </c>
      <c r="H1003" t="s">
        <v>261</v>
      </c>
      <c r="I1003">
        <v>628.16099999999904</v>
      </c>
      <c r="J1003" t="s">
        <v>2349</v>
      </c>
      <c r="K1003" t="s">
        <v>55</v>
      </c>
      <c r="Q1003" t="s">
        <v>47</v>
      </c>
      <c r="R1003" t="s">
        <v>44</v>
      </c>
      <c r="S1003">
        <v>0</v>
      </c>
      <c r="W1003" s="3">
        <v>7.0486111111111105E-3</v>
      </c>
      <c r="X1003" t="s">
        <v>2350</v>
      </c>
      <c r="Y1003">
        <v>12</v>
      </c>
      <c r="Z1003">
        <v>0</v>
      </c>
      <c r="AA1003" t="s">
        <v>49</v>
      </c>
      <c r="AB1003">
        <v>0</v>
      </c>
      <c r="AC1003" t="s">
        <v>49</v>
      </c>
      <c r="AD1003">
        <v>0</v>
      </c>
      <c r="AE1003">
        <v>-1</v>
      </c>
      <c r="AF1003" t="s">
        <v>50</v>
      </c>
      <c r="AG1003" t="s">
        <v>300</v>
      </c>
    </row>
    <row r="1004" spans="1:33" x14ac:dyDescent="0.35">
      <c r="A1004" s="1">
        <v>44881.624305555553</v>
      </c>
      <c r="B1004">
        <v>6173696</v>
      </c>
      <c r="C1004" t="s">
        <v>2351</v>
      </c>
      <c r="D1004" t="s">
        <v>59</v>
      </c>
      <c r="E1004" s="2">
        <v>43962</v>
      </c>
      <c r="F1004" t="str">
        <f>"9781119592938"</f>
        <v>9781119592938</v>
      </c>
      <c r="G1004" t="str">
        <f>"9781119592839"</f>
        <v>9781119592839</v>
      </c>
      <c r="H1004" t="s">
        <v>1720</v>
      </c>
      <c r="I1004">
        <v>624.16999999999905</v>
      </c>
      <c r="J1004" t="s">
        <v>2352</v>
      </c>
      <c r="K1004" t="s">
        <v>55</v>
      </c>
      <c r="N1004" t="s">
        <v>45</v>
      </c>
      <c r="O1004" t="s">
        <v>46</v>
      </c>
      <c r="P1004" t="s">
        <v>45</v>
      </c>
      <c r="Q1004" t="s">
        <v>47</v>
      </c>
      <c r="R1004" t="s">
        <v>44</v>
      </c>
      <c r="S1004">
        <v>0</v>
      </c>
      <c r="W1004" s="3">
        <v>4.9768518518518521E-4</v>
      </c>
      <c r="X1004" t="s">
        <v>2353</v>
      </c>
      <c r="Y1004">
        <v>12</v>
      </c>
      <c r="Z1004">
        <v>0</v>
      </c>
      <c r="AA1004" t="s">
        <v>49</v>
      </c>
      <c r="AB1004">
        <v>0</v>
      </c>
      <c r="AC1004" t="s">
        <v>49</v>
      </c>
      <c r="AD1004">
        <v>0</v>
      </c>
      <c r="AE1004">
        <v>-1</v>
      </c>
      <c r="AF1004" t="s">
        <v>50</v>
      </c>
      <c r="AG1004" t="s">
        <v>741</v>
      </c>
    </row>
    <row r="1005" spans="1:33" x14ac:dyDescent="0.35">
      <c r="A1005" s="1">
        <v>44881.570833333331</v>
      </c>
      <c r="B1005">
        <v>6121041</v>
      </c>
      <c r="C1005" t="s">
        <v>2354</v>
      </c>
      <c r="D1005" t="s">
        <v>125</v>
      </c>
      <c r="E1005" s="2">
        <v>43927</v>
      </c>
      <c r="F1005" t="str">
        <f>"9780192568632"</f>
        <v>9780192568632</v>
      </c>
      <c r="G1005" t="str">
        <f>"9780198832485"</f>
        <v>9780198832485</v>
      </c>
      <c r="H1005" t="s">
        <v>2355</v>
      </c>
      <c r="I1005">
        <v>690.03</v>
      </c>
      <c r="J1005" t="s">
        <v>2356</v>
      </c>
      <c r="K1005" t="s">
        <v>55</v>
      </c>
      <c r="Q1005" t="s">
        <v>47</v>
      </c>
      <c r="R1005" t="s">
        <v>44</v>
      </c>
      <c r="S1005">
        <v>0</v>
      </c>
      <c r="W1005" s="3">
        <v>2.6620370370370374E-3</v>
      </c>
      <c r="X1005" t="s">
        <v>2357</v>
      </c>
      <c r="Y1005">
        <v>12</v>
      </c>
      <c r="Z1005">
        <v>0</v>
      </c>
      <c r="AA1005" t="s">
        <v>49</v>
      </c>
      <c r="AB1005">
        <v>0</v>
      </c>
      <c r="AC1005" t="s">
        <v>49</v>
      </c>
      <c r="AD1005">
        <v>0</v>
      </c>
      <c r="AE1005">
        <v>-1</v>
      </c>
      <c r="AF1005" t="s">
        <v>63</v>
      </c>
      <c r="AG1005" t="s">
        <v>388</v>
      </c>
    </row>
    <row r="1006" spans="1:33" x14ac:dyDescent="0.35">
      <c r="A1006" s="1">
        <v>44881.566666666666</v>
      </c>
      <c r="B1006">
        <v>1655600</v>
      </c>
      <c r="C1006" t="s">
        <v>2358</v>
      </c>
      <c r="D1006" t="s">
        <v>65</v>
      </c>
      <c r="E1006" s="2">
        <v>25477</v>
      </c>
      <c r="F1006" t="str">
        <f>"9781483140308"</f>
        <v>9781483140308</v>
      </c>
      <c r="G1006" t="str">
        <f>"9780080129853"</f>
        <v>9780080129853</v>
      </c>
      <c r="H1006" t="s">
        <v>542</v>
      </c>
      <c r="I1006">
        <v>621.29999999999995</v>
      </c>
      <c r="J1006" t="s">
        <v>2359</v>
      </c>
      <c r="K1006" t="s">
        <v>44</v>
      </c>
      <c r="N1006" t="s">
        <v>45</v>
      </c>
      <c r="O1006" t="s">
        <v>46</v>
      </c>
      <c r="P1006" t="s">
        <v>45</v>
      </c>
      <c r="Q1006" t="s">
        <v>47</v>
      </c>
      <c r="R1006" t="s">
        <v>44</v>
      </c>
      <c r="S1006">
        <v>0</v>
      </c>
      <c r="W1006" s="3">
        <v>1.8738425925925926E-2</v>
      </c>
      <c r="X1006" t="s">
        <v>2360</v>
      </c>
      <c r="Y1006">
        <v>15</v>
      </c>
      <c r="Z1006">
        <v>1</v>
      </c>
      <c r="AA1006" t="s">
        <v>2361</v>
      </c>
      <c r="AB1006">
        <v>21</v>
      </c>
      <c r="AC1006" t="s">
        <v>2362</v>
      </c>
      <c r="AD1006">
        <v>1</v>
      </c>
      <c r="AE1006">
        <v>10847834</v>
      </c>
      <c r="AF1006" t="s">
        <v>50</v>
      </c>
      <c r="AG1006" t="s">
        <v>388</v>
      </c>
    </row>
    <row r="1007" spans="1:33" x14ac:dyDescent="0.35">
      <c r="A1007" s="1">
        <v>44881.565972222219</v>
      </c>
      <c r="B1007">
        <v>3338641</v>
      </c>
      <c r="C1007" t="s">
        <v>302</v>
      </c>
      <c r="D1007" t="s">
        <v>303</v>
      </c>
      <c r="E1007" s="2">
        <v>39143</v>
      </c>
      <c r="F1007" t="str">
        <f>"9780262282888"</f>
        <v>9780262282888</v>
      </c>
      <c r="G1007" t="str">
        <f>"9780262195577"</f>
        <v>9780262195577</v>
      </c>
      <c r="H1007" t="s">
        <v>304</v>
      </c>
      <c r="I1007" t="s">
        <v>305</v>
      </c>
      <c r="K1007" t="s">
        <v>44</v>
      </c>
      <c r="N1007" t="s">
        <v>45</v>
      </c>
      <c r="O1007" t="s">
        <v>46</v>
      </c>
      <c r="P1007" t="s">
        <v>45</v>
      </c>
      <c r="Q1007" t="s">
        <v>47</v>
      </c>
      <c r="R1007" t="s">
        <v>44</v>
      </c>
      <c r="S1007">
        <v>0</v>
      </c>
      <c r="W1007" s="3">
        <v>0</v>
      </c>
      <c r="X1007" t="s">
        <v>49</v>
      </c>
      <c r="Y1007">
        <v>0</v>
      </c>
      <c r="Z1007">
        <v>0</v>
      </c>
      <c r="AA1007" t="s">
        <v>49</v>
      </c>
      <c r="AB1007">
        <v>0</v>
      </c>
      <c r="AC1007" t="s">
        <v>49</v>
      </c>
      <c r="AD1007">
        <v>0</v>
      </c>
      <c r="AE1007">
        <v>10173702</v>
      </c>
      <c r="AF1007" t="s">
        <v>50</v>
      </c>
      <c r="AG1007" t="s">
        <v>670</v>
      </c>
    </row>
    <row r="1008" spans="1:33" x14ac:dyDescent="0.35">
      <c r="A1008" s="1">
        <v>44881.565972222219</v>
      </c>
      <c r="B1008">
        <v>1524058</v>
      </c>
      <c r="C1008" t="s">
        <v>2363</v>
      </c>
      <c r="D1008" t="s">
        <v>473</v>
      </c>
      <c r="E1008" s="2">
        <v>41551</v>
      </c>
      <c r="F1008" t="str">
        <f>"9789004258914"</f>
        <v>9789004258914</v>
      </c>
      <c r="G1008" t="str">
        <f>"9789004249165"</f>
        <v>9789004249165</v>
      </c>
      <c r="H1008" t="s">
        <v>498</v>
      </c>
      <c r="J1008" t="s">
        <v>2364</v>
      </c>
      <c r="K1008" t="s">
        <v>44</v>
      </c>
      <c r="N1008" t="s">
        <v>45</v>
      </c>
      <c r="O1008" t="s">
        <v>46</v>
      </c>
      <c r="P1008" t="s">
        <v>45</v>
      </c>
      <c r="Q1008" t="s">
        <v>47</v>
      </c>
      <c r="R1008" t="s">
        <v>44</v>
      </c>
      <c r="S1008">
        <v>0</v>
      </c>
      <c r="W1008" s="3">
        <v>0</v>
      </c>
      <c r="X1008" t="s">
        <v>49</v>
      </c>
      <c r="Y1008">
        <v>0</v>
      </c>
      <c r="Z1008">
        <v>0</v>
      </c>
      <c r="AA1008" t="s">
        <v>49</v>
      </c>
      <c r="AB1008">
        <v>0</v>
      </c>
      <c r="AC1008" t="s">
        <v>49</v>
      </c>
      <c r="AD1008">
        <v>0</v>
      </c>
      <c r="AE1008">
        <v>10792569</v>
      </c>
      <c r="AF1008" t="s">
        <v>50</v>
      </c>
      <c r="AG1008" t="s">
        <v>670</v>
      </c>
    </row>
    <row r="1009" spans="1:33" x14ac:dyDescent="0.35">
      <c r="A1009" s="1">
        <v>44881.520833333336</v>
      </c>
      <c r="B1009">
        <v>6845697</v>
      </c>
      <c r="C1009" t="s">
        <v>2365</v>
      </c>
      <c r="D1009" t="s">
        <v>213</v>
      </c>
      <c r="E1009" s="2">
        <v>44585</v>
      </c>
      <c r="F1009" t="str">
        <f>"9780323903233"</f>
        <v>9780323903233</v>
      </c>
      <c r="G1009" t="str">
        <f>"9780323909648"</f>
        <v>9780323909648</v>
      </c>
      <c r="H1009" t="s">
        <v>546</v>
      </c>
      <c r="I1009">
        <v>621.31359999999995</v>
      </c>
      <c r="J1009" t="s">
        <v>2366</v>
      </c>
      <c r="K1009" t="s">
        <v>55</v>
      </c>
      <c r="N1009" t="s">
        <v>293</v>
      </c>
      <c r="P1009" t="s">
        <v>80</v>
      </c>
      <c r="Q1009" t="s">
        <v>47</v>
      </c>
      <c r="R1009" t="s">
        <v>44</v>
      </c>
      <c r="S1009">
        <v>0</v>
      </c>
      <c r="W1009" s="3">
        <v>8.1018518518518516E-5</v>
      </c>
      <c r="X1009" t="s">
        <v>2367</v>
      </c>
      <c r="Y1009">
        <v>1</v>
      </c>
      <c r="Z1009">
        <v>0</v>
      </c>
      <c r="AA1009" t="s">
        <v>49</v>
      </c>
      <c r="AB1009">
        <v>0</v>
      </c>
      <c r="AC1009" t="s">
        <v>49</v>
      </c>
      <c r="AD1009">
        <v>0</v>
      </c>
      <c r="AE1009">
        <v>-1</v>
      </c>
      <c r="AF1009" t="s">
        <v>50</v>
      </c>
      <c r="AG1009" t="s">
        <v>2368</v>
      </c>
    </row>
    <row r="1010" spans="1:33" x14ac:dyDescent="0.35">
      <c r="A1010" s="1">
        <v>44881.519444444442</v>
      </c>
      <c r="B1010">
        <v>6346655</v>
      </c>
      <c r="C1010" t="s">
        <v>2369</v>
      </c>
      <c r="D1010" t="s">
        <v>105</v>
      </c>
      <c r="E1010" s="2">
        <v>44074</v>
      </c>
      <c r="F1010" t="str">
        <f>"9783031025051"</f>
        <v>9783031025051</v>
      </c>
      <c r="G1010" t="str">
        <f>"9783031013775"</f>
        <v>9783031013775</v>
      </c>
      <c r="H1010" t="s">
        <v>546</v>
      </c>
      <c r="I1010">
        <v>621.31244000000004</v>
      </c>
      <c r="J1010" t="s">
        <v>2370</v>
      </c>
      <c r="K1010" t="s">
        <v>55</v>
      </c>
      <c r="Q1010" t="s">
        <v>47</v>
      </c>
      <c r="R1010" t="s">
        <v>44</v>
      </c>
      <c r="S1010">
        <v>0</v>
      </c>
      <c r="W1010" s="3">
        <v>6.5972222222222213E-4</v>
      </c>
      <c r="X1010" t="s">
        <v>2371</v>
      </c>
      <c r="Y1010">
        <v>17</v>
      </c>
      <c r="Z1010">
        <v>0</v>
      </c>
      <c r="AA1010" t="s">
        <v>49</v>
      </c>
      <c r="AB1010">
        <v>0</v>
      </c>
      <c r="AC1010" t="s">
        <v>49</v>
      </c>
      <c r="AD1010">
        <v>0</v>
      </c>
      <c r="AE1010">
        <v>-1</v>
      </c>
      <c r="AF1010" t="s">
        <v>50</v>
      </c>
      <c r="AG1010" t="s">
        <v>2368</v>
      </c>
    </row>
    <row r="1011" spans="1:33" x14ac:dyDescent="0.35">
      <c r="A1011" s="1">
        <v>44881.518055555556</v>
      </c>
      <c r="B1011">
        <v>881653</v>
      </c>
      <c r="C1011" t="s">
        <v>2372</v>
      </c>
      <c r="D1011" t="s">
        <v>59</v>
      </c>
      <c r="E1011" s="2">
        <v>41029</v>
      </c>
      <c r="F1011" t="str">
        <f>"9781119969235"</f>
        <v>9781119969235</v>
      </c>
      <c r="G1011" t="str">
        <f>"9780470978290"</f>
        <v>9780470978290</v>
      </c>
      <c r="H1011" t="s">
        <v>2373</v>
      </c>
      <c r="I1011">
        <v>621.46</v>
      </c>
      <c r="J1011" t="s">
        <v>2374</v>
      </c>
      <c r="K1011" t="s">
        <v>44</v>
      </c>
      <c r="N1011" t="s">
        <v>45</v>
      </c>
      <c r="O1011" t="s">
        <v>46</v>
      </c>
      <c r="P1011" t="s">
        <v>45</v>
      </c>
      <c r="Q1011" t="s">
        <v>47</v>
      </c>
      <c r="R1011" t="s">
        <v>44</v>
      </c>
      <c r="S1011">
        <v>0</v>
      </c>
      <c r="W1011" s="3">
        <v>7.175925925925927E-4</v>
      </c>
      <c r="X1011" t="s">
        <v>2375</v>
      </c>
      <c r="Y1011">
        <v>19</v>
      </c>
      <c r="Z1011">
        <v>0</v>
      </c>
      <c r="AA1011" t="s">
        <v>49</v>
      </c>
      <c r="AB1011">
        <v>0</v>
      </c>
      <c r="AC1011" t="s">
        <v>49</v>
      </c>
      <c r="AD1011">
        <v>0</v>
      </c>
      <c r="AE1011">
        <v>10546534</v>
      </c>
      <c r="AF1011" t="s">
        <v>50</v>
      </c>
      <c r="AG1011" t="s">
        <v>2368</v>
      </c>
    </row>
    <row r="1012" spans="1:33" x14ac:dyDescent="0.35">
      <c r="A1012" s="1">
        <v>44881.493055555555</v>
      </c>
      <c r="B1012">
        <v>3138589</v>
      </c>
      <c r="C1012" t="s">
        <v>2233</v>
      </c>
      <c r="D1012" t="s">
        <v>2234</v>
      </c>
      <c r="E1012" s="2">
        <v>41744</v>
      </c>
      <c r="F1012" t="str">
        <f>"9780801470530"</f>
        <v>9780801470530</v>
      </c>
      <c r="G1012" t="str">
        <f>"9780801479151"</f>
        <v>9780801479151</v>
      </c>
      <c r="H1012" t="s">
        <v>90</v>
      </c>
      <c r="I1012">
        <v>378.19828296999998</v>
      </c>
      <c r="J1012" t="s">
        <v>2235</v>
      </c>
      <c r="K1012" t="s">
        <v>44</v>
      </c>
      <c r="N1012" t="s">
        <v>45</v>
      </c>
      <c r="O1012" t="s">
        <v>46</v>
      </c>
      <c r="P1012" t="s">
        <v>177</v>
      </c>
      <c r="Q1012" t="s">
        <v>47</v>
      </c>
      <c r="R1012" t="s">
        <v>55</v>
      </c>
      <c r="S1012">
        <v>0</v>
      </c>
      <c r="W1012" s="3">
        <v>2.8935185185185189E-4</v>
      </c>
      <c r="X1012" t="s">
        <v>196</v>
      </c>
      <c r="Y1012">
        <v>2</v>
      </c>
      <c r="Z1012">
        <v>0</v>
      </c>
      <c r="AA1012" t="s">
        <v>49</v>
      </c>
      <c r="AB1012">
        <v>0</v>
      </c>
      <c r="AC1012" t="s">
        <v>49</v>
      </c>
      <c r="AD1012">
        <v>0</v>
      </c>
      <c r="AE1012">
        <v>10860425</v>
      </c>
      <c r="AF1012" t="s">
        <v>50</v>
      </c>
      <c r="AG1012" t="s">
        <v>388</v>
      </c>
    </row>
    <row r="1013" spans="1:33" x14ac:dyDescent="0.35">
      <c r="A1013" s="1">
        <v>44881.491666666669</v>
      </c>
      <c r="B1013">
        <v>693323</v>
      </c>
      <c r="C1013" t="s">
        <v>2376</v>
      </c>
      <c r="D1013" t="s">
        <v>59</v>
      </c>
      <c r="E1013" s="2">
        <v>41820</v>
      </c>
      <c r="F1013" t="str">
        <f>"9780470824047"</f>
        <v>9780470824047</v>
      </c>
      <c r="G1013" t="str">
        <f>"9780470824030"</f>
        <v>9780470824030</v>
      </c>
      <c r="H1013" t="s">
        <v>542</v>
      </c>
      <c r="I1013" t="s">
        <v>2377</v>
      </c>
      <c r="J1013" t="s">
        <v>2378</v>
      </c>
      <c r="K1013" t="s">
        <v>44</v>
      </c>
      <c r="N1013" t="s">
        <v>45</v>
      </c>
      <c r="O1013" t="s">
        <v>46</v>
      </c>
      <c r="P1013" t="s">
        <v>45</v>
      </c>
      <c r="Q1013" t="s">
        <v>47</v>
      </c>
      <c r="R1013" t="s">
        <v>44</v>
      </c>
      <c r="S1013">
        <v>0</v>
      </c>
      <c r="W1013" s="3">
        <v>1.6203703703703703E-4</v>
      </c>
      <c r="X1013" t="s">
        <v>2379</v>
      </c>
      <c r="Y1013">
        <v>4</v>
      </c>
      <c r="Z1013">
        <v>0</v>
      </c>
      <c r="AA1013" t="s">
        <v>49</v>
      </c>
      <c r="AB1013">
        <v>0</v>
      </c>
      <c r="AC1013" t="s">
        <v>49</v>
      </c>
      <c r="AD1013">
        <v>0</v>
      </c>
      <c r="AE1013">
        <v>10862641</v>
      </c>
      <c r="AF1013" t="s">
        <v>50</v>
      </c>
      <c r="AG1013" t="s">
        <v>2368</v>
      </c>
    </row>
    <row r="1014" spans="1:33" x14ac:dyDescent="0.35">
      <c r="A1014" s="1">
        <v>44881.473611111112</v>
      </c>
      <c r="B1014">
        <v>6820553</v>
      </c>
      <c r="C1014" t="s">
        <v>572</v>
      </c>
      <c r="D1014" t="s">
        <v>59</v>
      </c>
      <c r="E1014" s="2">
        <v>44551</v>
      </c>
      <c r="F1014" t="str">
        <f>"9781119214205"</f>
        <v>9781119214205</v>
      </c>
      <c r="G1014" t="str">
        <f>"9781119214182"</f>
        <v>9781119214182</v>
      </c>
      <c r="H1014" t="s">
        <v>546</v>
      </c>
      <c r="I1014">
        <v>621.30999999999995</v>
      </c>
      <c r="J1014" t="s">
        <v>573</v>
      </c>
      <c r="K1014" t="s">
        <v>55</v>
      </c>
      <c r="Q1014" t="s">
        <v>47</v>
      </c>
      <c r="R1014" t="s">
        <v>44</v>
      </c>
      <c r="S1014">
        <v>0</v>
      </c>
      <c r="W1014" s="3">
        <v>1.1018518518518518E-2</v>
      </c>
      <c r="X1014" t="s">
        <v>2380</v>
      </c>
      <c r="Y1014">
        <v>3</v>
      </c>
      <c r="Z1014">
        <v>0</v>
      </c>
      <c r="AA1014" t="s">
        <v>49</v>
      </c>
      <c r="AB1014">
        <v>0</v>
      </c>
      <c r="AC1014" t="s">
        <v>49</v>
      </c>
      <c r="AD1014">
        <v>0</v>
      </c>
      <c r="AE1014">
        <v>-1</v>
      </c>
      <c r="AF1014" t="s">
        <v>50</v>
      </c>
      <c r="AG1014" t="s">
        <v>2368</v>
      </c>
    </row>
    <row r="1015" spans="1:33" x14ac:dyDescent="0.35">
      <c r="A1015" s="1">
        <v>44881.472222222219</v>
      </c>
      <c r="B1015">
        <v>5485333</v>
      </c>
      <c r="C1015" t="s">
        <v>2381</v>
      </c>
      <c r="D1015" t="s">
        <v>614</v>
      </c>
      <c r="E1015" s="2">
        <v>43321</v>
      </c>
      <c r="F1015" t="str">
        <f>"9789811088278"</f>
        <v>9789811088278</v>
      </c>
      <c r="G1015" t="str">
        <f>"9789811088261"</f>
        <v>9789811088261</v>
      </c>
      <c r="H1015" t="s">
        <v>542</v>
      </c>
      <c r="I1015">
        <v>621.38153239999997</v>
      </c>
      <c r="J1015" t="s">
        <v>567</v>
      </c>
      <c r="K1015" t="s">
        <v>55</v>
      </c>
      <c r="Q1015" t="s">
        <v>47</v>
      </c>
      <c r="R1015" t="s">
        <v>44</v>
      </c>
      <c r="S1015">
        <v>0</v>
      </c>
      <c r="W1015" s="3">
        <v>1.4351851851851854E-3</v>
      </c>
      <c r="X1015" t="s">
        <v>2382</v>
      </c>
      <c r="Y1015">
        <v>22</v>
      </c>
      <c r="Z1015">
        <v>0</v>
      </c>
      <c r="AA1015" t="s">
        <v>49</v>
      </c>
      <c r="AB1015">
        <v>0</v>
      </c>
      <c r="AC1015" t="s">
        <v>49</v>
      </c>
      <c r="AD1015">
        <v>0</v>
      </c>
      <c r="AE1015">
        <v>11598199</v>
      </c>
      <c r="AF1015" t="s">
        <v>50</v>
      </c>
      <c r="AG1015" t="s">
        <v>2368</v>
      </c>
    </row>
    <row r="1016" spans="1:33" x14ac:dyDescent="0.35">
      <c r="A1016" s="1">
        <v>44881.455555555556</v>
      </c>
      <c r="B1016">
        <v>4187166</v>
      </c>
      <c r="C1016" t="s">
        <v>2383</v>
      </c>
      <c r="D1016" t="s">
        <v>59</v>
      </c>
      <c r="E1016" s="2">
        <v>42352</v>
      </c>
      <c r="F1016" t="str">
        <f>"9781119021452"</f>
        <v>9781119021452</v>
      </c>
      <c r="G1016" t="str">
        <f>"9781119021438"</f>
        <v>9781119021438</v>
      </c>
      <c r="H1016" t="s">
        <v>138</v>
      </c>
      <c r="I1016">
        <v>5.7584999999999997</v>
      </c>
      <c r="J1016" t="s">
        <v>2384</v>
      </c>
      <c r="K1016" t="s">
        <v>44</v>
      </c>
      <c r="N1016" t="s">
        <v>45</v>
      </c>
      <c r="O1016" t="s">
        <v>46</v>
      </c>
      <c r="P1016" t="s">
        <v>45</v>
      </c>
      <c r="Q1016" t="s">
        <v>47</v>
      </c>
      <c r="R1016" t="s">
        <v>44</v>
      </c>
      <c r="S1016">
        <v>1</v>
      </c>
      <c r="W1016" s="3">
        <v>0</v>
      </c>
      <c r="X1016" t="s">
        <v>49</v>
      </c>
      <c r="Y1016">
        <v>0</v>
      </c>
      <c r="Z1016">
        <v>0</v>
      </c>
      <c r="AA1016" t="s">
        <v>49</v>
      </c>
      <c r="AB1016">
        <v>0</v>
      </c>
      <c r="AC1016" t="s">
        <v>49</v>
      </c>
      <c r="AD1016">
        <v>0</v>
      </c>
      <c r="AE1016">
        <v>11128093</v>
      </c>
      <c r="AF1016" t="s">
        <v>63</v>
      </c>
      <c r="AG1016" t="s">
        <v>2385</v>
      </c>
    </row>
    <row r="1017" spans="1:33" x14ac:dyDescent="0.35">
      <c r="A1017" s="1">
        <v>44881.446527777778</v>
      </c>
      <c r="B1017">
        <v>1120827</v>
      </c>
      <c r="C1017" t="s">
        <v>2386</v>
      </c>
      <c r="D1017" t="s">
        <v>59</v>
      </c>
      <c r="E1017" s="2">
        <v>41269</v>
      </c>
      <c r="F1017" t="str">
        <f>"9781118469149"</f>
        <v>9781118469149</v>
      </c>
      <c r="G1017" t="str">
        <f>"9781119941194"</f>
        <v>9781119941194</v>
      </c>
      <c r="H1017" t="s">
        <v>857</v>
      </c>
      <c r="I1017">
        <v>629.13499999999999</v>
      </c>
      <c r="J1017" t="s">
        <v>2387</v>
      </c>
      <c r="K1017" t="s">
        <v>44</v>
      </c>
      <c r="N1017" t="s">
        <v>45</v>
      </c>
      <c r="O1017" t="s">
        <v>46</v>
      </c>
      <c r="P1017" t="s">
        <v>45</v>
      </c>
      <c r="Q1017" t="s">
        <v>47</v>
      </c>
      <c r="R1017" t="s">
        <v>44</v>
      </c>
      <c r="S1017">
        <v>1</v>
      </c>
      <c r="W1017" s="3">
        <v>0</v>
      </c>
      <c r="X1017" t="s">
        <v>49</v>
      </c>
      <c r="Y1017">
        <v>0</v>
      </c>
      <c r="Z1017">
        <v>0</v>
      </c>
      <c r="AA1017" t="s">
        <v>49</v>
      </c>
      <c r="AB1017">
        <v>0</v>
      </c>
      <c r="AC1017" t="s">
        <v>49</v>
      </c>
      <c r="AD1017">
        <v>0</v>
      </c>
      <c r="AE1017">
        <v>10715326</v>
      </c>
      <c r="AF1017" t="s">
        <v>63</v>
      </c>
      <c r="AG1017" t="s">
        <v>1309</v>
      </c>
    </row>
    <row r="1018" spans="1:33" x14ac:dyDescent="0.35">
      <c r="A1018" s="1">
        <v>44881.431250000001</v>
      </c>
      <c r="B1018">
        <v>589949</v>
      </c>
      <c r="C1018" t="s">
        <v>2388</v>
      </c>
      <c r="D1018" t="s">
        <v>76</v>
      </c>
      <c r="E1018" s="2">
        <v>40402</v>
      </c>
      <c r="F1018" t="str">
        <f>"9781420086034"</f>
        <v>9781420086034</v>
      </c>
      <c r="G1018" t="str">
        <f>"9781420086027"</f>
        <v>9781420086027</v>
      </c>
      <c r="H1018" t="s">
        <v>60</v>
      </c>
      <c r="I1018">
        <v>658.5</v>
      </c>
      <c r="J1018" t="s">
        <v>2389</v>
      </c>
      <c r="K1018" t="s">
        <v>44</v>
      </c>
      <c r="N1018" t="s">
        <v>45</v>
      </c>
      <c r="O1018" t="s">
        <v>46</v>
      </c>
      <c r="P1018" t="s">
        <v>45</v>
      </c>
      <c r="Q1018" t="s">
        <v>47</v>
      </c>
      <c r="R1018" t="s">
        <v>44</v>
      </c>
      <c r="S1018">
        <v>0</v>
      </c>
      <c r="W1018" s="3">
        <v>3.4722222222222222E-5</v>
      </c>
      <c r="X1018" t="s">
        <v>2390</v>
      </c>
      <c r="Y1018">
        <v>1</v>
      </c>
      <c r="Z1018">
        <v>0</v>
      </c>
      <c r="AA1018" t="s">
        <v>49</v>
      </c>
      <c r="AB1018">
        <v>0</v>
      </c>
      <c r="AC1018" t="s">
        <v>49</v>
      </c>
      <c r="AD1018">
        <v>0</v>
      </c>
      <c r="AE1018">
        <v>10419911</v>
      </c>
      <c r="AF1018" t="s">
        <v>50</v>
      </c>
      <c r="AG1018" t="s">
        <v>670</v>
      </c>
    </row>
    <row r="1019" spans="1:33" x14ac:dyDescent="0.35">
      <c r="A1019" s="1">
        <v>44881.412499999999</v>
      </c>
      <c r="B1019">
        <v>5979624</v>
      </c>
      <c r="C1019" t="s">
        <v>843</v>
      </c>
      <c r="D1019" t="s">
        <v>844</v>
      </c>
      <c r="E1019" s="2">
        <v>43798</v>
      </c>
      <c r="F1019" t="str">
        <f>"9781789736878"</f>
        <v>9781789736878</v>
      </c>
      <c r="G1019" t="str">
        <f>"9781789736908"</f>
        <v>9781789736908</v>
      </c>
      <c r="H1019" t="s">
        <v>60</v>
      </c>
      <c r="I1019">
        <v>658.40129999999999</v>
      </c>
      <c r="J1019" t="s">
        <v>845</v>
      </c>
      <c r="K1019" t="s">
        <v>44</v>
      </c>
      <c r="N1019" t="s">
        <v>45</v>
      </c>
      <c r="O1019" t="s">
        <v>46</v>
      </c>
      <c r="P1019" t="s">
        <v>45</v>
      </c>
      <c r="Q1019" t="s">
        <v>47</v>
      </c>
      <c r="R1019" t="s">
        <v>44</v>
      </c>
      <c r="S1019">
        <v>0</v>
      </c>
      <c r="W1019" s="3">
        <v>1.1342592592592591E-3</v>
      </c>
      <c r="X1019" t="s">
        <v>2391</v>
      </c>
      <c r="Y1019">
        <v>19</v>
      </c>
      <c r="Z1019">
        <v>0</v>
      </c>
      <c r="AA1019" t="s">
        <v>49</v>
      </c>
      <c r="AB1019">
        <v>0</v>
      </c>
      <c r="AC1019" t="s">
        <v>49</v>
      </c>
      <c r="AD1019">
        <v>0</v>
      </c>
      <c r="AE1019">
        <v>-1</v>
      </c>
      <c r="AF1019" t="s">
        <v>50</v>
      </c>
      <c r="AG1019" t="s">
        <v>2392</v>
      </c>
    </row>
    <row r="1020" spans="1:33" x14ac:dyDescent="0.35">
      <c r="A1020" s="1">
        <v>44881.333333333336</v>
      </c>
      <c r="B1020">
        <v>253698</v>
      </c>
      <c r="C1020" t="s">
        <v>2393</v>
      </c>
      <c r="D1020" t="s">
        <v>473</v>
      </c>
      <c r="E1020" s="2">
        <v>37622</v>
      </c>
      <c r="F1020" t="str">
        <f>"9789047401544"</f>
        <v>9789047401544</v>
      </c>
      <c r="G1020" t="str">
        <f>"9789004125865"</f>
        <v>9789004125865</v>
      </c>
      <c r="H1020" t="s">
        <v>1069</v>
      </c>
      <c r="I1020" t="s">
        <v>2394</v>
      </c>
      <c r="J1020" t="s">
        <v>2395</v>
      </c>
      <c r="K1020" t="s">
        <v>44</v>
      </c>
      <c r="N1020" t="s">
        <v>45</v>
      </c>
      <c r="O1020" t="s">
        <v>46</v>
      </c>
      <c r="P1020" t="s">
        <v>45</v>
      </c>
      <c r="Q1020" t="s">
        <v>47</v>
      </c>
      <c r="R1020" t="s">
        <v>44</v>
      </c>
      <c r="S1020">
        <v>0</v>
      </c>
      <c r="W1020" s="3">
        <v>1.8750000000000001E-3</v>
      </c>
      <c r="X1020" t="s">
        <v>2396</v>
      </c>
      <c r="Y1020">
        <v>12</v>
      </c>
      <c r="Z1020">
        <v>0</v>
      </c>
      <c r="AA1020" t="s">
        <v>49</v>
      </c>
      <c r="AB1020">
        <v>0</v>
      </c>
      <c r="AC1020" t="s">
        <v>49</v>
      </c>
      <c r="AD1020">
        <v>0</v>
      </c>
      <c r="AE1020">
        <v>10090539</v>
      </c>
      <c r="AF1020" t="s">
        <v>50</v>
      </c>
      <c r="AG1020" t="s">
        <v>82</v>
      </c>
    </row>
    <row r="1021" spans="1:33" x14ac:dyDescent="0.35">
      <c r="A1021" s="1">
        <v>44881.303472222222</v>
      </c>
      <c r="B1021">
        <v>468361</v>
      </c>
      <c r="C1021" t="s">
        <v>2397</v>
      </c>
      <c r="D1021" t="s">
        <v>473</v>
      </c>
      <c r="E1021" s="2">
        <v>39050</v>
      </c>
      <c r="F1021" t="str">
        <f>"9789047410959"</f>
        <v>9789047410959</v>
      </c>
      <c r="G1021" t="str">
        <f>"9789004153868"</f>
        <v>9789004153868</v>
      </c>
      <c r="H1021" t="s">
        <v>2046</v>
      </c>
      <c r="I1021" t="s">
        <v>2398</v>
      </c>
      <c r="J1021" t="s">
        <v>2399</v>
      </c>
      <c r="K1021" t="s">
        <v>44</v>
      </c>
      <c r="N1021" t="s">
        <v>45</v>
      </c>
      <c r="O1021" t="s">
        <v>46</v>
      </c>
      <c r="P1021" t="s">
        <v>45</v>
      </c>
      <c r="Q1021" t="s">
        <v>47</v>
      </c>
      <c r="R1021" t="s">
        <v>44</v>
      </c>
      <c r="S1021">
        <v>0</v>
      </c>
      <c r="W1021" s="3">
        <v>3.4722222222222222E-5</v>
      </c>
      <c r="X1021" t="s">
        <v>121</v>
      </c>
      <c r="Y1021">
        <v>1</v>
      </c>
      <c r="Z1021">
        <v>0</v>
      </c>
      <c r="AA1021" t="s">
        <v>49</v>
      </c>
      <c r="AB1021">
        <v>0</v>
      </c>
      <c r="AC1021" t="s">
        <v>49</v>
      </c>
      <c r="AD1021">
        <v>0</v>
      </c>
      <c r="AE1021">
        <v>10234885</v>
      </c>
      <c r="AF1021" t="s">
        <v>50</v>
      </c>
      <c r="AG1021" t="s">
        <v>670</v>
      </c>
    </row>
    <row r="1022" spans="1:33" x14ac:dyDescent="0.35">
      <c r="A1022" s="1">
        <v>44881.303472222222</v>
      </c>
      <c r="B1022">
        <v>1524058</v>
      </c>
      <c r="C1022" t="s">
        <v>2363</v>
      </c>
      <c r="D1022" t="s">
        <v>473</v>
      </c>
      <c r="E1022" s="2">
        <v>41551</v>
      </c>
      <c r="F1022" t="str">
        <f>"9789004258914"</f>
        <v>9789004258914</v>
      </c>
      <c r="G1022" t="str">
        <f>"9789004249165"</f>
        <v>9789004249165</v>
      </c>
      <c r="H1022" t="s">
        <v>498</v>
      </c>
      <c r="J1022" t="s">
        <v>2364</v>
      </c>
      <c r="K1022" t="s">
        <v>44</v>
      </c>
      <c r="N1022" t="s">
        <v>45</v>
      </c>
      <c r="O1022" t="s">
        <v>46</v>
      </c>
      <c r="P1022" t="s">
        <v>45</v>
      </c>
      <c r="Q1022" t="s">
        <v>47</v>
      </c>
      <c r="R1022" t="s">
        <v>44</v>
      </c>
      <c r="S1022">
        <v>0</v>
      </c>
      <c r="W1022" s="3">
        <v>1.0416666666666667E-4</v>
      </c>
      <c r="X1022" t="s">
        <v>196</v>
      </c>
      <c r="Y1022">
        <v>2</v>
      </c>
      <c r="Z1022">
        <v>0</v>
      </c>
      <c r="AA1022" t="s">
        <v>49</v>
      </c>
      <c r="AB1022">
        <v>0</v>
      </c>
      <c r="AC1022" t="s">
        <v>49</v>
      </c>
      <c r="AD1022">
        <v>0</v>
      </c>
      <c r="AE1022">
        <v>10792569</v>
      </c>
      <c r="AF1022" t="s">
        <v>50</v>
      </c>
      <c r="AG1022" t="s">
        <v>670</v>
      </c>
    </row>
    <row r="1023" spans="1:33" x14ac:dyDescent="0.35">
      <c r="A1023" s="1">
        <v>44881.303472222222</v>
      </c>
      <c r="B1023">
        <v>3338641</v>
      </c>
      <c r="C1023" t="s">
        <v>302</v>
      </c>
      <c r="D1023" t="s">
        <v>303</v>
      </c>
      <c r="E1023" s="2">
        <v>39143</v>
      </c>
      <c r="F1023" t="str">
        <f>"9780262282888"</f>
        <v>9780262282888</v>
      </c>
      <c r="G1023" t="str">
        <f>"9780262195577"</f>
        <v>9780262195577</v>
      </c>
      <c r="H1023" t="s">
        <v>304</v>
      </c>
      <c r="I1023" t="s">
        <v>305</v>
      </c>
      <c r="K1023" t="s">
        <v>44</v>
      </c>
      <c r="N1023" t="s">
        <v>45</v>
      </c>
      <c r="O1023" t="s">
        <v>46</v>
      </c>
      <c r="P1023" t="s">
        <v>45</v>
      </c>
      <c r="Q1023" t="s">
        <v>47</v>
      </c>
      <c r="R1023" t="s">
        <v>44</v>
      </c>
      <c r="S1023">
        <v>0</v>
      </c>
      <c r="W1023" s="3">
        <v>3.4722222222222222E-5</v>
      </c>
      <c r="X1023" t="s">
        <v>121</v>
      </c>
      <c r="Y1023">
        <v>1</v>
      </c>
      <c r="Z1023">
        <v>0</v>
      </c>
      <c r="AA1023" t="s">
        <v>49</v>
      </c>
      <c r="AB1023">
        <v>0</v>
      </c>
      <c r="AC1023" t="s">
        <v>49</v>
      </c>
      <c r="AD1023">
        <v>0</v>
      </c>
      <c r="AE1023">
        <v>10173702</v>
      </c>
      <c r="AF1023" t="s">
        <v>50</v>
      </c>
      <c r="AG1023" t="s">
        <v>670</v>
      </c>
    </row>
    <row r="1024" spans="1:33" x14ac:dyDescent="0.35">
      <c r="A1024" s="1">
        <v>44881.134722222225</v>
      </c>
      <c r="B1024">
        <v>6368171</v>
      </c>
      <c r="C1024" t="s">
        <v>2400</v>
      </c>
      <c r="D1024" t="s">
        <v>76</v>
      </c>
      <c r="E1024" s="2">
        <v>44146</v>
      </c>
      <c r="F1024" t="str">
        <f>"9781000245172"</f>
        <v>9781000245172</v>
      </c>
      <c r="G1024" t="str">
        <f>"9780367469450"</f>
        <v>9780367469450</v>
      </c>
      <c r="H1024" t="s">
        <v>2401</v>
      </c>
      <c r="I1024">
        <v>363.72809189999998</v>
      </c>
      <c r="J1024" t="s">
        <v>2402</v>
      </c>
      <c r="K1024" t="s">
        <v>55</v>
      </c>
      <c r="Q1024" t="s">
        <v>47</v>
      </c>
      <c r="R1024" t="s">
        <v>44</v>
      </c>
      <c r="S1024">
        <v>0</v>
      </c>
      <c r="W1024" s="3">
        <v>1.0717592592592593E-2</v>
      </c>
      <c r="X1024" t="s">
        <v>2403</v>
      </c>
      <c r="Y1024">
        <v>54</v>
      </c>
      <c r="Z1024">
        <v>0</v>
      </c>
      <c r="AA1024" t="s">
        <v>49</v>
      </c>
      <c r="AB1024">
        <v>0</v>
      </c>
      <c r="AC1024" t="s">
        <v>49</v>
      </c>
      <c r="AD1024">
        <v>0</v>
      </c>
      <c r="AE1024">
        <v>-1</v>
      </c>
      <c r="AF1024" t="s">
        <v>63</v>
      </c>
      <c r="AG1024" t="s">
        <v>388</v>
      </c>
    </row>
    <row r="1025" spans="1:33" x14ac:dyDescent="0.35">
      <c r="A1025" s="1">
        <v>44881.009722222225</v>
      </c>
      <c r="B1025">
        <v>181185</v>
      </c>
      <c r="C1025" t="s">
        <v>2404</v>
      </c>
      <c r="D1025" t="s">
        <v>76</v>
      </c>
      <c r="E1025" s="2">
        <v>37547</v>
      </c>
      <c r="F1025" t="str">
        <f>"9780203220511"</f>
        <v>9780203220511</v>
      </c>
      <c r="G1025" t="str">
        <f>"9780700717255"</f>
        <v>9780700717255</v>
      </c>
      <c r="H1025" t="s">
        <v>1069</v>
      </c>
      <c r="I1025" t="s">
        <v>2405</v>
      </c>
      <c r="J1025">
        <v>2002068059</v>
      </c>
      <c r="K1025" t="s">
        <v>44</v>
      </c>
      <c r="N1025" t="s">
        <v>45</v>
      </c>
      <c r="O1025" t="s">
        <v>46</v>
      </c>
      <c r="P1025" t="s">
        <v>45</v>
      </c>
      <c r="Q1025" t="s">
        <v>47</v>
      </c>
      <c r="R1025" t="s">
        <v>44</v>
      </c>
      <c r="S1025">
        <v>0</v>
      </c>
      <c r="W1025" s="3">
        <v>2.0902777777777781E-2</v>
      </c>
      <c r="X1025" t="s">
        <v>2406</v>
      </c>
      <c r="Y1025">
        <v>5</v>
      </c>
      <c r="Z1025">
        <v>0</v>
      </c>
      <c r="AA1025" t="s">
        <v>49</v>
      </c>
      <c r="AB1025">
        <v>0</v>
      </c>
      <c r="AC1025" t="s">
        <v>49</v>
      </c>
      <c r="AD1025">
        <v>0</v>
      </c>
      <c r="AE1025">
        <v>10101050</v>
      </c>
      <c r="AF1025" t="s">
        <v>50</v>
      </c>
      <c r="AG1025" t="s">
        <v>264</v>
      </c>
    </row>
    <row r="1026" spans="1:33" x14ac:dyDescent="0.35">
      <c r="A1026" s="1">
        <v>44880.979166666664</v>
      </c>
      <c r="B1026">
        <v>6362643</v>
      </c>
      <c r="C1026" t="s">
        <v>2407</v>
      </c>
      <c r="D1026" t="s">
        <v>141</v>
      </c>
      <c r="E1026" s="2">
        <v>44104</v>
      </c>
      <c r="F1026" t="str">
        <f>"9781839215599"</f>
        <v>9781839215599</v>
      </c>
      <c r="G1026" t="str">
        <f>"9781839210686"</f>
        <v>9781839210686</v>
      </c>
      <c r="H1026" t="s">
        <v>454</v>
      </c>
      <c r="I1026">
        <v>6.31</v>
      </c>
      <c r="J1026" t="s">
        <v>2408</v>
      </c>
      <c r="K1026" t="s">
        <v>55</v>
      </c>
      <c r="Q1026" t="s">
        <v>47</v>
      </c>
      <c r="R1026" t="s">
        <v>44</v>
      </c>
      <c r="S1026">
        <v>0</v>
      </c>
      <c r="W1026" s="3">
        <v>7.789351851851852E-3</v>
      </c>
      <c r="X1026" t="s">
        <v>2409</v>
      </c>
      <c r="Y1026">
        <v>26</v>
      </c>
      <c r="Z1026">
        <v>0</v>
      </c>
      <c r="AA1026" t="s">
        <v>49</v>
      </c>
      <c r="AB1026">
        <v>0</v>
      </c>
      <c r="AC1026" t="s">
        <v>49</v>
      </c>
      <c r="AD1026">
        <v>0</v>
      </c>
      <c r="AE1026">
        <v>-1</v>
      </c>
      <c r="AF1026" t="s">
        <v>63</v>
      </c>
      <c r="AG1026" t="s">
        <v>388</v>
      </c>
    </row>
    <row r="1027" spans="1:33" x14ac:dyDescent="0.35">
      <c r="A1027" s="1">
        <v>44880.975694444445</v>
      </c>
      <c r="B1027">
        <v>6624015</v>
      </c>
      <c r="C1027" t="s">
        <v>2410</v>
      </c>
      <c r="D1027" t="s">
        <v>65</v>
      </c>
      <c r="E1027" s="2">
        <v>44336</v>
      </c>
      <c r="F1027" t="str">
        <f>"9780128235980"</f>
        <v>9780128235980</v>
      </c>
      <c r="G1027" t="str">
        <f>"9780128235386"</f>
        <v>9780128235386</v>
      </c>
      <c r="H1027" t="s">
        <v>2223</v>
      </c>
      <c r="I1027">
        <v>333.79399999999998</v>
      </c>
      <c r="J1027" t="s">
        <v>2411</v>
      </c>
      <c r="K1027" t="s">
        <v>55</v>
      </c>
      <c r="N1027" t="s">
        <v>293</v>
      </c>
      <c r="P1027" t="s">
        <v>80</v>
      </c>
      <c r="Q1027" t="s">
        <v>47</v>
      </c>
      <c r="R1027" t="s">
        <v>44</v>
      </c>
      <c r="S1027">
        <v>0</v>
      </c>
      <c r="W1027" s="3">
        <v>1.5393518518518519E-3</v>
      </c>
      <c r="X1027" t="s">
        <v>2412</v>
      </c>
      <c r="Y1027">
        <v>8</v>
      </c>
      <c r="Z1027">
        <v>0</v>
      </c>
      <c r="AA1027" t="s">
        <v>49</v>
      </c>
      <c r="AB1027">
        <v>0</v>
      </c>
      <c r="AC1027" t="s">
        <v>49</v>
      </c>
      <c r="AD1027">
        <v>0</v>
      </c>
      <c r="AE1027">
        <v>-1</v>
      </c>
      <c r="AF1027" t="s">
        <v>50</v>
      </c>
      <c r="AG1027" t="s">
        <v>388</v>
      </c>
    </row>
    <row r="1028" spans="1:33" x14ac:dyDescent="0.35">
      <c r="A1028" s="1">
        <v>44880.943749999999</v>
      </c>
      <c r="B1028">
        <v>5979624</v>
      </c>
      <c r="C1028" t="s">
        <v>843</v>
      </c>
      <c r="D1028" t="s">
        <v>844</v>
      </c>
      <c r="E1028" s="2">
        <v>43798</v>
      </c>
      <c r="F1028" t="str">
        <f>"9781789736878"</f>
        <v>9781789736878</v>
      </c>
      <c r="G1028" t="str">
        <f>"9781789736908"</f>
        <v>9781789736908</v>
      </c>
      <c r="H1028" t="s">
        <v>60</v>
      </c>
      <c r="I1028">
        <v>658.40129999999999</v>
      </c>
      <c r="J1028" t="s">
        <v>845</v>
      </c>
      <c r="K1028" t="s">
        <v>44</v>
      </c>
      <c r="N1028" t="s">
        <v>45</v>
      </c>
      <c r="O1028" t="s">
        <v>46</v>
      </c>
      <c r="P1028" t="s">
        <v>45</v>
      </c>
      <c r="Q1028" t="s">
        <v>47</v>
      </c>
      <c r="R1028" t="s">
        <v>44</v>
      </c>
      <c r="S1028">
        <v>1</v>
      </c>
      <c r="W1028" s="3">
        <v>5.3125000000000004E-3</v>
      </c>
      <c r="X1028" t="s">
        <v>2413</v>
      </c>
      <c r="Y1028">
        <v>2</v>
      </c>
      <c r="Z1028">
        <v>0</v>
      </c>
      <c r="AA1028" t="s">
        <v>49</v>
      </c>
      <c r="AB1028">
        <v>0</v>
      </c>
      <c r="AC1028" t="s">
        <v>49</v>
      </c>
      <c r="AD1028">
        <v>0</v>
      </c>
      <c r="AE1028">
        <v>-1</v>
      </c>
      <c r="AF1028" t="s">
        <v>63</v>
      </c>
      <c r="AG1028" t="s">
        <v>216</v>
      </c>
    </row>
    <row r="1029" spans="1:33" x14ac:dyDescent="0.35">
      <c r="A1029" s="1">
        <v>44880.941666666666</v>
      </c>
      <c r="B1029">
        <v>5979624</v>
      </c>
      <c r="C1029" t="s">
        <v>843</v>
      </c>
      <c r="D1029" t="s">
        <v>844</v>
      </c>
      <c r="E1029" s="2">
        <v>43798</v>
      </c>
      <c r="F1029" t="str">
        <f>"9781789736878"</f>
        <v>9781789736878</v>
      </c>
      <c r="G1029" t="str">
        <f>"9781789736908"</f>
        <v>9781789736908</v>
      </c>
      <c r="H1029" t="s">
        <v>60</v>
      </c>
      <c r="I1029">
        <v>658.40129999999999</v>
      </c>
      <c r="J1029" t="s">
        <v>845</v>
      </c>
      <c r="K1029" t="s">
        <v>44</v>
      </c>
      <c r="N1029" t="s">
        <v>45</v>
      </c>
      <c r="O1029" t="s">
        <v>46</v>
      </c>
      <c r="P1029" t="s">
        <v>45</v>
      </c>
      <c r="Q1029" t="s">
        <v>47</v>
      </c>
      <c r="R1029" t="s">
        <v>44</v>
      </c>
      <c r="S1029">
        <v>0</v>
      </c>
      <c r="W1029" s="3">
        <v>2.1990740740740742E-3</v>
      </c>
      <c r="X1029" t="s">
        <v>2414</v>
      </c>
      <c r="Y1029">
        <v>3</v>
      </c>
      <c r="Z1029">
        <v>0</v>
      </c>
      <c r="AA1029" t="s">
        <v>49</v>
      </c>
      <c r="AB1029">
        <v>0</v>
      </c>
      <c r="AC1029" t="s">
        <v>1963</v>
      </c>
      <c r="AD1029">
        <v>1</v>
      </c>
      <c r="AE1029">
        <v>-1</v>
      </c>
      <c r="AF1029" t="s">
        <v>63</v>
      </c>
      <c r="AG1029" t="s">
        <v>216</v>
      </c>
    </row>
    <row r="1030" spans="1:33" x14ac:dyDescent="0.35">
      <c r="A1030" s="1">
        <v>44880.94027777778</v>
      </c>
      <c r="B1030">
        <v>144768</v>
      </c>
      <c r="C1030" t="s">
        <v>1748</v>
      </c>
      <c r="D1030" t="s">
        <v>502</v>
      </c>
      <c r="E1030" s="2">
        <v>36720</v>
      </c>
      <c r="F1030" t="str">
        <f>"9780511151118"</f>
        <v>9780511151118</v>
      </c>
      <c r="G1030" t="str">
        <f>"9780521772303"</f>
        <v>9780521772303</v>
      </c>
      <c r="H1030" t="s">
        <v>1069</v>
      </c>
      <c r="I1030">
        <v>892.70899999999995</v>
      </c>
      <c r="J1030" t="s">
        <v>1749</v>
      </c>
      <c r="K1030" t="s">
        <v>44</v>
      </c>
      <c r="N1030" t="s">
        <v>45</v>
      </c>
      <c r="O1030" t="s">
        <v>46</v>
      </c>
      <c r="P1030" t="s">
        <v>45</v>
      </c>
      <c r="Q1030" t="s">
        <v>47</v>
      </c>
      <c r="R1030" t="s">
        <v>44</v>
      </c>
      <c r="S1030">
        <v>0</v>
      </c>
      <c r="W1030" s="3">
        <v>1.0266203703703703E-2</v>
      </c>
      <c r="X1030" t="s">
        <v>2415</v>
      </c>
      <c r="Y1030">
        <v>19</v>
      </c>
      <c r="Z1030">
        <v>1</v>
      </c>
      <c r="AA1030" t="s">
        <v>1346</v>
      </c>
      <c r="AB1030">
        <v>4</v>
      </c>
      <c r="AC1030" t="s">
        <v>49</v>
      </c>
      <c r="AD1030">
        <v>0</v>
      </c>
      <c r="AE1030">
        <v>10014925</v>
      </c>
      <c r="AF1030" t="s">
        <v>50</v>
      </c>
      <c r="AG1030" t="s">
        <v>264</v>
      </c>
    </row>
    <row r="1031" spans="1:33" x14ac:dyDescent="0.35">
      <c r="A1031" s="1">
        <v>44880.885416666664</v>
      </c>
      <c r="B1031">
        <v>3400325</v>
      </c>
      <c r="C1031" t="s">
        <v>2416</v>
      </c>
      <c r="D1031" t="s">
        <v>2417</v>
      </c>
      <c r="E1031" s="2">
        <v>40816</v>
      </c>
      <c r="F1031" t="str">
        <f>"9781931332736"</f>
        <v>9781931332736</v>
      </c>
      <c r="G1031" t="str">
        <f>"9781931332545"</f>
        <v>9781931332545</v>
      </c>
      <c r="H1031" t="s">
        <v>60</v>
      </c>
      <c r="K1031" t="s">
        <v>44</v>
      </c>
      <c r="N1031" t="s">
        <v>45</v>
      </c>
      <c r="O1031" t="s">
        <v>46</v>
      </c>
      <c r="P1031" t="s">
        <v>45</v>
      </c>
      <c r="Q1031" t="s">
        <v>47</v>
      </c>
      <c r="R1031" t="s">
        <v>44</v>
      </c>
      <c r="S1031">
        <v>0</v>
      </c>
      <c r="W1031" s="3">
        <v>4.5833333333333334E-3</v>
      </c>
      <c r="X1031" t="s">
        <v>2418</v>
      </c>
      <c r="Y1031">
        <v>38</v>
      </c>
      <c r="Z1031">
        <v>0</v>
      </c>
      <c r="AA1031" t="s">
        <v>49</v>
      </c>
      <c r="AB1031">
        <v>0</v>
      </c>
      <c r="AC1031" t="s">
        <v>49</v>
      </c>
      <c r="AD1031">
        <v>0</v>
      </c>
      <c r="AE1031">
        <v>10817871</v>
      </c>
      <c r="AF1031" t="s">
        <v>50</v>
      </c>
      <c r="AG1031" t="s">
        <v>122</v>
      </c>
    </row>
    <row r="1032" spans="1:33" x14ac:dyDescent="0.35">
      <c r="A1032" s="1">
        <v>44880.839583333334</v>
      </c>
      <c r="B1032">
        <v>6419290</v>
      </c>
      <c r="C1032" t="s">
        <v>2419</v>
      </c>
      <c r="D1032" t="s">
        <v>141</v>
      </c>
      <c r="E1032" s="2">
        <v>43889</v>
      </c>
      <c r="F1032" t="str">
        <f>"9781800205376"</f>
        <v>9781800205376</v>
      </c>
      <c r="G1032" t="str">
        <f>"9781800203679"</f>
        <v>9781800203679</v>
      </c>
      <c r="H1032" t="s">
        <v>138</v>
      </c>
      <c r="K1032" t="s">
        <v>44</v>
      </c>
      <c r="N1032" t="s">
        <v>45</v>
      </c>
      <c r="O1032" t="s">
        <v>46</v>
      </c>
      <c r="P1032" t="s">
        <v>177</v>
      </c>
      <c r="Q1032" t="s">
        <v>47</v>
      </c>
      <c r="R1032" t="s">
        <v>55</v>
      </c>
      <c r="S1032">
        <v>3</v>
      </c>
      <c r="W1032" s="3">
        <v>1.1574074074074073E-5</v>
      </c>
      <c r="X1032" t="s">
        <v>49</v>
      </c>
      <c r="Y1032">
        <v>0</v>
      </c>
      <c r="Z1032">
        <v>0</v>
      </c>
      <c r="AA1032" t="s">
        <v>49</v>
      </c>
      <c r="AB1032">
        <v>0</v>
      </c>
      <c r="AC1032" t="s">
        <v>49</v>
      </c>
      <c r="AD1032">
        <v>0</v>
      </c>
      <c r="AE1032">
        <v>-1</v>
      </c>
      <c r="AF1032" t="s">
        <v>63</v>
      </c>
      <c r="AG1032" t="s">
        <v>2385</v>
      </c>
    </row>
    <row r="1033" spans="1:33" x14ac:dyDescent="0.35">
      <c r="A1033" s="1">
        <v>44880.831944444442</v>
      </c>
      <c r="B1033">
        <v>5888693</v>
      </c>
      <c r="C1033" t="s">
        <v>2420</v>
      </c>
      <c r="D1033" t="s">
        <v>141</v>
      </c>
      <c r="E1033" s="2">
        <v>43700</v>
      </c>
      <c r="F1033" t="str">
        <f>"9781789803846"</f>
        <v>9781789803846</v>
      </c>
      <c r="G1033" t="str">
        <f>"9781789807356"</f>
        <v>9781789807356</v>
      </c>
      <c r="H1033" t="s">
        <v>138</v>
      </c>
      <c r="I1033">
        <v>5.7584999999999997</v>
      </c>
      <c r="J1033" t="s">
        <v>2421</v>
      </c>
      <c r="K1033" t="s">
        <v>55</v>
      </c>
      <c r="Q1033" t="s">
        <v>47</v>
      </c>
      <c r="R1033" t="s">
        <v>44</v>
      </c>
      <c r="S1033">
        <v>0</v>
      </c>
      <c r="W1033" s="3">
        <v>2.5115740740740741E-3</v>
      </c>
      <c r="X1033" t="s">
        <v>49</v>
      </c>
      <c r="Y1033">
        <v>0</v>
      </c>
      <c r="Z1033">
        <v>0</v>
      </c>
      <c r="AA1033" t="s">
        <v>49</v>
      </c>
      <c r="AB1033">
        <v>0</v>
      </c>
      <c r="AC1033" t="s">
        <v>49</v>
      </c>
      <c r="AD1033">
        <v>0</v>
      </c>
      <c r="AE1033">
        <v>-1</v>
      </c>
      <c r="AF1033" t="s">
        <v>63</v>
      </c>
      <c r="AG1033" t="s">
        <v>2385</v>
      </c>
    </row>
    <row r="1034" spans="1:33" x14ac:dyDescent="0.35">
      <c r="A1034" s="1">
        <v>44880.826388888891</v>
      </c>
      <c r="B1034">
        <v>5888693</v>
      </c>
      <c r="C1034" t="s">
        <v>2420</v>
      </c>
      <c r="D1034" t="s">
        <v>141</v>
      </c>
      <c r="E1034" s="2">
        <v>43700</v>
      </c>
      <c r="F1034" t="str">
        <f>"9781789803846"</f>
        <v>9781789803846</v>
      </c>
      <c r="G1034" t="str">
        <f>"9781789807356"</f>
        <v>9781789807356</v>
      </c>
      <c r="H1034" t="s">
        <v>138</v>
      </c>
      <c r="I1034">
        <v>5.7584999999999997</v>
      </c>
      <c r="J1034" t="s">
        <v>2421</v>
      </c>
      <c r="K1034" t="s">
        <v>55</v>
      </c>
      <c r="Q1034" t="s">
        <v>47</v>
      </c>
      <c r="R1034" t="s">
        <v>44</v>
      </c>
      <c r="S1034">
        <v>0</v>
      </c>
      <c r="W1034" s="3">
        <v>1.4930555555555556E-3</v>
      </c>
      <c r="X1034" t="s">
        <v>49</v>
      </c>
      <c r="Y1034">
        <v>0</v>
      </c>
      <c r="Z1034">
        <v>0</v>
      </c>
      <c r="AA1034" t="s">
        <v>49</v>
      </c>
      <c r="AB1034">
        <v>0</v>
      </c>
      <c r="AC1034" t="s">
        <v>49</v>
      </c>
      <c r="AD1034">
        <v>0</v>
      </c>
      <c r="AE1034">
        <v>-1</v>
      </c>
      <c r="AF1034" t="s">
        <v>63</v>
      </c>
      <c r="AG1034" t="s">
        <v>2385</v>
      </c>
    </row>
    <row r="1035" spans="1:33" x14ac:dyDescent="0.35">
      <c r="A1035" s="1">
        <v>44880.822222222225</v>
      </c>
      <c r="B1035">
        <v>589949</v>
      </c>
      <c r="C1035" t="s">
        <v>2388</v>
      </c>
      <c r="D1035" t="s">
        <v>76</v>
      </c>
      <c r="E1035" s="2">
        <v>40402</v>
      </c>
      <c r="F1035" t="str">
        <f>"9781420086034"</f>
        <v>9781420086034</v>
      </c>
      <c r="G1035" t="str">
        <f>"9781420086027"</f>
        <v>9781420086027</v>
      </c>
      <c r="H1035" t="s">
        <v>60</v>
      </c>
      <c r="I1035">
        <v>658.5</v>
      </c>
      <c r="J1035" t="s">
        <v>2389</v>
      </c>
      <c r="K1035" t="s">
        <v>44</v>
      </c>
      <c r="N1035" t="s">
        <v>45</v>
      </c>
      <c r="O1035" t="s">
        <v>46</v>
      </c>
      <c r="P1035" t="s">
        <v>45</v>
      </c>
      <c r="Q1035" t="s">
        <v>47</v>
      </c>
      <c r="R1035" t="s">
        <v>44</v>
      </c>
      <c r="S1035">
        <v>0</v>
      </c>
      <c r="W1035" s="3">
        <v>1.9675925925925928E-3</v>
      </c>
      <c r="X1035" t="s">
        <v>2422</v>
      </c>
      <c r="Y1035">
        <v>14</v>
      </c>
      <c r="Z1035">
        <v>0</v>
      </c>
      <c r="AA1035" t="s">
        <v>49</v>
      </c>
      <c r="AB1035">
        <v>0</v>
      </c>
      <c r="AC1035" t="s">
        <v>49</v>
      </c>
      <c r="AD1035">
        <v>0</v>
      </c>
      <c r="AE1035">
        <v>10419911</v>
      </c>
      <c r="AF1035" t="s">
        <v>50</v>
      </c>
      <c r="AG1035" t="s">
        <v>2423</v>
      </c>
    </row>
    <row r="1036" spans="1:33" x14ac:dyDescent="0.35">
      <c r="A1036" s="1">
        <v>44880.767361111109</v>
      </c>
      <c r="B1036">
        <v>3338641</v>
      </c>
      <c r="C1036" t="s">
        <v>302</v>
      </c>
      <c r="D1036" t="s">
        <v>303</v>
      </c>
      <c r="E1036" s="2">
        <v>39143</v>
      </c>
      <c r="F1036" t="str">
        <f>"9780262282888"</f>
        <v>9780262282888</v>
      </c>
      <c r="G1036" t="str">
        <f>"9780262195577"</f>
        <v>9780262195577</v>
      </c>
      <c r="H1036" t="s">
        <v>304</v>
      </c>
      <c r="I1036" t="s">
        <v>305</v>
      </c>
      <c r="K1036" t="s">
        <v>44</v>
      </c>
      <c r="N1036" t="s">
        <v>45</v>
      </c>
      <c r="O1036" t="s">
        <v>46</v>
      </c>
      <c r="P1036" t="s">
        <v>45</v>
      </c>
      <c r="Q1036" t="s">
        <v>47</v>
      </c>
      <c r="R1036" t="s">
        <v>44</v>
      </c>
      <c r="S1036">
        <v>0</v>
      </c>
      <c r="W1036" s="3">
        <v>4.7916666666666672E-3</v>
      </c>
      <c r="X1036" t="s">
        <v>2424</v>
      </c>
      <c r="Y1036">
        <v>5</v>
      </c>
      <c r="Z1036">
        <v>0</v>
      </c>
      <c r="AA1036" t="s">
        <v>49</v>
      </c>
      <c r="AB1036">
        <v>0</v>
      </c>
      <c r="AC1036" t="s">
        <v>49</v>
      </c>
      <c r="AD1036">
        <v>0</v>
      </c>
      <c r="AE1036">
        <v>10173702</v>
      </c>
      <c r="AF1036" t="s">
        <v>50</v>
      </c>
      <c r="AG1036" t="s">
        <v>670</v>
      </c>
    </row>
    <row r="1037" spans="1:33" x14ac:dyDescent="0.35">
      <c r="A1037" s="1">
        <v>44880.76458333333</v>
      </c>
      <c r="B1037">
        <v>3019159</v>
      </c>
      <c r="C1037" t="s">
        <v>2425</v>
      </c>
      <c r="D1037" t="s">
        <v>137</v>
      </c>
      <c r="E1037" s="2">
        <v>40695</v>
      </c>
      <c r="F1037" t="str">
        <f>"9781612094816"</f>
        <v>9781612094816</v>
      </c>
      <c r="G1037" t="str">
        <f>"9781611227383"</f>
        <v>9781611227383</v>
      </c>
      <c r="H1037" t="s">
        <v>77</v>
      </c>
      <c r="I1037" t="s">
        <v>2426</v>
      </c>
      <c r="J1037" t="s">
        <v>2427</v>
      </c>
      <c r="K1037" t="s">
        <v>44</v>
      </c>
      <c r="N1037" t="s">
        <v>45</v>
      </c>
      <c r="O1037" t="s">
        <v>46</v>
      </c>
      <c r="P1037" t="s">
        <v>177</v>
      </c>
      <c r="Q1037" t="s">
        <v>47</v>
      </c>
      <c r="R1037" t="s">
        <v>55</v>
      </c>
      <c r="S1037">
        <v>0</v>
      </c>
      <c r="W1037" s="3">
        <v>2.615740740740741E-3</v>
      </c>
      <c r="X1037" t="s">
        <v>2428</v>
      </c>
      <c r="Y1037">
        <v>13</v>
      </c>
      <c r="Z1037">
        <v>0</v>
      </c>
      <c r="AA1037" t="s">
        <v>49</v>
      </c>
      <c r="AB1037">
        <v>0</v>
      </c>
      <c r="AC1037" t="s">
        <v>49</v>
      </c>
      <c r="AD1037">
        <v>0</v>
      </c>
      <c r="AE1037">
        <v>10662966</v>
      </c>
      <c r="AF1037" t="s">
        <v>50</v>
      </c>
      <c r="AG1037" t="s">
        <v>388</v>
      </c>
    </row>
    <row r="1038" spans="1:33" x14ac:dyDescent="0.35">
      <c r="A1038" s="1">
        <v>44880.752083333333</v>
      </c>
      <c r="B1038">
        <v>1708537</v>
      </c>
      <c r="C1038" t="s">
        <v>2429</v>
      </c>
      <c r="D1038" t="s">
        <v>2430</v>
      </c>
      <c r="E1038" s="2">
        <v>41760</v>
      </c>
      <c r="F1038" t="str">
        <f>"9781905937530"</f>
        <v>9781905937530</v>
      </c>
      <c r="G1038" t="str">
        <f>"9781905937523"</f>
        <v>9781905937523</v>
      </c>
      <c r="H1038" t="s">
        <v>162</v>
      </c>
      <c r="I1038">
        <v>297.4092</v>
      </c>
      <c r="J1038" t="s">
        <v>2431</v>
      </c>
      <c r="K1038" t="s">
        <v>44</v>
      </c>
      <c r="N1038" t="s">
        <v>45</v>
      </c>
      <c r="O1038" t="s">
        <v>46</v>
      </c>
      <c r="P1038" t="s">
        <v>45</v>
      </c>
      <c r="Q1038" t="s">
        <v>47</v>
      </c>
      <c r="R1038" t="s">
        <v>44</v>
      </c>
      <c r="S1038">
        <v>0</v>
      </c>
      <c r="W1038" s="3">
        <v>5.5555555555555556E-4</v>
      </c>
      <c r="X1038" t="s">
        <v>2432</v>
      </c>
      <c r="Y1038">
        <v>9</v>
      </c>
      <c r="Z1038">
        <v>0</v>
      </c>
      <c r="AA1038" t="s">
        <v>49</v>
      </c>
      <c r="AB1038">
        <v>0</v>
      </c>
      <c r="AC1038" t="s">
        <v>49</v>
      </c>
      <c r="AD1038">
        <v>0</v>
      </c>
      <c r="AE1038">
        <v>10881300</v>
      </c>
      <c r="AF1038" t="s">
        <v>50</v>
      </c>
      <c r="AG1038" t="s">
        <v>2433</v>
      </c>
    </row>
    <row r="1039" spans="1:33" x14ac:dyDescent="0.35">
      <c r="A1039" s="1">
        <v>44880.737500000003</v>
      </c>
      <c r="B1039">
        <v>1524058</v>
      </c>
      <c r="C1039" t="s">
        <v>2363</v>
      </c>
      <c r="D1039" t="s">
        <v>473</v>
      </c>
      <c r="E1039" s="2">
        <v>41551</v>
      </c>
      <c r="F1039" t="str">
        <f>"9789004258914"</f>
        <v>9789004258914</v>
      </c>
      <c r="G1039" t="str">
        <f>"9789004249165"</f>
        <v>9789004249165</v>
      </c>
      <c r="H1039" t="s">
        <v>498</v>
      </c>
      <c r="J1039" t="s">
        <v>2364</v>
      </c>
      <c r="K1039" t="s">
        <v>44</v>
      </c>
      <c r="N1039" t="s">
        <v>45</v>
      </c>
      <c r="O1039" t="s">
        <v>46</v>
      </c>
      <c r="P1039" t="s">
        <v>45</v>
      </c>
      <c r="Q1039" t="s">
        <v>47</v>
      </c>
      <c r="R1039" t="s">
        <v>44</v>
      </c>
      <c r="S1039">
        <v>0</v>
      </c>
      <c r="W1039" s="3">
        <v>8.3101851851851861E-3</v>
      </c>
      <c r="X1039" t="s">
        <v>2434</v>
      </c>
      <c r="Y1039">
        <v>14</v>
      </c>
      <c r="Z1039">
        <v>0</v>
      </c>
      <c r="AA1039" t="s">
        <v>49</v>
      </c>
      <c r="AB1039">
        <v>0</v>
      </c>
      <c r="AC1039" t="s">
        <v>49</v>
      </c>
      <c r="AD1039">
        <v>0</v>
      </c>
      <c r="AE1039">
        <v>10792569</v>
      </c>
      <c r="AF1039" t="s">
        <v>50</v>
      </c>
      <c r="AG1039" t="s">
        <v>670</v>
      </c>
    </row>
    <row r="1040" spans="1:33" x14ac:dyDescent="0.35">
      <c r="A1040" s="1">
        <v>44880.724999999999</v>
      </c>
      <c r="B1040">
        <v>5219727</v>
      </c>
      <c r="C1040" t="s">
        <v>2435</v>
      </c>
      <c r="D1040" t="s">
        <v>2436</v>
      </c>
      <c r="E1040" s="2">
        <v>40359</v>
      </c>
      <c r="F1040" t="str">
        <f>"9783832598143"</f>
        <v>9783832598143</v>
      </c>
      <c r="G1040" t="str">
        <f>"9783832523039"</f>
        <v>9783832523039</v>
      </c>
      <c r="H1040" t="s">
        <v>60</v>
      </c>
      <c r="I1040">
        <v>658.40120000000002</v>
      </c>
      <c r="J1040" t="s">
        <v>2437</v>
      </c>
      <c r="K1040" t="s">
        <v>44</v>
      </c>
      <c r="N1040" t="s">
        <v>45</v>
      </c>
      <c r="O1040" t="s">
        <v>46</v>
      </c>
      <c r="P1040" t="s">
        <v>45</v>
      </c>
      <c r="Q1040" t="s">
        <v>47</v>
      </c>
      <c r="R1040" t="s">
        <v>44</v>
      </c>
      <c r="S1040">
        <v>0</v>
      </c>
      <c r="W1040" s="3">
        <v>3.4722222222222222E-5</v>
      </c>
      <c r="X1040" t="s">
        <v>121</v>
      </c>
      <c r="Y1040">
        <v>1</v>
      </c>
      <c r="Z1040">
        <v>0</v>
      </c>
      <c r="AA1040" t="s">
        <v>49</v>
      </c>
      <c r="AB1040">
        <v>0</v>
      </c>
      <c r="AC1040" t="s">
        <v>49</v>
      </c>
      <c r="AD1040">
        <v>0</v>
      </c>
      <c r="AE1040">
        <v>11539571</v>
      </c>
      <c r="AF1040" t="s">
        <v>50</v>
      </c>
      <c r="AG1040" t="s">
        <v>122</v>
      </c>
    </row>
    <row r="1041" spans="1:33" x14ac:dyDescent="0.35">
      <c r="A1041" s="1">
        <v>44880.722222222219</v>
      </c>
      <c r="B1041">
        <v>353356</v>
      </c>
      <c r="C1041" t="s">
        <v>2438</v>
      </c>
      <c r="D1041" t="s">
        <v>59</v>
      </c>
      <c r="E1041" s="2">
        <v>39664</v>
      </c>
      <c r="F1041" t="str">
        <f>"9780470387276"</f>
        <v>9780470387276</v>
      </c>
      <c r="G1041" t="str">
        <f>"9780470373057"</f>
        <v>9780470373057</v>
      </c>
      <c r="H1041" t="s">
        <v>60</v>
      </c>
      <c r="I1041" t="s">
        <v>2439</v>
      </c>
      <c r="J1041" t="s">
        <v>2440</v>
      </c>
      <c r="K1041" t="s">
        <v>44</v>
      </c>
      <c r="N1041" t="s">
        <v>45</v>
      </c>
      <c r="O1041" t="s">
        <v>46</v>
      </c>
      <c r="P1041" t="s">
        <v>45</v>
      </c>
      <c r="Q1041" t="s">
        <v>47</v>
      </c>
      <c r="R1041" t="s">
        <v>44</v>
      </c>
      <c r="S1041">
        <v>0</v>
      </c>
      <c r="W1041" s="3">
        <v>8.564814814814815E-4</v>
      </c>
      <c r="X1041" t="s">
        <v>2441</v>
      </c>
      <c r="Y1041">
        <v>11</v>
      </c>
      <c r="Z1041">
        <v>0</v>
      </c>
      <c r="AA1041" t="s">
        <v>49</v>
      </c>
      <c r="AB1041">
        <v>0</v>
      </c>
      <c r="AC1041" t="s">
        <v>49</v>
      </c>
      <c r="AD1041">
        <v>0</v>
      </c>
      <c r="AE1041">
        <v>10250290</v>
      </c>
      <c r="AF1041" t="s">
        <v>50</v>
      </c>
      <c r="AG1041" t="s">
        <v>122</v>
      </c>
    </row>
    <row r="1042" spans="1:33" x14ac:dyDescent="0.35">
      <c r="A1042" s="1">
        <v>44880.718055555553</v>
      </c>
      <c r="B1042">
        <v>589949</v>
      </c>
      <c r="C1042" t="s">
        <v>2388</v>
      </c>
      <c r="D1042" t="s">
        <v>76</v>
      </c>
      <c r="E1042" s="2">
        <v>40402</v>
      </c>
      <c r="F1042" t="str">
        <f>"9781420086034"</f>
        <v>9781420086034</v>
      </c>
      <c r="G1042" t="str">
        <f>"9781420086027"</f>
        <v>9781420086027</v>
      </c>
      <c r="H1042" t="s">
        <v>60</v>
      </c>
      <c r="I1042">
        <v>658.5</v>
      </c>
      <c r="J1042" t="s">
        <v>2389</v>
      </c>
      <c r="K1042" t="s">
        <v>44</v>
      </c>
      <c r="N1042" t="s">
        <v>45</v>
      </c>
      <c r="O1042" t="s">
        <v>46</v>
      </c>
      <c r="P1042" t="s">
        <v>45</v>
      </c>
      <c r="Q1042" t="s">
        <v>47</v>
      </c>
      <c r="R1042" t="s">
        <v>44</v>
      </c>
      <c r="S1042">
        <v>0</v>
      </c>
      <c r="W1042" s="3">
        <v>6.9444444444444444E-5</v>
      </c>
      <c r="X1042" t="s">
        <v>2442</v>
      </c>
      <c r="Y1042">
        <v>1</v>
      </c>
      <c r="Z1042">
        <v>0</v>
      </c>
      <c r="AA1042" t="s">
        <v>49</v>
      </c>
      <c r="AB1042">
        <v>0</v>
      </c>
      <c r="AC1042" t="s">
        <v>49</v>
      </c>
      <c r="AD1042">
        <v>0</v>
      </c>
      <c r="AE1042">
        <v>10419911</v>
      </c>
      <c r="AF1042" t="s">
        <v>50</v>
      </c>
      <c r="AG1042" t="s">
        <v>670</v>
      </c>
    </row>
    <row r="1043" spans="1:33" x14ac:dyDescent="0.35">
      <c r="A1043" s="1">
        <v>44880.706250000003</v>
      </c>
      <c r="B1043">
        <v>3338641</v>
      </c>
      <c r="C1043" t="s">
        <v>302</v>
      </c>
      <c r="D1043" t="s">
        <v>303</v>
      </c>
      <c r="E1043" s="2">
        <v>39143</v>
      </c>
      <c r="F1043" t="str">
        <f>"9780262282888"</f>
        <v>9780262282888</v>
      </c>
      <c r="G1043" t="str">
        <f>"9780262195577"</f>
        <v>9780262195577</v>
      </c>
      <c r="H1043" t="s">
        <v>304</v>
      </c>
      <c r="I1043" t="s">
        <v>305</v>
      </c>
      <c r="K1043" t="s">
        <v>44</v>
      </c>
      <c r="N1043" t="s">
        <v>45</v>
      </c>
      <c r="O1043" t="s">
        <v>46</v>
      </c>
      <c r="P1043" t="s">
        <v>45</v>
      </c>
      <c r="Q1043" t="s">
        <v>47</v>
      </c>
      <c r="R1043" t="s">
        <v>44</v>
      </c>
      <c r="S1043">
        <v>0</v>
      </c>
      <c r="W1043" s="3">
        <v>4.8611111111111104E-4</v>
      </c>
      <c r="X1043" t="s">
        <v>2443</v>
      </c>
      <c r="Y1043">
        <v>7</v>
      </c>
      <c r="Z1043">
        <v>0</v>
      </c>
      <c r="AA1043" t="s">
        <v>49</v>
      </c>
      <c r="AB1043">
        <v>0</v>
      </c>
      <c r="AC1043" t="s">
        <v>49</v>
      </c>
      <c r="AD1043">
        <v>0</v>
      </c>
      <c r="AE1043">
        <v>10173702</v>
      </c>
      <c r="AF1043" t="s">
        <v>50</v>
      </c>
      <c r="AG1043" t="s">
        <v>670</v>
      </c>
    </row>
    <row r="1044" spans="1:33" x14ac:dyDescent="0.35">
      <c r="A1044" s="1">
        <v>44880.660416666666</v>
      </c>
      <c r="B1044">
        <v>3379304</v>
      </c>
      <c r="C1044" t="s">
        <v>2444</v>
      </c>
      <c r="D1044" t="s">
        <v>175</v>
      </c>
      <c r="E1044" s="2">
        <v>41249</v>
      </c>
      <c r="F1044" t="str">
        <f>"9780309255950"</f>
        <v>9780309255950</v>
      </c>
      <c r="G1044" t="str">
        <f>"9780309255943"</f>
        <v>9780309255943</v>
      </c>
      <c r="H1044" t="s">
        <v>2445</v>
      </c>
      <c r="K1044" t="s">
        <v>44</v>
      </c>
      <c r="N1044" t="s">
        <v>45</v>
      </c>
      <c r="O1044" t="s">
        <v>46</v>
      </c>
      <c r="P1044" t="s">
        <v>177</v>
      </c>
      <c r="Q1044" t="s">
        <v>47</v>
      </c>
      <c r="R1044" t="s">
        <v>55</v>
      </c>
      <c r="S1044">
        <v>0</v>
      </c>
      <c r="W1044" s="3">
        <v>3.1250000000000001E-4</v>
      </c>
      <c r="X1044" t="s">
        <v>903</v>
      </c>
      <c r="Y1044">
        <v>7</v>
      </c>
      <c r="Z1044">
        <v>0</v>
      </c>
      <c r="AA1044" t="s">
        <v>49</v>
      </c>
      <c r="AB1044">
        <v>0</v>
      </c>
      <c r="AC1044" t="s">
        <v>49</v>
      </c>
      <c r="AD1044">
        <v>0</v>
      </c>
      <c r="AE1044">
        <v>10863963</v>
      </c>
      <c r="AF1044" t="s">
        <v>50</v>
      </c>
      <c r="AG1044" t="s">
        <v>2446</v>
      </c>
    </row>
    <row r="1045" spans="1:33" x14ac:dyDescent="0.35">
      <c r="A1045" s="1">
        <v>44880.634027777778</v>
      </c>
      <c r="B1045">
        <v>3420544</v>
      </c>
      <c r="C1045" t="s">
        <v>2447</v>
      </c>
      <c r="D1045" t="s">
        <v>347</v>
      </c>
      <c r="E1045" s="2">
        <v>39931</v>
      </c>
      <c r="F1045" t="str">
        <f>"9780300158854"</f>
        <v>9780300158854</v>
      </c>
      <c r="G1045" t="str">
        <f>"9780300139310"</f>
        <v>9780300139310</v>
      </c>
      <c r="H1045" t="s">
        <v>1984</v>
      </c>
      <c r="I1045" t="s">
        <v>2448</v>
      </c>
      <c r="J1045" t="s">
        <v>2449</v>
      </c>
      <c r="K1045" t="s">
        <v>44</v>
      </c>
      <c r="N1045" t="s">
        <v>45</v>
      </c>
      <c r="O1045" t="s">
        <v>46</v>
      </c>
      <c r="P1045" t="s">
        <v>45</v>
      </c>
      <c r="Q1045" t="s">
        <v>47</v>
      </c>
      <c r="R1045" t="s">
        <v>44</v>
      </c>
      <c r="S1045">
        <v>0</v>
      </c>
      <c r="W1045" s="3">
        <v>1.0995370370370371E-3</v>
      </c>
      <c r="X1045" t="s">
        <v>2450</v>
      </c>
      <c r="Y1045">
        <v>7</v>
      </c>
      <c r="Z1045">
        <v>0</v>
      </c>
      <c r="AA1045" t="s">
        <v>49</v>
      </c>
      <c r="AB1045">
        <v>0</v>
      </c>
      <c r="AC1045" t="s">
        <v>49</v>
      </c>
      <c r="AD1045">
        <v>0</v>
      </c>
      <c r="AE1045">
        <v>10348439</v>
      </c>
      <c r="AF1045" t="s">
        <v>50</v>
      </c>
      <c r="AG1045" t="s">
        <v>670</v>
      </c>
    </row>
    <row r="1046" spans="1:33" x14ac:dyDescent="0.35">
      <c r="A1046" s="1">
        <v>44880.631944444445</v>
      </c>
      <c r="B1046">
        <v>3338641</v>
      </c>
      <c r="C1046" t="s">
        <v>302</v>
      </c>
      <c r="D1046" t="s">
        <v>303</v>
      </c>
      <c r="E1046" s="2">
        <v>39143</v>
      </c>
      <c r="F1046" t="str">
        <f>"9780262282888"</f>
        <v>9780262282888</v>
      </c>
      <c r="G1046" t="str">
        <f>"9780262195577"</f>
        <v>9780262195577</v>
      </c>
      <c r="H1046" t="s">
        <v>304</v>
      </c>
      <c r="I1046" t="s">
        <v>305</v>
      </c>
      <c r="K1046" t="s">
        <v>44</v>
      </c>
      <c r="N1046" t="s">
        <v>45</v>
      </c>
      <c r="O1046" t="s">
        <v>46</v>
      </c>
      <c r="P1046" t="s">
        <v>45</v>
      </c>
      <c r="Q1046" t="s">
        <v>47</v>
      </c>
      <c r="R1046" t="s">
        <v>44</v>
      </c>
      <c r="S1046">
        <v>0</v>
      </c>
      <c r="W1046" s="3">
        <v>6.8402777777777776E-3</v>
      </c>
      <c r="X1046" t="s">
        <v>2451</v>
      </c>
      <c r="Y1046">
        <v>25</v>
      </c>
      <c r="Z1046">
        <v>0</v>
      </c>
      <c r="AA1046" t="s">
        <v>49</v>
      </c>
      <c r="AB1046">
        <v>0</v>
      </c>
      <c r="AC1046" t="s">
        <v>49</v>
      </c>
      <c r="AD1046">
        <v>0</v>
      </c>
      <c r="AE1046">
        <v>10173702</v>
      </c>
      <c r="AF1046" t="s">
        <v>50</v>
      </c>
      <c r="AG1046" t="s">
        <v>670</v>
      </c>
    </row>
    <row r="1047" spans="1:33" x14ac:dyDescent="0.35">
      <c r="A1047" s="1">
        <v>44880.612500000003</v>
      </c>
      <c r="B1047">
        <v>3138589</v>
      </c>
      <c r="C1047" t="s">
        <v>2233</v>
      </c>
      <c r="D1047" t="s">
        <v>2234</v>
      </c>
      <c r="E1047" s="2">
        <v>41744</v>
      </c>
      <c r="F1047" t="str">
        <f>"9780801470530"</f>
        <v>9780801470530</v>
      </c>
      <c r="G1047" t="str">
        <f>"9780801479151"</f>
        <v>9780801479151</v>
      </c>
      <c r="H1047" t="s">
        <v>90</v>
      </c>
      <c r="I1047">
        <v>378.19828296999998</v>
      </c>
      <c r="J1047" t="s">
        <v>2235</v>
      </c>
      <c r="K1047" t="s">
        <v>44</v>
      </c>
      <c r="N1047" t="s">
        <v>45</v>
      </c>
      <c r="O1047" t="s">
        <v>46</v>
      </c>
      <c r="P1047" t="s">
        <v>177</v>
      </c>
      <c r="Q1047" t="s">
        <v>47</v>
      </c>
      <c r="R1047" t="s">
        <v>55</v>
      </c>
      <c r="S1047">
        <v>0</v>
      </c>
      <c r="W1047" s="3">
        <v>1.5856481481481482E-2</v>
      </c>
      <c r="X1047" t="s">
        <v>2452</v>
      </c>
      <c r="Y1047">
        <v>20</v>
      </c>
      <c r="Z1047">
        <v>0</v>
      </c>
      <c r="AA1047" t="s">
        <v>49</v>
      </c>
      <c r="AB1047">
        <v>0</v>
      </c>
      <c r="AC1047" t="s">
        <v>49</v>
      </c>
      <c r="AD1047">
        <v>0</v>
      </c>
      <c r="AE1047">
        <v>10860425</v>
      </c>
      <c r="AF1047" t="s">
        <v>50</v>
      </c>
      <c r="AG1047" t="s">
        <v>388</v>
      </c>
    </row>
    <row r="1048" spans="1:33" x14ac:dyDescent="0.35">
      <c r="A1048" s="1">
        <v>44880.595833333333</v>
      </c>
      <c r="B1048">
        <v>952003</v>
      </c>
      <c r="C1048" t="s">
        <v>2453</v>
      </c>
      <c r="D1048" t="s">
        <v>769</v>
      </c>
      <c r="E1048" s="2">
        <v>41066</v>
      </c>
      <c r="F1048" t="str">
        <f>"9781439830055"</f>
        <v>9781439830055</v>
      </c>
      <c r="G1048" t="str">
        <f>"9781439830031"</f>
        <v>9781439830031</v>
      </c>
      <c r="H1048" t="s">
        <v>106</v>
      </c>
      <c r="I1048" t="s">
        <v>1049</v>
      </c>
      <c r="J1048" t="s">
        <v>2454</v>
      </c>
      <c r="K1048" t="s">
        <v>44</v>
      </c>
      <c r="N1048" t="s">
        <v>45</v>
      </c>
      <c r="O1048" t="s">
        <v>46</v>
      </c>
      <c r="P1048" t="s">
        <v>45</v>
      </c>
      <c r="Q1048" t="s">
        <v>47</v>
      </c>
      <c r="R1048" t="s">
        <v>44</v>
      </c>
      <c r="S1048">
        <v>0</v>
      </c>
      <c r="W1048" s="3">
        <v>7.7546296296296304E-4</v>
      </c>
      <c r="X1048" t="s">
        <v>2455</v>
      </c>
      <c r="Y1048">
        <v>9</v>
      </c>
      <c r="Z1048">
        <v>0</v>
      </c>
      <c r="AA1048" t="s">
        <v>49</v>
      </c>
      <c r="AB1048">
        <v>0</v>
      </c>
      <c r="AC1048" t="s">
        <v>49</v>
      </c>
      <c r="AD1048">
        <v>0</v>
      </c>
      <c r="AE1048">
        <v>10574375</v>
      </c>
      <c r="AF1048" t="s">
        <v>50</v>
      </c>
      <c r="AG1048" t="s">
        <v>388</v>
      </c>
    </row>
    <row r="1049" spans="1:33" x14ac:dyDescent="0.35">
      <c r="A1049" s="1">
        <v>44880.586805555555</v>
      </c>
      <c r="B1049">
        <v>5667626</v>
      </c>
      <c r="C1049" t="s">
        <v>2456</v>
      </c>
      <c r="D1049" t="s">
        <v>141</v>
      </c>
      <c r="E1049" s="2">
        <v>43496</v>
      </c>
      <c r="F1049" t="str">
        <f>"9781789132502"</f>
        <v>9781789132502</v>
      </c>
      <c r="G1049" t="str">
        <f>"9781789136609"</f>
        <v>9781789136609</v>
      </c>
      <c r="H1049" t="s">
        <v>138</v>
      </c>
      <c r="I1049">
        <v>5.133</v>
      </c>
      <c r="J1049" t="s">
        <v>2457</v>
      </c>
      <c r="K1049" t="s">
        <v>55</v>
      </c>
      <c r="Q1049" t="s">
        <v>47</v>
      </c>
      <c r="R1049" t="s">
        <v>44</v>
      </c>
      <c r="S1049">
        <v>0</v>
      </c>
      <c r="W1049" s="3">
        <v>3.2407407407407406E-4</v>
      </c>
      <c r="X1049" t="s">
        <v>2458</v>
      </c>
      <c r="Y1049">
        <v>9</v>
      </c>
      <c r="Z1049">
        <v>0</v>
      </c>
      <c r="AA1049" t="s">
        <v>49</v>
      </c>
      <c r="AB1049">
        <v>0</v>
      </c>
      <c r="AC1049" t="s">
        <v>49</v>
      </c>
      <c r="AD1049">
        <v>0</v>
      </c>
      <c r="AE1049">
        <v>11651997</v>
      </c>
      <c r="AF1049" t="s">
        <v>50</v>
      </c>
      <c r="AG1049" t="s">
        <v>388</v>
      </c>
    </row>
    <row r="1050" spans="1:33" x14ac:dyDescent="0.35">
      <c r="A1050" s="1">
        <v>44880.584722222222</v>
      </c>
      <c r="B1050">
        <v>1679487</v>
      </c>
      <c r="C1050" t="s">
        <v>2459</v>
      </c>
      <c r="D1050" t="s">
        <v>71</v>
      </c>
      <c r="E1050" s="2">
        <v>40118</v>
      </c>
      <c r="F1050" t="str">
        <f>"9789814271073"</f>
        <v>9789814271073</v>
      </c>
      <c r="G1050" t="str">
        <f>"9789814271066"</f>
        <v>9789814271066</v>
      </c>
      <c r="H1050" t="s">
        <v>365</v>
      </c>
      <c r="I1050">
        <v>6.4</v>
      </c>
      <c r="J1050" t="s">
        <v>2460</v>
      </c>
      <c r="K1050" t="s">
        <v>44</v>
      </c>
      <c r="N1050" t="s">
        <v>45</v>
      </c>
      <c r="O1050" t="s">
        <v>46</v>
      </c>
      <c r="P1050" t="s">
        <v>45</v>
      </c>
      <c r="Q1050" t="s">
        <v>47</v>
      </c>
      <c r="R1050" t="s">
        <v>44</v>
      </c>
      <c r="S1050">
        <v>0</v>
      </c>
      <c r="W1050" s="3">
        <v>8.449074074074075E-4</v>
      </c>
      <c r="X1050" t="s">
        <v>2461</v>
      </c>
      <c r="Y1050">
        <v>9</v>
      </c>
      <c r="Z1050">
        <v>0</v>
      </c>
      <c r="AA1050" t="s">
        <v>49</v>
      </c>
      <c r="AB1050">
        <v>0</v>
      </c>
      <c r="AC1050" t="s">
        <v>49</v>
      </c>
      <c r="AD1050">
        <v>0</v>
      </c>
      <c r="AE1050">
        <v>10422182</v>
      </c>
      <c r="AF1050" t="s">
        <v>50</v>
      </c>
      <c r="AG1050" t="s">
        <v>388</v>
      </c>
    </row>
    <row r="1051" spans="1:33" x14ac:dyDescent="0.35">
      <c r="A1051" s="1">
        <v>44880.575694444444</v>
      </c>
      <c r="B1051">
        <v>1392386</v>
      </c>
      <c r="C1051" t="s">
        <v>2462</v>
      </c>
      <c r="D1051" t="s">
        <v>59</v>
      </c>
      <c r="E1051" s="2">
        <v>41547</v>
      </c>
      <c r="F1051" t="str">
        <f>"9781118747148"</f>
        <v>9781118747148</v>
      </c>
      <c r="G1051" t="str">
        <f>"9781118726228"</f>
        <v>9781118726228</v>
      </c>
      <c r="H1051" t="s">
        <v>60</v>
      </c>
      <c r="I1051">
        <v>658.11</v>
      </c>
      <c r="J1051" t="s">
        <v>2463</v>
      </c>
      <c r="K1051" t="s">
        <v>44</v>
      </c>
      <c r="N1051" t="s">
        <v>45</v>
      </c>
      <c r="O1051" t="s">
        <v>46</v>
      </c>
      <c r="P1051" t="s">
        <v>45</v>
      </c>
      <c r="Q1051" t="s">
        <v>47</v>
      </c>
      <c r="R1051" t="s">
        <v>44</v>
      </c>
      <c r="S1051">
        <v>0</v>
      </c>
      <c r="W1051" s="3">
        <v>2.7939814814814817E-2</v>
      </c>
      <c r="X1051" t="s">
        <v>2464</v>
      </c>
      <c r="Y1051">
        <v>26</v>
      </c>
      <c r="Z1051">
        <v>0</v>
      </c>
      <c r="AA1051" t="s">
        <v>49</v>
      </c>
      <c r="AB1051">
        <v>0</v>
      </c>
      <c r="AC1051" t="s">
        <v>49</v>
      </c>
      <c r="AD1051">
        <v>0</v>
      </c>
      <c r="AE1051">
        <v>10767007</v>
      </c>
      <c r="AF1051" t="s">
        <v>50</v>
      </c>
      <c r="AG1051" t="s">
        <v>122</v>
      </c>
    </row>
    <row r="1052" spans="1:33" x14ac:dyDescent="0.35">
      <c r="A1052" s="1">
        <v>44880.568055555559</v>
      </c>
      <c r="B1052">
        <v>3338641</v>
      </c>
      <c r="C1052" t="s">
        <v>302</v>
      </c>
      <c r="D1052" t="s">
        <v>303</v>
      </c>
      <c r="E1052" s="2">
        <v>39143</v>
      </c>
      <c r="F1052" t="str">
        <f>"9780262282888"</f>
        <v>9780262282888</v>
      </c>
      <c r="G1052" t="str">
        <f>"9780262195577"</f>
        <v>9780262195577</v>
      </c>
      <c r="H1052" t="s">
        <v>304</v>
      </c>
      <c r="I1052" t="s">
        <v>305</v>
      </c>
      <c r="K1052" t="s">
        <v>44</v>
      </c>
      <c r="N1052" t="s">
        <v>45</v>
      </c>
      <c r="O1052" t="s">
        <v>46</v>
      </c>
      <c r="P1052" t="s">
        <v>45</v>
      </c>
      <c r="Q1052" t="s">
        <v>47</v>
      </c>
      <c r="R1052" t="s">
        <v>44</v>
      </c>
      <c r="S1052">
        <v>0</v>
      </c>
      <c r="W1052" s="3">
        <v>7.5925925925925926E-3</v>
      </c>
      <c r="X1052" t="s">
        <v>2465</v>
      </c>
      <c r="Y1052">
        <v>31</v>
      </c>
      <c r="Z1052">
        <v>0</v>
      </c>
      <c r="AA1052" t="s">
        <v>49</v>
      </c>
      <c r="AB1052">
        <v>0</v>
      </c>
      <c r="AC1052" t="s">
        <v>49</v>
      </c>
      <c r="AD1052">
        <v>0</v>
      </c>
      <c r="AE1052">
        <v>10173702</v>
      </c>
      <c r="AF1052" t="s">
        <v>50</v>
      </c>
      <c r="AG1052" t="s">
        <v>670</v>
      </c>
    </row>
    <row r="1053" spans="1:33" x14ac:dyDescent="0.35">
      <c r="A1053" s="1">
        <v>44880.545138888891</v>
      </c>
      <c r="B1053">
        <v>6712467</v>
      </c>
      <c r="C1053" t="s">
        <v>2466</v>
      </c>
      <c r="D1053" t="s">
        <v>59</v>
      </c>
      <c r="E1053" s="2">
        <v>44447</v>
      </c>
      <c r="F1053" t="str">
        <f>"9781119698050"</f>
        <v>9781119698050</v>
      </c>
      <c r="G1053" t="str">
        <f>"9781119697329"</f>
        <v>9781119697329</v>
      </c>
      <c r="H1053" t="s">
        <v>100</v>
      </c>
      <c r="I1053">
        <v>620.11028699999997</v>
      </c>
      <c r="J1053" t="s">
        <v>2467</v>
      </c>
      <c r="K1053" t="s">
        <v>55</v>
      </c>
      <c r="Q1053" t="s">
        <v>47</v>
      </c>
      <c r="R1053" t="s">
        <v>44</v>
      </c>
      <c r="S1053">
        <v>0</v>
      </c>
      <c r="W1053" s="3">
        <v>0</v>
      </c>
      <c r="X1053" t="s">
        <v>49</v>
      </c>
      <c r="Y1053">
        <v>0</v>
      </c>
      <c r="Z1053">
        <v>0</v>
      </c>
      <c r="AA1053" t="s">
        <v>49</v>
      </c>
      <c r="AB1053">
        <v>0</v>
      </c>
      <c r="AC1053" t="s">
        <v>49</v>
      </c>
      <c r="AD1053">
        <v>0</v>
      </c>
      <c r="AE1053">
        <v>-1</v>
      </c>
      <c r="AF1053" t="s">
        <v>63</v>
      </c>
      <c r="AG1053" t="s">
        <v>388</v>
      </c>
    </row>
    <row r="1054" spans="1:33" x14ac:dyDescent="0.35">
      <c r="A1054" s="1">
        <v>44880.529861111114</v>
      </c>
      <c r="B1054">
        <v>6227796</v>
      </c>
      <c r="C1054" t="s">
        <v>2468</v>
      </c>
      <c r="D1054" t="s">
        <v>137</v>
      </c>
      <c r="E1054" s="2">
        <v>44021</v>
      </c>
      <c r="F1054" t="str">
        <f>"9781536178227"</f>
        <v>9781536178227</v>
      </c>
      <c r="G1054" t="str">
        <f>"9781536178210"</f>
        <v>9781536178210</v>
      </c>
      <c r="H1054" t="s">
        <v>77</v>
      </c>
      <c r="I1054">
        <v>617.58059000000003</v>
      </c>
      <c r="J1054" t="s">
        <v>2469</v>
      </c>
      <c r="K1054" t="s">
        <v>55</v>
      </c>
      <c r="Q1054" t="s">
        <v>47</v>
      </c>
      <c r="R1054" t="s">
        <v>44</v>
      </c>
      <c r="S1054">
        <v>0</v>
      </c>
      <c r="W1054" s="3">
        <v>1.1597222222222222E-2</v>
      </c>
      <c r="X1054" t="s">
        <v>2470</v>
      </c>
      <c r="Y1054">
        <v>8</v>
      </c>
      <c r="Z1054">
        <v>0</v>
      </c>
      <c r="AA1054" t="s">
        <v>49</v>
      </c>
      <c r="AB1054">
        <v>0</v>
      </c>
      <c r="AC1054" t="s">
        <v>49</v>
      </c>
      <c r="AD1054">
        <v>0</v>
      </c>
      <c r="AE1054">
        <v>-1</v>
      </c>
      <c r="AF1054" t="s">
        <v>63</v>
      </c>
      <c r="AG1054" t="s">
        <v>670</v>
      </c>
    </row>
    <row r="1055" spans="1:33" x14ac:dyDescent="0.35">
      <c r="A1055" s="1">
        <v>44880.523611111108</v>
      </c>
      <c r="B1055">
        <v>6796746</v>
      </c>
      <c r="C1055" t="s">
        <v>2192</v>
      </c>
      <c r="D1055" t="s">
        <v>2193</v>
      </c>
      <c r="E1055" s="2">
        <v>44505</v>
      </c>
      <c r="F1055" t="str">
        <f>"9781440873898"</f>
        <v>9781440873898</v>
      </c>
      <c r="G1055" t="str">
        <f>"9781440873881"</f>
        <v>9781440873881</v>
      </c>
      <c r="H1055" t="s">
        <v>133</v>
      </c>
      <c r="I1055">
        <v>338.17372999999998</v>
      </c>
      <c r="J1055" t="s">
        <v>2194</v>
      </c>
      <c r="K1055" t="s">
        <v>55</v>
      </c>
      <c r="Q1055" t="s">
        <v>47</v>
      </c>
      <c r="R1055" t="s">
        <v>44</v>
      </c>
      <c r="S1055">
        <v>0</v>
      </c>
      <c r="W1055" s="3">
        <v>2.8587962962962963E-3</v>
      </c>
      <c r="X1055" t="s">
        <v>2471</v>
      </c>
      <c r="Y1055">
        <v>7</v>
      </c>
      <c r="Z1055">
        <v>0</v>
      </c>
      <c r="AA1055" t="s">
        <v>49</v>
      </c>
      <c r="AB1055">
        <v>0</v>
      </c>
      <c r="AC1055" t="s">
        <v>49</v>
      </c>
      <c r="AD1055">
        <v>0</v>
      </c>
      <c r="AE1055">
        <v>-1</v>
      </c>
      <c r="AF1055" t="s">
        <v>50</v>
      </c>
      <c r="AG1055" t="s">
        <v>388</v>
      </c>
    </row>
    <row r="1056" spans="1:33" x14ac:dyDescent="0.35">
      <c r="A1056" s="1">
        <v>44880.499305555553</v>
      </c>
      <c r="B1056">
        <v>6796746</v>
      </c>
      <c r="C1056" t="s">
        <v>2192</v>
      </c>
      <c r="D1056" t="s">
        <v>2193</v>
      </c>
      <c r="E1056" s="2">
        <v>44505</v>
      </c>
      <c r="F1056" t="str">
        <f>"9781440873898"</f>
        <v>9781440873898</v>
      </c>
      <c r="G1056" t="str">
        <f>"9781440873881"</f>
        <v>9781440873881</v>
      </c>
      <c r="H1056" t="s">
        <v>133</v>
      </c>
      <c r="I1056">
        <v>338.17372999999998</v>
      </c>
      <c r="J1056" t="s">
        <v>2194</v>
      </c>
      <c r="K1056" t="s">
        <v>55</v>
      </c>
      <c r="Q1056" t="s">
        <v>47</v>
      </c>
      <c r="R1056" t="s">
        <v>44</v>
      </c>
      <c r="S1056">
        <v>0</v>
      </c>
      <c r="W1056" s="3">
        <v>1.5046296296296297E-4</v>
      </c>
      <c r="X1056" t="s">
        <v>2472</v>
      </c>
      <c r="Y1056">
        <v>2</v>
      </c>
      <c r="Z1056">
        <v>0</v>
      </c>
      <c r="AA1056" t="s">
        <v>49</v>
      </c>
      <c r="AB1056">
        <v>0</v>
      </c>
      <c r="AC1056" t="s">
        <v>49</v>
      </c>
      <c r="AD1056">
        <v>0</v>
      </c>
      <c r="AE1056">
        <v>-1</v>
      </c>
      <c r="AF1056" t="s">
        <v>50</v>
      </c>
      <c r="AG1056" t="s">
        <v>388</v>
      </c>
    </row>
    <row r="1057" spans="1:33" x14ac:dyDescent="0.35">
      <c r="A1057" s="1">
        <v>44880.463888888888</v>
      </c>
      <c r="B1057">
        <v>3408265</v>
      </c>
      <c r="C1057" t="s">
        <v>2473</v>
      </c>
      <c r="D1057" t="s">
        <v>645</v>
      </c>
      <c r="E1057" s="2">
        <v>32660</v>
      </c>
      <c r="F1057" t="str">
        <f>"9780791498989"</f>
        <v>9780791498989</v>
      </c>
      <c r="G1057" t="str">
        <f>"9780887068843"</f>
        <v>9780887068843</v>
      </c>
      <c r="H1057" t="s">
        <v>162</v>
      </c>
      <c r="I1057" t="s">
        <v>2474</v>
      </c>
      <c r="J1057" t="s">
        <v>2475</v>
      </c>
      <c r="K1057" t="s">
        <v>44</v>
      </c>
      <c r="N1057" t="s">
        <v>45</v>
      </c>
      <c r="O1057" t="s">
        <v>46</v>
      </c>
      <c r="P1057" t="s">
        <v>45</v>
      </c>
      <c r="Q1057" t="s">
        <v>47</v>
      </c>
      <c r="R1057" t="s">
        <v>44</v>
      </c>
      <c r="S1057">
        <v>0</v>
      </c>
      <c r="W1057" s="3">
        <v>4.6412037037037038E-3</v>
      </c>
      <c r="X1057" t="s">
        <v>2476</v>
      </c>
      <c r="Y1057">
        <v>8</v>
      </c>
      <c r="Z1057">
        <v>0</v>
      </c>
      <c r="AA1057" t="s">
        <v>49</v>
      </c>
      <c r="AB1057">
        <v>0</v>
      </c>
      <c r="AC1057" t="s">
        <v>49</v>
      </c>
      <c r="AD1057">
        <v>0</v>
      </c>
      <c r="AE1057">
        <v>10588815</v>
      </c>
      <c r="AF1057" t="s">
        <v>50</v>
      </c>
      <c r="AG1057" t="s">
        <v>388</v>
      </c>
    </row>
    <row r="1058" spans="1:33" x14ac:dyDescent="0.35">
      <c r="A1058" s="1">
        <v>44880.460416666669</v>
      </c>
      <c r="B1058">
        <v>5904511</v>
      </c>
      <c r="C1058" t="s">
        <v>2477</v>
      </c>
      <c r="D1058" t="s">
        <v>2478</v>
      </c>
      <c r="E1058" s="2">
        <v>43711</v>
      </c>
      <c r="F1058" t="str">
        <f>"9781510754218"</f>
        <v>9781510754218</v>
      </c>
      <c r="G1058" t="str">
        <f>"9781510754201"</f>
        <v>9781510754201</v>
      </c>
      <c r="H1058" t="s">
        <v>90</v>
      </c>
      <c r="I1058">
        <v>378.16640000000001</v>
      </c>
      <c r="J1058" t="s">
        <v>2479</v>
      </c>
      <c r="K1058" t="s">
        <v>55</v>
      </c>
      <c r="Q1058" t="s">
        <v>47</v>
      </c>
      <c r="R1058" t="s">
        <v>44</v>
      </c>
      <c r="S1058">
        <v>0</v>
      </c>
      <c r="W1058" s="3">
        <v>4.340277777777778E-3</v>
      </c>
      <c r="X1058" t="s">
        <v>2480</v>
      </c>
      <c r="Y1058">
        <v>7</v>
      </c>
      <c r="Z1058">
        <v>0</v>
      </c>
      <c r="AA1058" t="s">
        <v>49</v>
      </c>
      <c r="AB1058">
        <v>0</v>
      </c>
      <c r="AC1058" t="s">
        <v>49</v>
      </c>
      <c r="AD1058">
        <v>0</v>
      </c>
      <c r="AE1058">
        <v>-1</v>
      </c>
      <c r="AF1058" t="s">
        <v>50</v>
      </c>
      <c r="AG1058" t="s">
        <v>216</v>
      </c>
    </row>
    <row r="1059" spans="1:33" x14ac:dyDescent="0.35">
      <c r="A1059" s="1">
        <v>44880.420138888891</v>
      </c>
      <c r="B1059">
        <v>1624262</v>
      </c>
      <c r="C1059" t="s">
        <v>2481</v>
      </c>
      <c r="D1059" t="s">
        <v>59</v>
      </c>
      <c r="E1059" s="2">
        <v>41687</v>
      </c>
      <c r="F1059" t="str">
        <f>"9781118904886"</f>
        <v>9781118904886</v>
      </c>
      <c r="G1059" t="str">
        <f>"9781118208526"</f>
        <v>9781118208526</v>
      </c>
      <c r="H1059" t="s">
        <v>290</v>
      </c>
      <c r="I1059">
        <v>628.16700000000003</v>
      </c>
      <c r="J1059" t="s">
        <v>2482</v>
      </c>
      <c r="K1059" t="s">
        <v>44</v>
      </c>
      <c r="N1059" t="s">
        <v>45</v>
      </c>
      <c r="O1059" t="s">
        <v>46</v>
      </c>
      <c r="P1059" t="s">
        <v>45</v>
      </c>
      <c r="Q1059" t="s">
        <v>47</v>
      </c>
      <c r="R1059" t="s">
        <v>44</v>
      </c>
      <c r="S1059">
        <v>0</v>
      </c>
      <c r="W1059" s="3">
        <v>3.7268518518518514E-3</v>
      </c>
      <c r="X1059" t="s">
        <v>2483</v>
      </c>
      <c r="Y1059">
        <v>27</v>
      </c>
      <c r="Z1059">
        <v>2</v>
      </c>
      <c r="AA1059" t="s">
        <v>2484</v>
      </c>
      <c r="AB1059">
        <v>15</v>
      </c>
      <c r="AC1059" t="s">
        <v>49</v>
      </c>
      <c r="AD1059">
        <v>0</v>
      </c>
      <c r="AE1059">
        <v>10837553</v>
      </c>
      <c r="AF1059" t="s">
        <v>50</v>
      </c>
      <c r="AG1059" t="s">
        <v>264</v>
      </c>
    </row>
    <row r="1060" spans="1:33" x14ac:dyDescent="0.35">
      <c r="A1060" s="1">
        <v>44880.406944444447</v>
      </c>
      <c r="B1060">
        <v>4039892</v>
      </c>
      <c r="C1060" t="s">
        <v>2485</v>
      </c>
      <c r="D1060" t="s">
        <v>59</v>
      </c>
      <c r="E1060" s="2">
        <v>42192</v>
      </c>
      <c r="F1060" t="str">
        <f>"9781118922835"</f>
        <v>9781118922835</v>
      </c>
      <c r="G1060" t="str">
        <f>"9781118711118"</f>
        <v>9781118711118</v>
      </c>
      <c r="H1060" t="s">
        <v>789</v>
      </c>
      <c r="I1060">
        <v>636.08870000000002</v>
      </c>
      <c r="J1060" t="s">
        <v>2486</v>
      </c>
      <c r="K1060" t="s">
        <v>44</v>
      </c>
      <c r="N1060" t="s">
        <v>45</v>
      </c>
      <c r="O1060" t="s">
        <v>46</v>
      </c>
      <c r="P1060" t="s">
        <v>45</v>
      </c>
      <c r="Q1060" t="s">
        <v>47</v>
      </c>
      <c r="R1060" t="s">
        <v>44</v>
      </c>
      <c r="S1060">
        <v>0</v>
      </c>
      <c r="W1060" s="3">
        <v>2.2685185185185182E-3</v>
      </c>
      <c r="X1060" t="s">
        <v>2487</v>
      </c>
      <c r="Y1060">
        <v>12</v>
      </c>
      <c r="Z1060">
        <v>0</v>
      </c>
      <c r="AA1060" t="s">
        <v>49</v>
      </c>
      <c r="AB1060">
        <v>0</v>
      </c>
      <c r="AC1060" t="s">
        <v>49</v>
      </c>
      <c r="AD1060">
        <v>0</v>
      </c>
      <c r="AE1060">
        <v>11113285</v>
      </c>
      <c r="AF1060" t="s">
        <v>50</v>
      </c>
      <c r="AG1060" t="s">
        <v>670</v>
      </c>
    </row>
    <row r="1061" spans="1:33" x14ac:dyDescent="0.35">
      <c r="A1061" s="1">
        <v>44880.397222222222</v>
      </c>
      <c r="B1061">
        <v>217879</v>
      </c>
      <c r="C1061" t="s">
        <v>2488</v>
      </c>
      <c r="D1061" t="s">
        <v>502</v>
      </c>
      <c r="E1061" s="2">
        <v>37602</v>
      </c>
      <c r="F1061" t="str">
        <f>"9781139147934"</f>
        <v>9781139147934</v>
      </c>
      <c r="G1061" t="str">
        <f>"9780521811972"</f>
        <v>9780521811972</v>
      </c>
      <c r="H1061" t="s">
        <v>2489</v>
      </c>
      <c r="I1061" t="s">
        <v>2490</v>
      </c>
      <c r="J1061" t="s">
        <v>2491</v>
      </c>
      <c r="K1061" t="s">
        <v>44</v>
      </c>
      <c r="N1061" t="s">
        <v>45</v>
      </c>
      <c r="O1061" t="s">
        <v>46</v>
      </c>
      <c r="P1061" t="s">
        <v>45</v>
      </c>
      <c r="Q1061" t="s">
        <v>47</v>
      </c>
      <c r="R1061" t="s">
        <v>44</v>
      </c>
      <c r="S1061">
        <v>0</v>
      </c>
      <c r="W1061" s="3">
        <v>9.2592592592592585E-4</v>
      </c>
      <c r="X1061" t="s">
        <v>2492</v>
      </c>
      <c r="Y1061">
        <v>8</v>
      </c>
      <c r="Z1061">
        <v>0</v>
      </c>
      <c r="AA1061" t="s">
        <v>49</v>
      </c>
      <c r="AB1061">
        <v>0</v>
      </c>
      <c r="AC1061" t="s">
        <v>49</v>
      </c>
      <c r="AD1061">
        <v>0</v>
      </c>
      <c r="AE1061">
        <v>10069985</v>
      </c>
      <c r="AF1061" t="s">
        <v>50</v>
      </c>
      <c r="AG1061" t="s">
        <v>1309</v>
      </c>
    </row>
    <row r="1062" spans="1:33" x14ac:dyDescent="0.35">
      <c r="A1062" s="1">
        <v>44880.365972222222</v>
      </c>
      <c r="B1062">
        <v>3019201</v>
      </c>
      <c r="C1062" t="s">
        <v>2493</v>
      </c>
      <c r="D1062" t="s">
        <v>137</v>
      </c>
      <c r="E1062" s="2">
        <v>40743</v>
      </c>
      <c r="F1062" t="str">
        <f>"9781612091907"</f>
        <v>9781612091907</v>
      </c>
      <c r="G1062" t="str">
        <f>"9781611224627"</f>
        <v>9781611224627</v>
      </c>
      <c r="H1062" t="s">
        <v>525</v>
      </c>
      <c r="I1062">
        <v>613.70000000000005</v>
      </c>
      <c r="J1062" t="s">
        <v>2494</v>
      </c>
      <c r="K1062" t="s">
        <v>44</v>
      </c>
      <c r="N1062" t="s">
        <v>45</v>
      </c>
      <c r="O1062" t="s">
        <v>46</v>
      </c>
      <c r="P1062" t="s">
        <v>177</v>
      </c>
      <c r="Q1062" t="s">
        <v>47</v>
      </c>
      <c r="R1062" t="s">
        <v>55</v>
      </c>
      <c r="S1062">
        <v>0</v>
      </c>
      <c r="W1062" s="3">
        <v>1.0416666666666667E-4</v>
      </c>
      <c r="X1062" t="s">
        <v>205</v>
      </c>
      <c r="Y1062">
        <v>2</v>
      </c>
      <c r="Z1062">
        <v>0</v>
      </c>
      <c r="AA1062" t="s">
        <v>49</v>
      </c>
      <c r="AB1062">
        <v>0</v>
      </c>
      <c r="AC1062" t="s">
        <v>49</v>
      </c>
      <c r="AD1062">
        <v>0</v>
      </c>
      <c r="AE1062">
        <v>10663008</v>
      </c>
      <c r="AF1062" t="s">
        <v>50</v>
      </c>
      <c r="AG1062" t="s">
        <v>388</v>
      </c>
    </row>
    <row r="1063" spans="1:33" x14ac:dyDescent="0.35">
      <c r="A1063" s="1">
        <v>44880.365277777775</v>
      </c>
      <c r="B1063">
        <v>279494</v>
      </c>
      <c r="C1063" t="s">
        <v>1333</v>
      </c>
      <c r="D1063" t="s">
        <v>125</v>
      </c>
      <c r="E1063" s="2">
        <v>37280</v>
      </c>
      <c r="F1063" t="str">
        <f>"9780198032953"</f>
        <v>9780198032953</v>
      </c>
      <c r="G1063" t="str">
        <f>"9780195144208"</f>
        <v>9780195144208</v>
      </c>
      <c r="H1063" t="s">
        <v>667</v>
      </c>
      <c r="I1063" t="s">
        <v>1334</v>
      </c>
      <c r="J1063" t="s">
        <v>1335</v>
      </c>
      <c r="K1063" t="s">
        <v>44</v>
      </c>
      <c r="N1063" t="s">
        <v>45</v>
      </c>
      <c r="O1063" t="s">
        <v>46</v>
      </c>
      <c r="P1063" t="s">
        <v>45</v>
      </c>
      <c r="Q1063" t="s">
        <v>47</v>
      </c>
      <c r="R1063" t="s">
        <v>44</v>
      </c>
      <c r="S1063">
        <v>0</v>
      </c>
      <c r="W1063" s="3">
        <v>8.1018518518518516E-4</v>
      </c>
      <c r="X1063" t="s">
        <v>2495</v>
      </c>
      <c r="Y1063">
        <v>7</v>
      </c>
      <c r="Z1063">
        <v>1</v>
      </c>
      <c r="AA1063" t="s">
        <v>1855</v>
      </c>
      <c r="AB1063">
        <v>29</v>
      </c>
      <c r="AC1063" t="s">
        <v>49</v>
      </c>
      <c r="AD1063">
        <v>0</v>
      </c>
      <c r="AE1063">
        <v>11303309</v>
      </c>
      <c r="AF1063" t="s">
        <v>50</v>
      </c>
      <c r="AG1063" t="s">
        <v>670</v>
      </c>
    </row>
    <row r="1064" spans="1:33" x14ac:dyDescent="0.35">
      <c r="A1064" s="1">
        <v>44880.05</v>
      </c>
      <c r="B1064">
        <v>589949</v>
      </c>
      <c r="C1064" t="s">
        <v>2388</v>
      </c>
      <c r="D1064" t="s">
        <v>76</v>
      </c>
      <c r="E1064" s="2">
        <v>40402</v>
      </c>
      <c r="F1064" t="str">
        <f>"9781420086034"</f>
        <v>9781420086034</v>
      </c>
      <c r="G1064" t="str">
        <f>"9781420086027"</f>
        <v>9781420086027</v>
      </c>
      <c r="H1064" t="s">
        <v>60</v>
      </c>
      <c r="I1064">
        <v>658.5</v>
      </c>
      <c r="J1064" t="s">
        <v>2389</v>
      </c>
      <c r="K1064" t="s">
        <v>44</v>
      </c>
      <c r="N1064" t="s">
        <v>45</v>
      </c>
      <c r="O1064" t="s">
        <v>46</v>
      </c>
      <c r="P1064" t="s">
        <v>45</v>
      </c>
      <c r="Q1064" t="s">
        <v>47</v>
      </c>
      <c r="R1064" t="s">
        <v>44</v>
      </c>
      <c r="S1064">
        <v>0</v>
      </c>
      <c r="W1064" s="3">
        <v>4.6296296296296294E-5</v>
      </c>
      <c r="X1064" t="s">
        <v>2390</v>
      </c>
      <c r="Y1064">
        <v>1</v>
      </c>
      <c r="Z1064">
        <v>0</v>
      </c>
      <c r="AA1064" t="s">
        <v>49</v>
      </c>
      <c r="AB1064">
        <v>0</v>
      </c>
      <c r="AC1064" t="s">
        <v>49</v>
      </c>
      <c r="AD1064">
        <v>0</v>
      </c>
      <c r="AE1064">
        <v>10419911</v>
      </c>
      <c r="AF1064" t="s">
        <v>50</v>
      </c>
      <c r="AG1064" t="s">
        <v>670</v>
      </c>
    </row>
    <row r="1065" spans="1:33" x14ac:dyDescent="0.35">
      <c r="A1065" s="1">
        <v>44880.047222222223</v>
      </c>
      <c r="B1065">
        <v>674681</v>
      </c>
      <c r="C1065" t="s">
        <v>2496</v>
      </c>
      <c r="D1065" t="s">
        <v>502</v>
      </c>
      <c r="E1065" s="2">
        <v>40612</v>
      </c>
      <c r="F1065" t="str">
        <f>"9781139045032"</f>
        <v>9781139045032</v>
      </c>
      <c r="G1065" t="str">
        <f>"9780521865012"</f>
        <v>9780521865012</v>
      </c>
      <c r="H1065" t="s">
        <v>2497</v>
      </c>
      <c r="I1065" t="s">
        <v>2498</v>
      </c>
      <c r="J1065" t="s">
        <v>2499</v>
      </c>
      <c r="K1065" t="s">
        <v>55</v>
      </c>
      <c r="N1065" t="s">
        <v>45</v>
      </c>
      <c r="O1065" t="s">
        <v>46</v>
      </c>
      <c r="P1065" t="s">
        <v>45</v>
      </c>
      <c r="Q1065" t="s">
        <v>47</v>
      </c>
      <c r="R1065" t="s">
        <v>44</v>
      </c>
      <c r="S1065">
        <v>0</v>
      </c>
      <c r="W1065" s="3">
        <v>4.6296296296296294E-5</v>
      </c>
      <c r="X1065" t="s">
        <v>113</v>
      </c>
      <c r="Y1065">
        <v>2</v>
      </c>
      <c r="Z1065">
        <v>0</v>
      </c>
      <c r="AA1065" t="s">
        <v>49</v>
      </c>
      <c r="AB1065">
        <v>0</v>
      </c>
      <c r="AC1065" t="s">
        <v>49</v>
      </c>
      <c r="AD1065">
        <v>0</v>
      </c>
      <c r="AE1065">
        <v>10460494</v>
      </c>
      <c r="AF1065" t="s">
        <v>50</v>
      </c>
      <c r="AG1065" t="s">
        <v>216</v>
      </c>
    </row>
    <row r="1066" spans="1:33" x14ac:dyDescent="0.35">
      <c r="A1066" s="1">
        <v>44880.034722222219</v>
      </c>
      <c r="B1066">
        <v>253515</v>
      </c>
      <c r="C1066" t="s">
        <v>2500</v>
      </c>
      <c r="D1066" t="s">
        <v>473</v>
      </c>
      <c r="E1066" s="2">
        <v>37257</v>
      </c>
      <c r="F1066" t="str">
        <f>"9789047401568"</f>
        <v>9789047401568</v>
      </c>
      <c r="G1066" t="str">
        <f>"9789004125896"</f>
        <v>9789004125896</v>
      </c>
      <c r="H1066" t="s">
        <v>162</v>
      </c>
      <c r="I1066" t="s">
        <v>2501</v>
      </c>
      <c r="J1066" t="s">
        <v>2502</v>
      </c>
      <c r="K1066" t="s">
        <v>44</v>
      </c>
      <c r="N1066" t="s">
        <v>45</v>
      </c>
      <c r="O1066" t="s">
        <v>46</v>
      </c>
      <c r="P1066" t="s">
        <v>45</v>
      </c>
      <c r="Q1066" t="s">
        <v>47</v>
      </c>
      <c r="R1066" t="s">
        <v>44</v>
      </c>
      <c r="S1066">
        <v>0</v>
      </c>
      <c r="W1066" s="3">
        <v>8.2870370370370372E-3</v>
      </c>
      <c r="X1066" t="s">
        <v>2503</v>
      </c>
      <c r="Y1066">
        <v>19</v>
      </c>
      <c r="Z1066">
        <v>0</v>
      </c>
      <c r="AA1066" t="s">
        <v>49</v>
      </c>
      <c r="AB1066">
        <v>0</v>
      </c>
      <c r="AC1066" t="s">
        <v>49</v>
      </c>
      <c r="AD1066">
        <v>0</v>
      </c>
      <c r="AE1066">
        <v>10090603</v>
      </c>
      <c r="AF1066" t="s">
        <v>50</v>
      </c>
      <c r="AG1066" t="s">
        <v>670</v>
      </c>
    </row>
    <row r="1067" spans="1:33" x14ac:dyDescent="0.35">
      <c r="A1067" s="1">
        <v>44880.021527777775</v>
      </c>
      <c r="B1067">
        <v>674681</v>
      </c>
      <c r="C1067" t="s">
        <v>2496</v>
      </c>
      <c r="D1067" t="s">
        <v>502</v>
      </c>
      <c r="E1067" s="2">
        <v>40612</v>
      </c>
      <c r="F1067" t="str">
        <f>"9781139045032"</f>
        <v>9781139045032</v>
      </c>
      <c r="G1067" t="str">
        <f>"9780521865012"</f>
        <v>9780521865012</v>
      </c>
      <c r="H1067" t="s">
        <v>2497</v>
      </c>
      <c r="I1067" t="s">
        <v>2498</v>
      </c>
      <c r="J1067" t="s">
        <v>2499</v>
      </c>
      <c r="K1067" t="s">
        <v>55</v>
      </c>
      <c r="N1067" t="s">
        <v>45</v>
      </c>
      <c r="O1067" t="s">
        <v>46</v>
      </c>
      <c r="P1067" t="s">
        <v>45</v>
      </c>
      <c r="Q1067" t="s">
        <v>47</v>
      </c>
      <c r="R1067" t="s">
        <v>44</v>
      </c>
      <c r="S1067">
        <v>0</v>
      </c>
      <c r="W1067" s="3">
        <v>6.9444444444444444E-5</v>
      </c>
      <c r="X1067" t="s">
        <v>113</v>
      </c>
      <c r="Y1067">
        <v>2</v>
      </c>
      <c r="Z1067">
        <v>0</v>
      </c>
      <c r="AA1067" t="s">
        <v>49</v>
      </c>
      <c r="AB1067">
        <v>0</v>
      </c>
      <c r="AC1067" t="s">
        <v>49</v>
      </c>
      <c r="AD1067">
        <v>0</v>
      </c>
      <c r="AE1067">
        <v>10460494</v>
      </c>
      <c r="AF1067" t="s">
        <v>50</v>
      </c>
      <c r="AG1067" t="s">
        <v>216</v>
      </c>
    </row>
    <row r="1068" spans="1:33" x14ac:dyDescent="0.35">
      <c r="A1068" s="1">
        <v>44879.98333333333</v>
      </c>
      <c r="B1068">
        <v>3018089</v>
      </c>
      <c r="C1068" t="s">
        <v>1418</v>
      </c>
      <c r="D1068" t="s">
        <v>137</v>
      </c>
      <c r="E1068" s="2">
        <v>40513</v>
      </c>
      <c r="F1068" t="str">
        <f>"9781617283345"</f>
        <v>9781617283345</v>
      </c>
      <c r="G1068" t="str">
        <f>"9781616689919"</f>
        <v>9781616689919</v>
      </c>
      <c r="H1068" t="s">
        <v>77</v>
      </c>
      <c r="I1068" t="s">
        <v>1419</v>
      </c>
      <c r="J1068" t="s">
        <v>1420</v>
      </c>
      <c r="K1068" t="s">
        <v>44</v>
      </c>
      <c r="N1068" t="s">
        <v>45</v>
      </c>
      <c r="O1068" t="s">
        <v>46</v>
      </c>
      <c r="P1068" t="s">
        <v>177</v>
      </c>
      <c r="Q1068" t="s">
        <v>47</v>
      </c>
      <c r="R1068" t="s">
        <v>55</v>
      </c>
      <c r="S1068">
        <v>0</v>
      </c>
      <c r="W1068" s="3">
        <v>9.6064814814814808E-4</v>
      </c>
      <c r="X1068" t="s">
        <v>2504</v>
      </c>
      <c r="Y1068">
        <v>12</v>
      </c>
      <c r="Z1068">
        <v>0</v>
      </c>
      <c r="AA1068" t="s">
        <v>49</v>
      </c>
      <c r="AB1068">
        <v>0</v>
      </c>
      <c r="AC1068" t="s">
        <v>49</v>
      </c>
      <c r="AD1068">
        <v>0</v>
      </c>
      <c r="AE1068">
        <v>10659011</v>
      </c>
      <c r="AF1068" t="s">
        <v>50</v>
      </c>
      <c r="AG1068" t="s">
        <v>1309</v>
      </c>
    </row>
    <row r="1069" spans="1:33" x14ac:dyDescent="0.35">
      <c r="A1069" s="1">
        <v>44879.978472222225</v>
      </c>
      <c r="B1069">
        <v>6796746</v>
      </c>
      <c r="C1069" t="s">
        <v>2192</v>
      </c>
      <c r="D1069" t="s">
        <v>2193</v>
      </c>
      <c r="E1069" s="2">
        <v>44505</v>
      </c>
      <c r="F1069" t="str">
        <f>"9781440873898"</f>
        <v>9781440873898</v>
      </c>
      <c r="G1069" t="str">
        <f>"9781440873881"</f>
        <v>9781440873881</v>
      </c>
      <c r="H1069" t="s">
        <v>133</v>
      </c>
      <c r="I1069">
        <v>338.17372999999998</v>
      </c>
      <c r="J1069" t="s">
        <v>2194</v>
      </c>
      <c r="K1069" t="s">
        <v>55</v>
      </c>
      <c r="Q1069" t="s">
        <v>47</v>
      </c>
      <c r="R1069" t="s">
        <v>44</v>
      </c>
      <c r="S1069">
        <v>0</v>
      </c>
      <c r="W1069" s="3">
        <v>2.4537037037037036E-3</v>
      </c>
      <c r="X1069" t="s">
        <v>2505</v>
      </c>
      <c r="Y1069">
        <v>11</v>
      </c>
      <c r="Z1069">
        <v>0</v>
      </c>
      <c r="AA1069" t="s">
        <v>49</v>
      </c>
      <c r="AB1069">
        <v>0</v>
      </c>
      <c r="AC1069" t="s">
        <v>49</v>
      </c>
      <c r="AD1069">
        <v>0</v>
      </c>
      <c r="AE1069">
        <v>-1</v>
      </c>
      <c r="AF1069" t="s">
        <v>50</v>
      </c>
      <c r="AG1069" t="s">
        <v>388</v>
      </c>
    </row>
    <row r="1070" spans="1:33" x14ac:dyDescent="0.35">
      <c r="A1070" s="1">
        <v>44879.931944444441</v>
      </c>
      <c r="B1070">
        <v>967997</v>
      </c>
      <c r="C1070" t="s">
        <v>2506</v>
      </c>
      <c r="D1070" t="s">
        <v>76</v>
      </c>
      <c r="E1070" s="2">
        <v>41110</v>
      </c>
      <c r="F1070" t="str">
        <f>"9781439854013"</f>
        <v>9781439854013</v>
      </c>
      <c r="G1070" t="str">
        <f>"9781439854006"</f>
        <v>9781439854006</v>
      </c>
      <c r="H1070" t="s">
        <v>261</v>
      </c>
      <c r="I1070">
        <v>628.1</v>
      </c>
      <c r="J1070" t="s">
        <v>2507</v>
      </c>
      <c r="K1070" t="s">
        <v>44</v>
      </c>
      <c r="N1070" t="s">
        <v>45</v>
      </c>
      <c r="O1070" t="s">
        <v>46</v>
      </c>
      <c r="P1070" t="s">
        <v>45</v>
      </c>
      <c r="Q1070" t="s">
        <v>47</v>
      </c>
      <c r="R1070" t="s">
        <v>44</v>
      </c>
      <c r="S1070">
        <v>0</v>
      </c>
      <c r="W1070" s="3">
        <v>5.7870370370370366E-5</v>
      </c>
      <c r="X1070" t="s">
        <v>121</v>
      </c>
      <c r="Y1070">
        <v>1</v>
      </c>
      <c r="Z1070">
        <v>0</v>
      </c>
      <c r="AA1070" t="s">
        <v>49</v>
      </c>
      <c r="AB1070">
        <v>0</v>
      </c>
      <c r="AC1070" t="s">
        <v>49</v>
      </c>
      <c r="AD1070">
        <v>0</v>
      </c>
      <c r="AE1070">
        <v>10579679</v>
      </c>
      <c r="AF1070" t="s">
        <v>50</v>
      </c>
      <c r="AG1070" t="s">
        <v>216</v>
      </c>
    </row>
    <row r="1071" spans="1:33" x14ac:dyDescent="0.35">
      <c r="A1071" s="1">
        <v>44879.897222222222</v>
      </c>
      <c r="B1071">
        <v>253515</v>
      </c>
      <c r="C1071" t="s">
        <v>2500</v>
      </c>
      <c r="D1071" t="s">
        <v>473</v>
      </c>
      <c r="E1071" s="2">
        <v>37257</v>
      </c>
      <c r="F1071" t="str">
        <f>"9789047401568"</f>
        <v>9789047401568</v>
      </c>
      <c r="G1071" t="str">
        <f>"9789004125896"</f>
        <v>9789004125896</v>
      </c>
      <c r="H1071" t="s">
        <v>162</v>
      </c>
      <c r="I1071" t="s">
        <v>2501</v>
      </c>
      <c r="J1071" t="s">
        <v>2502</v>
      </c>
      <c r="K1071" t="s">
        <v>44</v>
      </c>
      <c r="N1071" t="s">
        <v>45</v>
      </c>
      <c r="O1071" t="s">
        <v>46</v>
      </c>
      <c r="P1071" t="s">
        <v>45</v>
      </c>
      <c r="Q1071" t="s">
        <v>47</v>
      </c>
      <c r="R1071" t="s">
        <v>44</v>
      </c>
      <c r="S1071">
        <v>0</v>
      </c>
      <c r="W1071" s="3">
        <v>1.5046296296296297E-4</v>
      </c>
      <c r="X1071" t="s">
        <v>196</v>
      </c>
      <c r="Y1071">
        <v>2</v>
      </c>
      <c r="Z1071">
        <v>0</v>
      </c>
      <c r="AA1071" t="s">
        <v>49</v>
      </c>
      <c r="AB1071">
        <v>0</v>
      </c>
      <c r="AC1071" t="s">
        <v>49</v>
      </c>
      <c r="AD1071">
        <v>0</v>
      </c>
      <c r="AE1071">
        <v>10090603</v>
      </c>
      <c r="AF1071" t="s">
        <v>50</v>
      </c>
      <c r="AG1071" t="s">
        <v>670</v>
      </c>
    </row>
    <row r="1072" spans="1:33" x14ac:dyDescent="0.35">
      <c r="A1072" s="1">
        <v>44879.882638888892</v>
      </c>
      <c r="B1072">
        <v>5996888</v>
      </c>
      <c r="C1072" t="s">
        <v>2508</v>
      </c>
      <c r="D1072" t="s">
        <v>59</v>
      </c>
      <c r="E1072" s="2">
        <v>43871</v>
      </c>
      <c r="F1072" t="str">
        <f>"9781119562276"</f>
        <v>9781119562276</v>
      </c>
      <c r="G1072" t="str">
        <f>"9781119562252"</f>
        <v>9781119562252</v>
      </c>
      <c r="H1072" t="s">
        <v>2509</v>
      </c>
      <c r="I1072">
        <v>621.38402856309995</v>
      </c>
      <c r="J1072" t="s">
        <v>2510</v>
      </c>
      <c r="K1072" t="s">
        <v>55</v>
      </c>
      <c r="N1072" t="s">
        <v>45</v>
      </c>
      <c r="O1072" t="s">
        <v>46</v>
      </c>
      <c r="P1072" t="s">
        <v>45</v>
      </c>
      <c r="Q1072" t="s">
        <v>47</v>
      </c>
      <c r="R1072" t="s">
        <v>44</v>
      </c>
      <c r="S1072">
        <v>0</v>
      </c>
      <c r="W1072" s="3">
        <v>0</v>
      </c>
      <c r="X1072" t="s">
        <v>49</v>
      </c>
      <c r="Y1072">
        <v>0</v>
      </c>
      <c r="Z1072">
        <v>1</v>
      </c>
      <c r="AA1072" t="s">
        <v>2511</v>
      </c>
      <c r="AB1072">
        <v>6</v>
      </c>
      <c r="AC1072" t="s">
        <v>49</v>
      </c>
      <c r="AD1072">
        <v>0</v>
      </c>
      <c r="AE1072">
        <v>-1</v>
      </c>
      <c r="AF1072" t="s">
        <v>50</v>
      </c>
      <c r="AG1072" t="s">
        <v>388</v>
      </c>
    </row>
    <row r="1073" spans="1:33" x14ac:dyDescent="0.35">
      <c r="A1073" s="1">
        <v>44879.861805555556</v>
      </c>
      <c r="B1073">
        <v>5979624</v>
      </c>
      <c r="C1073" t="s">
        <v>843</v>
      </c>
      <c r="D1073" t="s">
        <v>844</v>
      </c>
      <c r="E1073" s="2">
        <v>43798</v>
      </c>
      <c r="F1073" t="str">
        <f>"9781789736878"</f>
        <v>9781789736878</v>
      </c>
      <c r="G1073" t="str">
        <f>"9781789736908"</f>
        <v>9781789736908</v>
      </c>
      <c r="H1073" t="s">
        <v>60</v>
      </c>
      <c r="I1073">
        <v>658.40129999999999</v>
      </c>
      <c r="J1073" t="s">
        <v>845</v>
      </c>
      <c r="K1073" t="s">
        <v>44</v>
      </c>
      <c r="N1073" t="s">
        <v>45</v>
      </c>
      <c r="O1073" t="s">
        <v>46</v>
      </c>
      <c r="P1073" t="s">
        <v>45</v>
      </c>
      <c r="Q1073" t="s">
        <v>47</v>
      </c>
      <c r="R1073" t="s">
        <v>44</v>
      </c>
      <c r="S1073">
        <v>0</v>
      </c>
      <c r="W1073" s="3">
        <v>1.3541666666666667E-3</v>
      </c>
      <c r="X1073" t="s">
        <v>2512</v>
      </c>
      <c r="Y1073">
        <v>19</v>
      </c>
      <c r="Z1073">
        <v>0</v>
      </c>
      <c r="AA1073" t="s">
        <v>49</v>
      </c>
      <c r="AB1073">
        <v>0</v>
      </c>
      <c r="AC1073" t="s">
        <v>49</v>
      </c>
      <c r="AD1073">
        <v>0</v>
      </c>
      <c r="AE1073">
        <v>-1</v>
      </c>
      <c r="AF1073" t="s">
        <v>50</v>
      </c>
      <c r="AG1073" t="s">
        <v>216</v>
      </c>
    </row>
    <row r="1074" spans="1:33" x14ac:dyDescent="0.35">
      <c r="A1074" s="1">
        <v>44879.85833333333</v>
      </c>
      <c r="B1074">
        <v>1337871</v>
      </c>
      <c r="C1074" t="s">
        <v>2513</v>
      </c>
      <c r="D1074" t="s">
        <v>2150</v>
      </c>
      <c r="E1074" s="2">
        <v>41821</v>
      </c>
      <c r="F1074" t="str">
        <f>"9781617051197"</f>
        <v>9781617051197</v>
      </c>
      <c r="G1074" t="str">
        <f>"9781936287703"</f>
        <v>9781936287703</v>
      </c>
      <c r="H1074" t="s">
        <v>77</v>
      </c>
      <c r="I1074" t="s">
        <v>2514</v>
      </c>
      <c r="J1074" t="s">
        <v>2515</v>
      </c>
      <c r="K1074" t="s">
        <v>44</v>
      </c>
      <c r="N1074" t="s">
        <v>45</v>
      </c>
      <c r="O1074" t="s">
        <v>46</v>
      </c>
      <c r="P1074" t="s">
        <v>45</v>
      </c>
      <c r="Q1074" t="s">
        <v>47</v>
      </c>
      <c r="R1074" t="s">
        <v>44</v>
      </c>
      <c r="S1074">
        <v>0</v>
      </c>
      <c r="W1074" s="3">
        <v>3.8541666666666668E-3</v>
      </c>
      <c r="X1074" t="s">
        <v>2516</v>
      </c>
      <c r="Y1074">
        <v>15</v>
      </c>
      <c r="Z1074">
        <v>0</v>
      </c>
      <c r="AA1074" t="s">
        <v>49</v>
      </c>
      <c r="AB1074">
        <v>0</v>
      </c>
      <c r="AC1074" t="s">
        <v>2517</v>
      </c>
      <c r="AD1074">
        <v>1</v>
      </c>
      <c r="AE1074">
        <v>10742525</v>
      </c>
      <c r="AF1074" t="s">
        <v>50</v>
      </c>
      <c r="AG1074" t="s">
        <v>670</v>
      </c>
    </row>
    <row r="1075" spans="1:33" x14ac:dyDescent="0.35">
      <c r="A1075" s="1">
        <v>44879.826388888891</v>
      </c>
      <c r="B1075">
        <v>6728997</v>
      </c>
      <c r="C1075" t="s">
        <v>2518</v>
      </c>
      <c r="D1075" t="s">
        <v>213</v>
      </c>
      <c r="E1075" s="2">
        <v>44461</v>
      </c>
      <c r="F1075" t="str">
        <f>"9780128192436"</f>
        <v>9780128192436</v>
      </c>
      <c r="G1075" t="str">
        <f>"9780128192429"</f>
        <v>9780128192429</v>
      </c>
      <c r="H1075" t="s">
        <v>1112</v>
      </c>
      <c r="I1075">
        <v>662.88</v>
      </c>
      <c r="J1075" t="s">
        <v>2519</v>
      </c>
      <c r="K1075" t="s">
        <v>55</v>
      </c>
      <c r="N1075" t="s">
        <v>293</v>
      </c>
      <c r="P1075" t="s">
        <v>80</v>
      </c>
      <c r="Q1075" t="s">
        <v>47</v>
      </c>
      <c r="R1075" t="s">
        <v>44</v>
      </c>
      <c r="S1075">
        <v>0</v>
      </c>
      <c r="W1075" s="3">
        <v>3.4722222222222224E-4</v>
      </c>
      <c r="X1075" t="s">
        <v>2520</v>
      </c>
      <c r="Y1075">
        <v>2</v>
      </c>
      <c r="Z1075">
        <v>1</v>
      </c>
      <c r="AA1075" t="s">
        <v>2521</v>
      </c>
      <c r="AB1075">
        <v>16</v>
      </c>
      <c r="AC1075" t="s">
        <v>49</v>
      </c>
      <c r="AD1075">
        <v>0</v>
      </c>
      <c r="AE1075">
        <v>-1</v>
      </c>
      <c r="AF1075" t="s">
        <v>63</v>
      </c>
      <c r="AG1075" t="s">
        <v>741</v>
      </c>
    </row>
    <row r="1076" spans="1:33" x14ac:dyDescent="0.35">
      <c r="A1076" s="1">
        <v>44879.753472222219</v>
      </c>
      <c r="B1076">
        <v>6227036</v>
      </c>
      <c r="C1076" t="s">
        <v>2522</v>
      </c>
      <c r="D1076" t="s">
        <v>213</v>
      </c>
      <c r="E1076" s="2">
        <v>43994</v>
      </c>
      <c r="F1076" t="str">
        <f>"9780128184905"</f>
        <v>9780128184905</v>
      </c>
      <c r="G1076" t="str">
        <f>"9780128184899"</f>
        <v>9780128184899</v>
      </c>
      <c r="H1076" t="s">
        <v>290</v>
      </c>
      <c r="I1076">
        <v>628.16800000000001</v>
      </c>
      <c r="J1076" t="s">
        <v>2523</v>
      </c>
      <c r="K1076" t="s">
        <v>55</v>
      </c>
      <c r="Q1076" t="s">
        <v>47</v>
      </c>
      <c r="R1076" t="s">
        <v>44</v>
      </c>
      <c r="S1076">
        <v>0</v>
      </c>
      <c r="W1076" s="3">
        <v>7.0601851851851847E-4</v>
      </c>
      <c r="X1076" t="s">
        <v>2524</v>
      </c>
      <c r="Y1076">
        <v>9</v>
      </c>
      <c r="Z1076">
        <v>0</v>
      </c>
      <c r="AA1076" t="s">
        <v>49</v>
      </c>
      <c r="AB1076">
        <v>0</v>
      </c>
      <c r="AC1076" t="s">
        <v>49</v>
      </c>
      <c r="AD1076">
        <v>0</v>
      </c>
      <c r="AE1076">
        <v>-1</v>
      </c>
      <c r="AF1076" t="s">
        <v>50</v>
      </c>
      <c r="AG1076" t="s">
        <v>388</v>
      </c>
    </row>
    <row r="1077" spans="1:33" x14ac:dyDescent="0.35">
      <c r="A1077" s="1">
        <v>44879.734027777777</v>
      </c>
      <c r="B1077">
        <v>1524058</v>
      </c>
      <c r="C1077" t="s">
        <v>2363</v>
      </c>
      <c r="D1077" t="s">
        <v>473</v>
      </c>
      <c r="E1077" s="2">
        <v>41551</v>
      </c>
      <c r="F1077" t="str">
        <f>"9789004258914"</f>
        <v>9789004258914</v>
      </c>
      <c r="G1077" t="str">
        <f>"9789004249165"</f>
        <v>9789004249165</v>
      </c>
      <c r="H1077" t="s">
        <v>498</v>
      </c>
      <c r="J1077" t="s">
        <v>2364</v>
      </c>
      <c r="K1077" t="s">
        <v>44</v>
      </c>
      <c r="N1077" t="s">
        <v>45</v>
      </c>
      <c r="O1077" t="s">
        <v>46</v>
      </c>
      <c r="P1077" t="s">
        <v>45</v>
      </c>
      <c r="Q1077" t="s">
        <v>47</v>
      </c>
      <c r="R1077" t="s">
        <v>44</v>
      </c>
      <c r="S1077">
        <v>0</v>
      </c>
      <c r="W1077" s="3">
        <v>7.083333333333333E-3</v>
      </c>
      <c r="X1077" t="s">
        <v>2525</v>
      </c>
      <c r="Y1077">
        <v>63</v>
      </c>
      <c r="Z1077">
        <v>1</v>
      </c>
      <c r="AA1077" t="s">
        <v>2526</v>
      </c>
      <c r="AB1077">
        <v>2</v>
      </c>
      <c r="AC1077" t="s">
        <v>49</v>
      </c>
      <c r="AD1077">
        <v>0</v>
      </c>
      <c r="AE1077">
        <v>10792569</v>
      </c>
      <c r="AF1077" t="s">
        <v>63</v>
      </c>
      <c r="AG1077" t="s">
        <v>670</v>
      </c>
    </row>
    <row r="1078" spans="1:33" x14ac:dyDescent="0.35">
      <c r="A1078" s="1">
        <v>44879.71875</v>
      </c>
      <c r="B1078">
        <v>468361</v>
      </c>
      <c r="C1078" t="s">
        <v>2397</v>
      </c>
      <c r="D1078" t="s">
        <v>473</v>
      </c>
      <c r="E1078" s="2">
        <v>39050</v>
      </c>
      <c r="F1078" t="str">
        <f>"9789047410959"</f>
        <v>9789047410959</v>
      </c>
      <c r="G1078" t="str">
        <f>"9789004153868"</f>
        <v>9789004153868</v>
      </c>
      <c r="H1078" t="s">
        <v>2046</v>
      </c>
      <c r="I1078" t="s">
        <v>2398</v>
      </c>
      <c r="J1078" t="s">
        <v>2399</v>
      </c>
      <c r="K1078" t="s">
        <v>44</v>
      </c>
      <c r="N1078" t="s">
        <v>45</v>
      </c>
      <c r="O1078" t="s">
        <v>46</v>
      </c>
      <c r="P1078" t="s">
        <v>45</v>
      </c>
      <c r="Q1078" t="s">
        <v>47</v>
      </c>
      <c r="R1078" t="s">
        <v>44</v>
      </c>
      <c r="S1078">
        <v>0</v>
      </c>
      <c r="W1078" s="3">
        <v>7.3263888888888892E-3</v>
      </c>
      <c r="X1078" t="s">
        <v>2527</v>
      </c>
      <c r="Y1078">
        <v>40</v>
      </c>
      <c r="Z1078">
        <v>0</v>
      </c>
      <c r="AA1078" t="s">
        <v>49</v>
      </c>
      <c r="AB1078">
        <v>0</v>
      </c>
      <c r="AC1078" t="s">
        <v>49</v>
      </c>
      <c r="AD1078">
        <v>0</v>
      </c>
      <c r="AE1078">
        <v>10234885</v>
      </c>
      <c r="AF1078" t="s">
        <v>50</v>
      </c>
      <c r="AG1078" t="s">
        <v>670</v>
      </c>
    </row>
    <row r="1079" spans="1:33" x14ac:dyDescent="0.35">
      <c r="A1079" s="1">
        <v>44879.711111111108</v>
      </c>
      <c r="B1079">
        <v>536995</v>
      </c>
      <c r="C1079" t="s">
        <v>2528</v>
      </c>
      <c r="D1079" t="s">
        <v>507</v>
      </c>
      <c r="E1079" s="2">
        <v>40260</v>
      </c>
      <c r="F1079" t="str">
        <f>"9780748642267"</f>
        <v>9780748642267</v>
      </c>
      <c r="G1079" t="str">
        <f>"9780748644834"</f>
        <v>9780748644834</v>
      </c>
      <c r="H1079" t="s">
        <v>1396</v>
      </c>
      <c r="I1079">
        <v>907.202</v>
      </c>
      <c r="J1079" t="s">
        <v>2529</v>
      </c>
      <c r="K1079" t="s">
        <v>44</v>
      </c>
      <c r="N1079" t="s">
        <v>45</v>
      </c>
      <c r="O1079" t="s">
        <v>46</v>
      </c>
      <c r="P1079" t="s">
        <v>45</v>
      </c>
      <c r="Q1079" t="s">
        <v>47</v>
      </c>
      <c r="R1079" t="s">
        <v>44</v>
      </c>
      <c r="S1079">
        <v>0</v>
      </c>
      <c r="W1079" s="3">
        <v>2.2106481481481478E-3</v>
      </c>
      <c r="X1079" t="s">
        <v>2530</v>
      </c>
      <c r="Y1079">
        <v>20</v>
      </c>
      <c r="Z1079">
        <v>0</v>
      </c>
      <c r="AA1079" t="s">
        <v>49</v>
      </c>
      <c r="AB1079">
        <v>0</v>
      </c>
      <c r="AC1079" t="s">
        <v>49</v>
      </c>
      <c r="AD1079">
        <v>0</v>
      </c>
      <c r="AE1079">
        <v>10391723</v>
      </c>
      <c r="AF1079" t="s">
        <v>50</v>
      </c>
      <c r="AG1079" t="s">
        <v>670</v>
      </c>
    </row>
    <row r="1080" spans="1:33" x14ac:dyDescent="0.35">
      <c r="A1080" s="1">
        <v>44879.634722222225</v>
      </c>
      <c r="B1080">
        <v>279494</v>
      </c>
      <c r="C1080" t="s">
        <v>1333</v>
      </c>
      <c r="D1080" t="s">
        <v>125</v>
      </c>
      <c r="E1080" s="2">
        <v>37280</v>
      </c>
      <c r="F1080" t="str">
        <f>"9780198032953"</f>
        <v>9780198032953</v>
      </c>
      <c r="G1080" t="str">
        <f>"9780195144208"</f>
        <v>9780195144208</v>
      </c>
      <c r="H1080" t="s">
        <v>667</v>
      </c>
      <c r="I1080" t="s">
        <v>1334</v>
      </c>
      <c r="J1080" t="s">
        <v>1335</v>
      </c>
      <c r="K1080" t="s">
        <v>44</v>
      </c>
      <c r="N1080" t="s">
        <v>45</v>
      </c>
      <c r="O1080" t="s">
        <v>46</v>
      </c>
      <c r="P1080" t="s">
        <v>45</v>
      </c>
      <c r="Q1080" t="s">
        <v>47</v>
      </c>
      <c r="R1080" t="s">
        <v>44</v>
      </c>
      <c r="S1080">
        <v>0</v>
      </c>
      <c r="W1080" s="3">
        <v>1.7974537037037035E-2</v>
      </c>
      <c r="X1080" t="s">
        <v>2531</v>
      </c>
      <c r="Y1080">
        <v>2</v>
      </c>
      <c r="Z1080">
        <v>0</v>
      </c>
      <c r="AA1080" t="s">
        <v>49</v>
      </c>
      <c r="AB1080">
        <v>0</v>
      </c>
      <c r="AC1080" t="s">
        <v>2532</v>
      </c>
      <c r="AD1080">
        <v>2</v>
      </c>
      <c r="AE1080">
        <v>11303309</v>
      </c>
      <c r="AF1080" t="s">
        <v>50</v>
      </c>
      <c r="AG1080" t="s">
        <v>670</v>
      </c>
    </row>
    <row r="1081" spans="1:33" x14ac:dyDescent="0.35">
      <c r="A1081" s="1">
        <v>44879.566666666666</v>
      </c>
      <c r="B1081">
        <v>5829217</v>
      </c>
      <c r="C1081" t="s">
        <v>626</v>
      </c>
      <c r="D1081" t="s">
        <v>627</v>
      </c>
      <c r="E1081" s="2">
        <v>43259</v>
      </c>
      <c r="F1081" t="str">
        <f>"9781496395139"</f>
        <v>9781496395139</v>
      </c>
      <c r="G1081" t="str">
        <f>"9781496335418"</f>
        <v>9781496335418</v>
      </c>
      <c r="H1081" t="s">
        <v>77</v>
      </c>
      <c r="I1081" t="s">
        <v>628</v>
      </c>
      <c r="J1081" t="s">
        <v>629</v>
      </c>
      <c r="K1081" t="s">
        <v>44</v>
      </c>
      <c r="N1081" t="s">
        <v>45</v>
      </c>
      <c r="O1081" t="s">
        <v>46</v>
      </c>
      <c r="P1081" t="s">
        <v>45</v>
      </c>
      <c r="Q1081" t="s">
        <v>47</v>
      </c>
      <c r="R1081" t="s">
        <v>44</v>
      </c>
      <c r="S1081">
        <v>0</v>
      </c>
      <c r="W1081" s="3">
        <v>8.7812500000000002E-2</v>
      </c>
      <c r="X1081" t="s">
        <v>2533</v>
      </c>
      <c r="Y1081">
        <v>78</v>
      </c>
      <c r="Z1081">
        <v>0</v>
      </c>
      <c r="AA1081" t="s">
        <v>49</v>
      </c>
      <c r="AB1081">
        <v>0</v>
      </c>
      <c r="AC1081" t="s">
        <v>49</v>
      </c>
      <c r="AD1081">
        <v>0</v>
      </c>
      <c r="AE1081">
        <v>-1</v>
      </c>
      <c r="AF1081" t="s">
        <v>50</v>
      </c>
      <c r="AG1081" t="s">
        <v>264</v>
      </c>
    </row>
    <row r="1082" spans="1:33" x14ac:dyDescent="0.35">
      <c r="A1082" s="1">
        <v>44879.554861111108</v>
      </c>
      <c r="B1082">
        <v>6748613</v>
      </c>
      <c r="C1082" t="s">
        <v>2534</v>
      </c>
      <c r="D1082" t="s">
        <v>213</v>
      </c>
      <c r="E1082" s="2">
        <v>44483</v>
      </c>
      <c r="F1082" t="str">
        <f>"9780128235768"</f>
        <v>9780128235768</v>
      </c>
      <c r="G1082" t="str">
        <f>"9780128235751"</f>
        <v>9780128235751</v>
      </c>
      <c r="H1082" t="s">
        <v>513</v>
      </c>
      <c r="I1082">
        <v>620.11500000000001</v>
      </c>
      <c r="J1082" t="s">
        <v>2535</v>
      </c>
      <c r="K1082" t="s">
        <v>55</v>
      </c>
      <c r="Q1082" t="s">
        <v>47</v>
      </c>
      <c r="R1082" t="s">
        <v>44</v>
      </c>
      <c r="S1082">
        <v>0</v>
      </c>
      <c r="W1082" s="3">
        <v>1.9594907407407405E-2</v>
      </c>
      <c r="X1082" t="s">
        <v>2536</v>
      </c>
      <c r="Y1082">
        <v>3</v>
      </c>
      <c r="Z1082">
        <v>0</v>
      </c>
      <c r="AA1082" t="s">
        <v>49</v>
      </c>
      <c r="AB1082">
        <v>0</v>
      </c>
      <c r="AC1082" t="s">
        <v>49</v>
      </c>
      <c r="AD1082">
        <v>0</v>
      </c>
      <c r="AE1082">
        <v>-1</v>
      </c>
      <c r="AF1082" t="s">
        <v>63</v>
      </c>
      <c r="AG1082" t="s">
        <v>216</v>
      </c>
    </row>
    <row r="1083" spans="1:33" x14ac:dyDescent="0.35">
      <c r="A1083" s="1">
        <v>44879.523611111108</v>
      </c>
      <c r="B1083">
        <v>5449676</v>
      </c>
      <c r="C1083" t="s">
        <v>2537</v>
      </c>
      <c r="D1083" t="s">
        <v>473</v>
      </c>
      <c r="E1083" s="2">
        <v>43265</v>
      </c>
      <c r="F1083" t="str">
        <f>"9789004363786"</f>
        <v>9789004363786</v>
      </c>
      <c r="G1083" t="str">
        <f>"9789004310124"</f>
        <v>9789004310124</v>
      </c>
      <c r="H1083" t="s">
        <v>151</v>
      </c>
      <c r="I1083" t="s">
        <v>2538</v>
      </c>
      <c r="J1083" t="s">
        <v>2539</v>
      </c>
      <c r="K1083" t="s">
        <v>44</v>
      </c>
      <c r="N1083" t="s">
        <v>45</v>
      </c>
      <c r="O1083" t="s">
        <v>46</v>
      </c>
      <c r="P1083" t="s">
        <v>45</v>
      </c>
      <c r="Q1083" t="s">
        <v>47</v>
      </c>
      <c r="R1083" t="s">
        <v>44</v>
      </c>
      <c r="S1083">
        <v>0</v>
      </c>
      <c r="W1083" s="3">
        <v>2.9398148148148148E-3</v>
      </c>
      <c r="X1083" t="s">
        <v>2540</v>
      </c>
      <c r="Y1083">
        <v>4</v>
      </c>
      <c r="Z1083">
        <v>0</v>
      </c>
      <c r="AA1083" t="s">
        <v>49</v>
      </c>
      <c r="AB1083">
        <v>0</v>
      </c>
      <c r="AC1083" t="s">
        <v>49</v>
      </c>
      <c r="AD1083">
        <v>0</v>
      </c>
      <c r="AE1083">
        <v>-1</v>
      </c>
      <c r="AF1083" t="s">
        <v>50</v>
      </c>
      <c r="AG1083" t="s">
        <v>216</v>
      </c>
    </row>
    <row r="1084" spans="1:33" x14ac:dyDescent="0.35">
      <c r="A1084" s="1">
        <v>44879.506944444445</v>
      </c>
      <c r="B1084">
        <v>848526</v>
      </c>
      <c r="C1084" t="s">
        <v>2541</v>
      </c>
      <c r="D1084" t="s">
        <v>59</v>
      </c>
      <c r="E1084" s="2">
        <v>41212</v>
      </c>
      <c r="F1084" t="str">
        <f>"9781118310069"</f>
        <v>9781118310069</v>
      </c>
      <c r="G1084" t="str">
        <f>"9780470566671"</f>
        <v>9780470566671</v>
      </c>
      <c r="H1084" t="s">
        <v>2542</v>
      </c>
      <c r="I1084">
        <v>610.28</v>
      </c>
      <c r="J1084" t="s">
        <v>2543</v>
      </c>
      <c r="K1084" t="s">
        <v>44</v>
      </c>
      <c r="N1084" t="s">
        <v>45</v>
      </c>
      <c r="O1084" t="s">
        <v>46</v>
      </c>
      <c r="P1084" t="s">
        <v>45</v>
      </c>
      <c r="Q1084" t="s">
        <v>47</v>
      </c>
      <c r="R1084" t="s">
        <v>44</v>
      </c>
      <c r="S1084">
        <v>0</v>
      </c>
      <c r="W1084" s="3">
        <v>4.2824074074074075E-4</v>
      </c>
      <c r="X1084" t="s">
        <v>2544</v>
      </c>
      <c r="Y1084">
        <v>4</v>
      </c>
      <c r="Z1084">
        <v>0</v>
      </c>
      <c r="AA1084" t="s">
        <v>49</v>
      </c>
      <c r="AB1084">
        <v>0</v>
      </c>
      <c r="AC1084" t="s">
        <v>49</v>
      </c>
      <c r="AD1084">
        <v>0</v>
      </c>
      <c r="AE1084">
        <v>10615085</v>
      </c>
      <c r="AF1084" t="s">
        <v>50</v>
      </c>
      <c r="AG1084" t="s">
        <v>388</v>
      </c>
    </row>
    <row r="1085" spans="1:33" x14ac:dyDescent="0.35">
      <c r="A1085" s="1">
        <v>44879.48333333333</v>
      </c>
      <c r="B1085">
        <v>5752801</v>
      </c>
      <c r="C1085" t="s">
        <v>2344</v>
      </c>
      <c r="D1085" t="s">
        <v>2345</v>
      </c>
      <c r="E1085" s="2">
        <v>43516</v>
      </c>
      <c r="F1085" t="str">
        <f>"9781547573660"</f>
        <v>9781547573660</v>
      </c>
      <c r="G1085" t="str">
        <f>""</f>
        <v/>
      </c>
      <c r="H1085" t="s">
        <v>171</v>
      </c>
      <c r="I1085">
        <v>428.00760000000002</v>
      </c>
      <c r="J1085" t="s">
        <v>2346</v>
      </c>
      <c r="K1085" t="s">
        <v>55</v>
      </c>
      <c r="Q1085" t="s">
        <v>47</v>
      </c>
      <c r="R1085" t="s">
        <v>44</v>
      </c>
      <c r="S1085">
        <v>0</v>
      </c>
      <c r="W1085" s="3">
        <v>8.7962962962962962E-4</v>
      </c>
      <c r="X1085" t="s">
        <v>2545</v>
      </c>
      <c r="Y1085">
        <v>14</v>
      </c>
      <c r="Z1085">
        <v>0</v>
      </c>
      <c r="AA1085" t="s">
        <v>49</v>
      </c>
      <c r="AB1085">
        <v>0</v>
      </c>
      <c r="AC1085" t="s">
        <v>49</v>
      </c>
      <c r="AD1085">
        <v>0</v>
      </c>
      <c r="AE1085">
        <v>-1</v>
      </c>
      <c r="AF1085" t="s">
        <v>50</v>
      </c>
      <c r="AG1085" t="s">
        <v>1451</v>
      </c>
    </row>
    <row r="1086" spans="1:33" x14ac:dyDescent="0.35">
      <c r="A1086" s="1">
        <v>44879.482638888891</v>
      </c>
      <c r="B1086">
        <v>5752801</v>
      </c>
      <c r="C1086" t="s">
        <v>2344</v>
      </c>
      <c r="D1086" t="s">
        <v>2345</v>
      </c>
      <c r="E1086" s="2">
        <v>43516</v>
      </c>
      <c r="F1086" t="str">
        <f>"9781547573660"</f>
        <v>9781547573660</v>
      </c>
      <c r="G1086" t="str">
        <f>""</f>
        <v/>
      </c>
      <c r="H1086" t="s">
        <v>171</v>
      </c>
      <c r="I1086">
        <v>428.00760000000002</v>
      </c>
      <c r="J1086" t="s">
        <v>2346</v>
      </c>
      <c r="K1086" t="s">
        <v>55</v>
      </c>
      <c r="Q1086" t="s">
        <v>47</v>
      </c>
      <c r="R1086" t="s">
        <v>44</v>
      </c>
      <c r="S1086">
        <v>0</v>
      </c>
      <c r="W1086" s="3">
        <v>2.3148148148148146E-4</v>
      </c>
      <c r="X1086" t="s">
        <v>2546</v>
      </c>
      <c r="Y1086">
        <v>6</v>
      </c>
      <c r="Z1086">
        <v>0</v>
      </c>
      <c r="AA1086" t="s">
        <v>49</v>
      </c>
      <c r="AB1086">
        <v>0</v>
      </c>
      <c r="AC1086" t="s">
        <v>49</v>
      </c>
      <c r="AD1086">
        <v>0</v>
      </c>
      <c r="AE1086">
        <v>-1</v>
      </c>
      <c r="AF1086" t="s">
        <v>50</v>
      </c>
      <c r="AG1086" t="s">
        <v>505</v>
      </c>
    </row>
    <row r="1087" spans="1:33" x14ac:dyDescent="0.35">
      <c r="A1087" s="1">
        <v>44879.474305555559</v>
      </c>
      <c r="B1087">
        <v>1094223</v>
      </c>
      <c r="C1087" t="s">
        <v>2547</v>
      </c>
      <c r="D1087" t="s">
        <v>1224</v>
      </c>
      <c r="E1087" s="2">
        <v>41534</v>
      </c>
      <c r="F1087" t="str">
        <f>"9783110306873"</f>
        <v>9783110306873</v>
      </c>
      <c r="G1087" t="str">
        <f>"9783110306668"</f>
        <v>9783110306668</v>
      </c>
      <c r="H1087" t="s">
        <v>252</v>
      </c>
      <c r="I1087" t="s">
        <v>1179</v>
      </c>
      <c r="J1087" t="s">
        <v>2548</v>
      </c>
      <c r="K1087" t="s">
        <v>44</v>
      </c>
      <c r="N1087" t="s">
        <v>45</v>
      </c>
      <c r="O1087" t="s">
        <v>46</v>
      </c>
      <c r="P1087" t="s">
        <v>45</v>
      </c>
      <c r="Q1087" t="s">
        <v>47</v>
      </c>
      <c r="R1087" t="s">
        <v>44</v>
      </c>
      <c r="S1087">
        <v>0</v>
      </c>
      <c r="W1087" s="3">
        <v>1.0879629629629629E-3</v>
      </c>
      <c r="X1087" t="s">
        <v>2549</v>
      </c>
      <c r="Y1087">
        <v>14</v>
      </c>
      <c r="Z1087">
        <v>0</v>
      </c>
      <c r="AA1087" t="s">
        <v>49</v>
      </c>
      <c r="AB1087">
        <v>0</v>
      </c>
      <c r="AC1087" t="s">
        <v>49</v>
      </c>
      <c r="AD1087">
        <v>0</v>
      </c>
      <c r="AE1087">
        <v>10811298</v>
      </c>
      <c r="AF1087" t="s">
        <v>50</v>
      </c>
      <c r="AG1087" t="s">
        <v>388</v>
      </c>
    </row>
    <row r="1088" spans="1:33" x14ac:dyDescent="0.35">
      <c r="A1088" s="1">
        <v>44879.46875</v>
      </c>
      <c r="B1088">
        <v>4461563</v>
      </c>
      <c r="C1088" t="s">
        <v>1178</v>
      </c>
      <c r="D1088" t="s">
        <v>59</v>
      </c>
      <c r="E1088" s="2">
        <v>42464</v>
      </c>
      <c r="F1088" t="str">
        <f>"9781118753842"</f>
        <v>9781118753842</v>
      </c>
      <c r="G1088" t="str">
        <f>"9781118753460"</f>
        <v>9781118753460</v>
      </c>
      <c r="H1088" t="s">
        <v>95</v>
      </c>
      <c r="I1088" t="s">
        <v>1179</v>
      </c>
      <c r="J1088" t="s">
        <v>1180</v>
      </c>
      <c r="K1088" t="s">
        <v>44</v>
      </c>
      <c r="N1088" t="s">
        <v>45</v>
      </c>
      <c r="O1088" t="s">
        <v>46</v>
      </c>
      <c r="P1088" t="s">
        <v>45</v>
      </c>
      <c r="Q1088" t="s">
        <v>47</v>
      </c>
      <c r="R1088" t="s">
        <v>44</v>
      </c>
      <c r="S1088">
        <v>0</v>
      </c>
      <c r="W1088" s="3">
        <v>4.5717592592592589E-3</v>
      </c>
      <c r="X1088" t="s">
        <v>2550</v>
      </c>
      <c r="Y1088">
        <v>48</v>
      </c>
      <c r="Z1088">
        <v>0</v>
      </c>
      <c r="AA1088" t="s">
        <v>49</v>
      </c>
      <c r="AB1088">
        <v>0</v>
      </c>
      <c r="AC1088" t="s">
        <v>49</v>
      </c>
      <c r="AD1088">
        <v>0</v>
      </c>
      <c r="AE1088">
        <v>11188043</v>
      </c>
      <c r="AF1088" t="s">
        <v>50</v>
      </c>
      <c r="AG1088" t="s">
        <v>388</v>
      </c>
    </row>
    <row r="1089" spans="1:33" x14ac:dyDescent="0.35">
      <c r="A1089" s="1">
        <v>44879.40347222222</v>
      </c>
      <c r="B1089">
        <v>4461563</v>
      </c>
      <c r="C1089" t="s">
        <v>1178</v>
      </c>
      <c r="D1089" t="s">
        <v>59</v>
      </c>
      <c r="E1089" s="2">
        <v>42464</v>
      </c>
      <c r="F1089" t="str">
        <f>"9781118753842"</f>
        <v>9781118753842</v>
      </c>
      <c r="G1089" t="str">
        <f>"9781118753460"</f>
        <v>9781118753460</v>
      </c>
      <c r="H1089" t="s">
        <v>95</v>
      </c>
      <c r="I1089" t="s">
        <v>1179</v>
      </c>
      <c r="J1089" t="s">
        <v>1180</v>
      </c>
      <c r="K1089" t="s">
        <v>44</v>
      </c>
      <c r="N1089" t="s">
        <v>45</v>
      </c>
      <c r="O1089" t="s">
        <v>46</v>
      </c>
      <c r="P1089" t="s">
        <v>45</v>
      </c>
      <c r="Q1089" t="s">
        <v>47</v>
      </c>
      <c r="R1089" t="s">
        <v>44</v>
      </c>
      <c r="S1089">
        <v>0</v>
      </c>
      <c r="W1089" s="3">
        <v>1.5393518518518519E-3</v>
      </c>
      <c r="X1089" t="s">
        <v>2551</v>
      </c>
      <c r="Y1089">
        <v>10</v>
      </c>
      <c r="Z1089">
        <v>3</v>
      </c>
      <c r="AA1089" t="s">
        <v>2552</v>
      </c>
      <c r="AB1089">
        <v>58</v>
      </c>
      <c r="AC1089" t="s">
        <v>49</v>
      </c>
      <c r="AD1089">
        <v>0</v>
      </c>
      <c r="AE1089">
        <v>11188043</v>
      </c>
      <c r="AF1089" t="s">
        <v>50</v>
      </c>
      <c r="AG1089" t="s">
        <v>388</v>
      </c>
    </row>
    <row r="1090" spans="1:33" x14ac:dyDescent="0.35">
      <c r="A1090" s="1">
        <v>44879.395833333336</v>
      </c>
      <c r="B1090">
        <v>5829217</v>
      </c>
      <c r="C1090" t="s">
        <v>626</v>
      </c>
      <c r="D1090" t="s">
        <v>627</v>
      </c>
      <c r="E1090" s="2">
        <v>43259</v>
      </c>
      <c r="F1090" t="str">
        <f>"9781496395139"</f>
        <v>9781496395139</v>
      </c>
      <c r="G1090" t="str">
        <f>"9781496335418"</f>
        <v>9781496335418</v>
      </c>
      <c r="H1090" t="s">
        <v>77</v>
      </c>
      <c r="I1090" t="s">
        <v>628</v>
      </c>
      <c r="J1090" t="s">
        <v>629</v>
      </c>
      <c r="K1090" t="s">
        <v>44</v>
      </c>
      <c r="N1090" t="s">
        <v>45</v>
      </c>
      <c r="O1090" t="s">
        <v>46</v>
      </c>
      <c r="P1090" t="s">
        <v>45</v>
      </c>
      <c r="Q1090" t="s">
        <v>47</v>
      </c>
      <c r="R1090" t="s">
        <v>44</v>
      </c>
      <c r="S1090">
        <v>0</v>
      </c>
      <c r="W1090" s="3">
        <v>2.0648148148148148E-2</v>
      </c>
      <c r="X1090" t="s">
        <v>2553</v>
      </c>
      <c r="Y1090">
        <v>10</v>
      </c>
      <c r="Z1090">
        <v>0</v>
      </c>
      <c r="AA1090" t="s">
        <v>49</v>
      </c>
      <c r="AB1090">
        <v>0</v>
      </c>
      <c r="AC1090" t="s">
        <v>49</v>
      </c>
      <c r="AD1090">
        <v>0</v>
      </c>
      <c r="AE1090">
        <v>-1</v>
      </c>
      <c r="AF1090" t="s">
        <v>50</v>
      </c>
      <c r="AG1090" t="s">
        <v>264</v>
      </c>
    </row>
    <row r="1091" spans="1:33" x14ac:dyDescent="0.35">
      <c r="A1091" s="1">
        <v>44879.395833333336</v>
      </c>
      <c r="B1091">
        <v>1094223</v>
      </c>
      <c r="C1091" t="s">
        <v>2547</v>
      </c>
      <c r="D1091" t="s">
        <v>1224</v>
      </c>
      <c r="E1091" s="2">
        <v>41534</v>
      </c>
      <c r="F1091" t="str">
        <f>"9783110306873"</f>
        <v>9783110306873</v>
      </c>
      <c r="G1091" t="str">
        <f>"9783110306668"</f>
        <v>9783110306668</v>
      </c>
      <c r="H1091" t="s">
        <v>252</v>
      </c>
      <c r="I1091" t="s">
        <v>1179</v>
      </c>
      <c r="J1091" t="s">
        <v>2548</v>
      </c>
      <c r="K1091" t="s">
        <v>44</v>
      </c>
      <c r="N1091" t="s">
        <v>45</v>
      </c>
      <c r="O1091" t="s">
        <v>46</v>
      </c>
      <c r="P1091" t="s">
        <v>45</v>
      </c>
      <c r="Q1091" t="s">
        <v>47</v>
      </c>
      <c r="R1091" t="s">
        <v>44</v>
      </c>
      <c r="S1091">
        <v>0</v>
      </c>
      <c r="W1091" s="3">
        <v>0</v>
      </c>
      <c r="X1091" t="s">
        <v>49</v>
      </c>
      <c r="Y1091">
        <v>0</v>
      </c>
      <c r="Z1091">
        <v>1</v>
      </c>
      <c r="AA1091" t="s">
        <v>2554</v>
      </c>
      <c r="AB1091">
        <v>36</v>
      </c>
      <c r="AC1091" t="s">
        <v>49</v>
      </c>
      <c r="AD1091">
        <v>0</v>
      </c>
      <c r="AE1091">
        <v>10811298</v>
      </c>
      <c r="AF1091" t="s">
        <v>50</v>
      </c>
      <c r="AG1091" t="s">
        <v>216</v>
      </c>
    </row>
    <row r="1092" spans="1:33" x14ac:dyDescent="0.35">
      <c r="A1092" s="1">
        <v>44879.388194444444</v>
      </c>
      <c r="B1092">
        <v>4461563</v>
      </c>
      <c r="C1092" t="s">
        <v>1178</v>
      </c>
      <c r="D1092" t="s">
        <v>59</v>
      </c>
      <c r="E1092" s="2">
        <v>42464</v>
      </c>
      <c r="F1092" t="str">
        <f>"9781118753842"</f>
        <v>9781118753842</v>
      </c>
      <c r="G1092" t="str">
        <f>"9781118753460"</f>
        <v>9781118753460</v>
      </c>
      <c r="H1092" t="s">
        <v>95</v>
      </c>
      <c r="I1092" t="s">
        <v>1179</v>
      </c>
      <c r="J1092" t="s">
        <v>1180</v>
      </c>
      <c r="K1092" t="s">
        <v>44</v>
      </c>
      <c r="N1092" t="s">
        <v>45</v>
      </c>
      <c r="O1092" t="s">
        <v>46</v>
      </c>
      <c r="P1092" t="s">
        <v>45</v>
      </c>
      <c r="Q1092" t="s">
        <v>47</v>
      </c>
      <c r="R1092" t="s">
        <v>44</v>
      </c>
      <c r="S1092">
        <v>0</v>
      </c>
      <c r="W1092" s="3">
        <v>2.1874999999999998E-3</v>
      </c>
      <c r="X1092" t="s">
        <v>2555</v>
      </c>
      <c r="Y1092">
        <v>19</v>
      </c>
      <c r="Z1092">
        <v>3</v>
      </c>
      <c r="AA1092" t="s">
        <v>2556</v>
      </c>
      <c r="AB1092">
        <v>70</v>
      </c>
      <c r="AC1092" t="s">
        <v>49</v>
      </c>
      <c r="AD1092">
        <v>0</v>
      </c>
      <c r="AE1092">
        <v>11188043</v>
      </c>
      <c r="AF1092" t="s">
        <v>50</v>
      </c>
      <c r="AG1092" t="s">
        <v>216</v>
      </c>
    </row>
    <row r="1093" spans="1:33" x14ac:dyDescent="0.35">
      <c r="A1093" s="1">
        <v>44879.259027777778</v>
      </c>
      <c r="B1093">
        <v>5378555</v>
      </c>
      <c r="C1093" t="s">
        <v>1803</v>
      </c>
      <c r="D1093" t="s">
        <v>76</v>
      </c>
      <c r="E1093" s="2">
        <v>40532</v>
      </c>
      <c r="F1093" t="str">
        <f>"9781439891155"</f>
        <v>9781439891155</v>
      </c>
      <c r="G1093" t="str">
        <f>"9781439815335"</f>
        <v>9781439815335</v>
      </c>
      <c r="H1093" t="s">
        <v>546</v>
      </c>
      <c r="I1093" t="s">
        <v>559</v>
      </c>
      <c r="J1093" t="s">
        <v>1804</v>
      </c>
      <c r="K1093" t="s">
        <v>44</v>
      </c>
      <c r="N1093" t="s">
        <v>45</v>
      </c>
      <c r="O1093" t="s">
        <v>46</v>
      </c>
      <c r="P1093" t="s">
        <v>45</v>
      </c>
      <c r="Q1093" t="s">
        <v>47</v>
      </c>
      <c r="R1093" t="s">
        <v>44</v>
      </c>
      <c r="S1093">
        <v>0</v>
      </c>
      <c r="W1093" s="3">
        <v>5.8449074074074072E-3</v>
      </c>
      <c r="X1093" t="s">
        <v>2557</v>
      </c>
      <c r="Y1093">
        <v>87</v>
      </c>
      <c r="Z1093">
        <v>0</v>
      </c>
      <c r="AA1093" t="s">
        <v>49</v>
      </c>
      <c r="AB1093">
        <v>0</v>
      </c>
      <c r="AC1093" t="s">
        <v>49</v>
      </c>
      <c r="AD1093">
        <v>0</v>
      </c>
      <c r="AE1093">
        <v>11554332</v>
      </c>
      <c r="AF1093" t="s">
        <v>50</v>
      </c>
      <c r="AG1093" t="s">
        <v>2241</v>
      </c>
    </row>
    <row r="1094" spans="1:33" x14ac:dyDescent="0.35">
      <c r="A1094" s="1">
        <v>44879.20208333333</v>
      </c>
      <c r="B1094">
        <v>4911663</v>
      </c>
      <c r="C1094" t="s">
        <v>2558</v>
      </c>
      <c r="D1094" t="s">
        <v>59</v>
      </c>
      <c r="E1094" s="2">
        <v>42212</v>
      </c>
      <c r="F1094" t="str">
        <f>"9781119083559"</f>
        <v>9781119083559</v>
      </c>
      <c r="G1094" t="str">
        <f>"9781119083542"</f>
        <v>9781119083542</v>
      </c>
      <c r="H1094" t="s">
        <v>60</v>
      </c>
      <c r="I1094">
        <v>658.5</v>
      </c>
      <c r="J1094" t="s">
        <v>2559</v>
      </c>
      <c r="K1094" t="s">
        <v>44</v>
      </c>
      <c r="N1094" t="s">
        <v>45</v>
      </c>
      <c r="O1094" t="s">
        <v>46</v>
      </c>
      <c r="P1094" t="s">
        <v>45</v>
      </c>
      <c r="Q1094" t="s">
        <v>47</v>
      </c>
      <c r="R1094" t="s">
        <v>44</v>
      </c>
      <c r="S1094">
        <v>2</v>
      </c>
      <c r="W1094" s="3">
        <v>8.564814814814815E-4</v>
      </c>
      <c r="X1094" t="s">
        <v>2560</v>
      </c>
      <c r="Y1094">
        <v>9</v>
      </c>
      <c r="Z1094">
        <v>0</v>
      </c>
      <c r="AA1094" t="s">
        <v>49</v>
      </c>
      <c r="AB1094">
        <v>0</v>
      </c>
      <c r="AC1094" t="s">
        <v>49</v>
      </c>
      <c r="AD1094">
        <v>0</v>
      </c>
      <c r="AE1094">
        <v>-1</v>
      </c>
      <c r="AF1094" t="s">
        <v>63</v>
      </c>
      <c r="AG1094" t="s">
        <v>216</v>
      </c>
    </row>
    <row r="1095" spans="1:33" x14ac:dyDescent="0.35">
      <c r="A1095" s="1">
        <v>44879.201388888891</v>
      </c>
      <c r="B1095">
        <v>4911663</v>
      </c>
      <c r="C1095" t="s">
        <v>2558</v>
      </c>
      <c r="D1095" t="s">
        <v>59</v>
      </c>
      <c r="E1095" s="2">
        <v>42212</v>
      </c>
      <c r="F1095" t="str">
        <f>"9781119083559"</f>
        <v>9781119083559</v>
      </c>
      <c r="G1095" t="str">
        <f>"9781119083542"</f>
        <v>9781119083542</v>
      </c>
      <c r="H1095" t="s">
        <v>60</v>
      </c>
      <c r="I1095">
        <v>658.5</v>
      </c>
      <c r="J1095" t="s">
        <v>2559</v>
      </c>
      <c r="K1095" t="s">
        <v>44</v>
      </c>
      <c r="N1095" t="s">
        <v>45</v>
      </c>
      <c r="O1095" t="s">
        <v>46</v>
      </c>
      <c r="P1095" t="s">
        <v>45</v>
      </c>
      <c r="Q1095" t="s">
        <v>47</v>
      </c>
      <c r="R1095" t="s">
        <v>44</v>
      </c>
      <c r="S1095">
        <v>0</v>
      </c>
      <c r="W1095" s="3">
        <v>1.2731481481481483E-3</v>
      </c>
      <c r="X1095" t="s">
        <v>2561</v>
      </c>
      <c r="Y1095">
        <v>9</v>
      </c>
      <c r="Z1095">
        <v>0</v>
      </c>
      <c r="AA1095" t="s">
        <v>49</v>
      </c>
      <c r="AB1095">
        <v>0</v>
      </c>
      <c r="AC1095" t="s">
        <v>49</v>
      </c>
      <c r="AD1095">
        <v>0</v>
      </c>
      <c r="AE1095">
        <v>-1</v>
      </c>
      <c r="AF1095" t="s">
        <v>63</v>
      </c>
      <c r="AG1095" t="s">
        <v>216</v>
      </c>
    </row>
    <row r="1096" spans="1:33" x14ac:dyDescent="0.35">
      <c r="A1096" s="1">
        <v>44879.076388888891</v>
      </c>
      <c r="B1096">
        <v>6508498</v>
      </c>
      <c r="C1096" t="s">
        <v>2562</v>
      </c>
      <c r="D1096" t="s">
        <v>137</v>
      </c>
      <c r="E1096" s="2">
        <v>44272</v>
      </c>
      <c r="F1096" t="str">
        <f>"9781536193022"</f>
        <v>9781536193022</v>
      </c>
      <c r="G1096" t="str">
        <f>"9781536191837"</f>
        <v>9781536191837</v>
      </c>
      <c r="H1096" t="s">
        <v>1256</v>
      </c>
      <c r="I1096">
        <v>620.11292000000003</v>
      </c>
      <c r="J1096" t="s">
        <v>2563</v>
      </c>
      <c r="K1096" t="s">
        <v>55</v>
      </c>
      <c r="Q1096" t="s">
        <v>47</v>
      </c>
      <c r="R1096" t="s">
        <v>44</v>
      </c>
      <c r="S1096">
        <v>0</v>
      </c>
      <c r="W1096" s="3">
        <v>1.2037037037037038E-3</v>
      </c>
      <c r="X1096" t="s">
        <v>2564</v>
      </c>
      <c r="Y1096">
        <v>21</v>
      </c>
      <c r="Z1096">
        <v>0</v>
      </c>
      <c r="AA1096" t="s">
        <v>49</v>
      </c>
      <c r="AB1096">
        <v>0</v>
      </c>
      <c r="AC1096" t="s">
        <v>49</v>
      </c>
      <c r="AD1096">
        <v>0</v>
      </c>
      <c r="AE1096">
        <v>-1</v>
      </c>
      <c r="AF1096" t="s">
        <v>50</v>
      </c>
      <c r="AG1096" t="s">
        <v>388</v>
      </c>
    </row>
    <row r="1097" spans="1:33" x14ac:dyDescent="0.35">
      <c r="A1097" s="1">
        <v>44878.999305555553</v>
      </c>
      <c r="B1097">
        <v>5829217</v>
      </c>
      <c r="C1097" t="s">
        <v>626</v>
      </c>
      <c r="D1097" t="s">
        <v>627</v>
      </c>
      <c r="E1097" s="2">
        <v>43259</v>
      </c>
      <c r="F1097" t="str">
        <f>"9781496395139"</f>
        <v>9781496395139</v>
      </c>
      <c r="G1097" t="str">
        <f>"9781496335418"</f>
        <v>9781496335418</v>
      </c>
      <c r="H1097" t="s">
        <v>77</v>
      </c>
      <c r="I1097" t="s">
        <v>628</v>
      </c>
      <c r="J1097" t="s">
        <v>629</v>
      </c>
      <c r="K1097" t="s">
        <v>44</v>
      </c>
      <c r="N1097" t="s">
        <v>45</v>
      </c>
      <c r="O1097" t="s">
        <v>46</v>
      </c>
      <c r="P1097" t="s">
        <v>45</v>
      </c>
      <c r="Q1097" t="s">
        <v>47</v>
      </c>
      <c r="R1097" t="s">
        <v>44</v>
      </c>
      <c r="S1097">
        <v>0</v>
      </c>
      <c r="W1097" s="3">
        <v>5.6168981481481479E-2</v>
      </c>
      <c r="X1097" t="s">
        <v>2565</v>
      </c>
      <c r="Y1097">
        <v>60</v>
      </c>
      <c r="Z1097">
        <v>0</v>
      </c>
      <c r="AA1097" t="s">
        <v>49</v>
      </c>
      <c r="AB1097">
        <v>0</v>
      </c>
      <c r="AC1097" t="s">
        <v>49</v>
      </c>
      <c r="AD1097">
        <v>0</v>
      </c>
      <c r="AE1097">
        <v>-1</v>
      </c>
      <c r="AF1097" t="s">
        <v>50</v>
      </c>
      <c r="AG1097" t="s">
        <v>264</v>
      </c>
    </row>
    <row r="1098" spans="1:33" x14ac:dyDescent="0.35">
      <c r="A1098" s="1">
        <v>44878.998611111114</v>
      </c>
      <c r="B1098">
        <v>279494</v>
      </c>
      <c r="C1098" t="s">
        <v>1333</v>
      </c>
      <c r="D1098" t="s">
        <v>125</v>
      </c>
      <c r="E1098" s="2">
        <v>37280</v>
      </c>
      <c r="F1098" t="str">
        <f>"9780198032953"</f>
        <v>9780198032953</v>
      </c>
      <c r="G1098" t="str">
        <f>"9780195144208"</f>
        <v>9780195144208</v>
      </c>
      <c r="H1098" t="s">
        <v>667</v>
      </c>
      <c r="I1098" t="s">
        <v>1334</v>
      </c>
      <c r="J1098" t="s">
        <v>1335</v>
      </c>
      <c r="K1098" t="s">
        <v>44</v>
      </c>
      <c r="N1098" t="s">
        <v>45</v>
      </c>
      <c r="O1098" t="s">
        <v>46</v>
      </c>
      <c r="P1098" t="s">
        <v>45</v>
      </c>
      <c r="Q1098" t="s">
        <v>47</v>
      </c>
      <c r="R1098" t="s">
        <v>44</v>
      </c>
      <c r="S1098">
        <v>1</v>
      </c>
      <c r="W1098" s="3">
        <v>0</v>
      </c>
      <c r="X1098" t="s">
        <v>49</v>
      </c>
      <c r="Y1098">
        <v>0</v>
      </c>
      <c r="Z1098">
        <v>0</v>
      </c>
      <c r="AA1098" t="s">
        <v>49</v>
      </c>
      <c r="AB1098">
        <v>0</v>
      </c>
      <c r="AC1098" t="s">
        <v>49</v>
      </c>
      <c r="AD1098">
        <v>0</v>
      </c>
      <c r="AE1098">
        <v>11303309</v>
      </c>
      <c r="AF1098" t="s">
        <v>63</v>
      </c>
      <c r="AG1098" t="s">
        <v>2566</v>
      </c>
    </row>
    <row r="1099" spans="1:33" x14ac:dyDescent="0.35">
      <c r="A1099" s="1">
        <v>44878.992361111108</v>
      </c>
      <c r="B1099">
        <v>1650821</v>
      </c>
      <c r="C1099" t="s">
        <v>2567</v>
      </c>
      <c r="D1099" t="s">
        <v>59</v>
      </c>
      <c r="E1099" s="2">
        <v>41736</v>
      </c>
      <c r="F1099" t="str">
        <f>"9781118421888"</f>
        <v>9781118421888</v>
      </c>
      <c r="G1099" t="str">
        <f>"9781118410479"</f>
        <v>9781118410479</v>
      </c>
      <c r="H1099" t="s">
        <v>261</v>
      </c>
      <c r="I1099">
        <v>628.14200000000005</v>
      </c>
      <c r="J1099" t="s">
        <v>2568</v>
      </c>
      <c r="K1099" t="s">
        <v>44</v>
      </c>
      <c r="N1099" t="s">
        <v>45</v>
      </c>
      <c r="O1099" t="s">
        <v>46</v>
      </c>
      <c r="P1099" t="s">
        <v>45</v>
      </c>
      <c r="Q1099" t="s">
        <v>47</v>
      </c>
      <c r="R1099" t="s">
        <v>44</v>
      </c>
      <c r="S1099">
        <v>0</v>
      </c>
      <c r="W1099" s="3">
        <v>6.8287037037037025E-4</v>
      </c>
      <c r="X1099" t="s">
        <v>2569</v>
      </c>
      <c r="Y1099">
        <v>13</v>
      </c>
      <c r="Z1099">
        <v>0</v>
      </c>
      <c r="AA1099" t="s">
        <v>49</v>
      </c>
      <c r="AB1099">
        <v>0</v>
      </c>
      <c r="AC1099" t="s">
        <v>49</v>
      </c>
      <c r="AD1099">
        <v>0</v>
      </c>
      <c r="AE1099">
        <v>10845577</v>
      </c>
      <c r="AF1099" t="s">
        <v>50</v>
      </c>
      <c r="AG1099" t="s">
        <v>388</v>
      </c>
    </row>
    <row r="1100" spans="1:33" x14ac:dyDescent="0.35">
      <c r="A1100" s="1">
        <v>44878.904861111114</v>
      </c>
      <c r="B1100">
        <v>1449577</v>
      </c>
      <c r="C1100" t="s">
        <v>2570</v>
      </c>
      <c r="D1100" t="s">
        <v>76</v>
      </c>
      <c r="E1100" s="2">
        <v>41078</v>
      </c>
      <c r="F1100" t="str">
        <f>"9781439880357"</f>
        <v>9781439880357</v>
      </c>
      <c r="G1100" t="str">
        <f>"9781439880340"</f>
        <v>9781439880340</v>
      </c>
      <c r="H1100" t="s">
        <v>1046</v>
      </c>
      <c r="I1100">
        <v>363.20679999999999</v>
      </c>
      <c r="J1100" t="s">
        <v>2571</v>
      </c>
      <c r="K1100" t="s">
        <v>44</v>
      </c>
      <c r="N1100" t="s">
        <v>45</v>
      </c>
      <c r="O1100" t="s">
        <v>46</v>
      </c>
      <c r="P1100" t="s">
        <v>45</v>
      </c>
      <c r="Q1100" t="s">
        <v>47</v>
      </c>
      <c r="R1100" t="s">
        <v>44</v>
      </c>
      <c r="S1100">
        <v>0</v>
      </c>
      <c r="W1100" s="3">
        <v>9.1435185185185185E-4</v>
      </c>
      <c r="X1100" t="s">
        <v>2572</v>
      </c>
      <c r="Y1100">
        <v>13</v>
      </c>
      <c r="Z1100">
        <v>0</v>
      </c>
      <c r="AA1100" t="s">
        <v>49</v>
      </c>
      <c r="AB1100">
        <v>0</v>
      </c>
      <c r="AC1100" t="s">
        <v>49</v>
      </c>
      <c r="AD1100">
        <v>0</v>
      </c>
      <c r="AE1100">
        <v>11166375</v>
      </c>
      <c r="AF1100" t="s">
        <v>50</v>
      </c>
      <c r="AG1100" t="s">
        <v>388</v>
      </c>
    </row>
    <row r="1101" spans="1:33" x14ac:dyDescent="0.35">
      <c r="A1101" s="1">
        <v>44878.895833333336</v>
      </c>
      <c r="B1101">
        <v>300915</v>
      </c>
      <c r="C1101" t="s">
        <v>2573</v>
      </c>
      <c r="D1101" t="s">
        <v>65</v>
      </c>
      <c r="E1101" s="2">
        <v>39269</v>
      </c>
      <c r="F1101" t="str">
        <f>"9780080524771"</f>
        <v>9780080524771</v>
      </c>
      <c r="G1101" t="str">
        <f>"9780123725325"</f>
        <v>9780123725325</v>
      </c>
      <c r="H1101" t="s">
        <v>1112</v>
      </c>
      <c r="I1101">
        <v>660</v>
      </c>
      <c r="J1101" t="s">
        <v>2574</v>
      </c>
      <c r="K1101" t="s">
        <v>44</v>
      </c>
      <c r="N1101" t="s">
        <v>45</v>
      </c>
      <c r="O1101" t="s">
        <v>46</v>
      </c>
      <c r="P1101" t="s">
        <v>45</v>
      </c>
      <c r="Q1101" t="s">
        <v>47</v>
      </c>
      <c r="R1101" t="s">
        <v>44</v>
      </c>
      <c r="S1101">
        <v>1</v>
      </c>
      <c r="W1101" s="3">
        <v>7.8703703703703705E-4</v>
      </c>
      <c r="X1101" t="s">
        <v>2575</v>
      </c>
      <c r="Y1101">
        <v>13</v>
      </c>
      <c r="Z1101">
        <v>0</v>
      </c>
      <c r="AA1101" t="s">
        <v>49</v>
      </c>
      <c r="AB1101">
        <v>0</v>
      </c>
      <c r="AC1101" t="s">
        <v>49</v>
      </c>
      <c r="AD1101">
        <v>0</v>
      </c>
      <c r="AE1101">
        <v>10179873</v>
      </c>
      <c r="AF1101" t="s">
        <v>63</v>
      </c>
      <c r="AG1101" t="s">
        <v>216</v>
      </c>
    </row>
    <row r="1102" spans="1:33" x14ac:dyDescent="0.35">
      <c r="A1102" s="1">
        <v>44878.890277777777</v>
      </c>
      <c r="B1102">
        <v>5829217</v>
      </c>
      <c r="C1102" t="s">
        <v>626</v>
      </c>
      <c r="D1102" t="s">
        <v>627</v>
      </c>
      <c r="E1102" s="2">
        <v>43259</v>
      </c>
      <c r="F1102" t="str">
        <f>"9781496395139"</f>
        <v>9781496395139</v>
      </c>
      <c r="G1102" t="str">
        <f>"9781496335418"</f>
        <v>9781496335418</v>
      </c>
      <c r="H1102" t="s">
        <v>77</v>
      </c>
      <c r="I1102" t="s">
        <v>628</v>
      </c>
      <c r="J1102" t="s">
        <v>629</v>
      </c>
      <c r="K1102" t="s">
        <v>44</v>
      </c>
      <c r="N1102" t="s">
        <v>45</v>
      </c>
      <c r="O1102" t="s">
        <v>46</v>
      </c>
      <c r="P1102" t="s">
        <v>45</v>
      </c>
      <c r="Q1102" t="s">
        <v>47</v>
      </c>
      <c r="R1102" t="s">
        <v>44</v>
      </c>
      <c r="S1102">
        <v>0</v>
      </c>
      <c r="W1102" s="3">
        <v>7.4687500000000004E-2</v>
      </c>
      <c r="X1102" t="s">
        <v>2576</v>
      </c>
      <c r="Y1102">
        <v>74</v>
      </c>
      <c r="Z1102">
        <v>1</v>
      </c>
      <c r="AA1102" t="s">
        <v>1648</v>
      </c>
      <c r="AB1102">
        <v>1</v>
      </c>
      <c r="AC1102" t="s">
        <v>1648</v>
      </c>
      <c r="AD1102">
        <v>1</v>
      </c>
      <c r="AE1102">
        <v>-1</v>
      </c>
      <c r="AF1102" t="s">
        <v>50</v>
      </c>
      <c r="AG1102" t="s">
        <v>264</v>
      </c>
    </row>
    <row r="1103" spans="1:33" x14ac:dyDescent="0.35">
      <c r="A1103" s="1">
        <v>44878.870833333334</v>
      </c>
      <c r="B1103">
        <v>3019201</v>
      </c>
      <c r="C1103" t="s">
        <v>2493</v>
      </c>
      <c r="D1103" t="s">
        <v>137</v>
      </c>
      <c r="E1103" s="2">
        <v>40743</v>
      </c>
      <c r="F1103" t="str">
        <f>"9781612091907"</f>
        <v>9781612091907</v>
      </c>
      <c r="G1103" t="str">
        <f>"9781611224627"</f>
        <v>9781611224627</v>
      </c>
      <c r="H1103" t="s">
        <v>525</v>
      </c>
      <c r="I1103">
        <v>613.70000000000005</v>
      </c>
      <c r="J1103" t="s">
        <v>2494</v>
      </c>
      <c r="K1103" t="s">
        <v>44</v>
      </c>
      <c r="N1103" t="s">
        <v>45</v>
      </c>
      <c r="O1103" t="s">
        <v>46</v>
      </c>
      <c r="P1103" t="s">
        <v>177</v>
      </c>
      <c r="Q1103" t="s">
        <v>47</v>
      </c>
      <c r="R1103" t="s">
        <v>55</v>
      </c>
      <c r="S1103">
        <v>0</v>
      </c>
      <c r="W1103" s="3">
        <v>2.8020833333333332E-2</v>
      </c>
      <c r="X1103" t="s">
        <v>2577</v>
      </c>
      <c r="Y1103">
        <v>53</v>
      </c>
      <c r="Z1103">
        <v>0</v>
      </c>
      <c r="AA1103" t="s">
        <v>49</v>
      </c>
      <c r="AB1103">
        <v>0</v>
      </c>
      <c r="AC1103" t="s">
        <v>2578</v>
      </c>
      <c r="AD1103">
        <v>1</v>
      </c>
      <c r="AE1103">
        <v>10663008</v>
      </c>
      <c r="AF1103" t="s">
        <v>50</v>
      </c>
      <c r="AG1103" t="s">
        <v>388</v>
      </c>
    </row>
    <row r="1104" spans="1:33" x14ac:dyDescent="0.35">
      <c r="A1104" s="1">
        <v>44878.772916666669</v>
      </c>
      <c r="B1104">
        <v>848526</v>
      </c>
      <c r="C1104" t="s">
        <v>2541</v>
      </c>
      <c r="D1104" t="s">
        <v>59</v>
      </c>
      <c r="E1104" s="2">
        <v>41212</v>
      </c>
      <c r="F1104" t="str">
        <f>"9781118310069"</f>
        <v>9781118310069</v>
      </c>
      <c r="G1104" t="str">
        <f>"9780470566671"</f>
        <v>9780470566671</v>
      </c>
      <c r="H1104" t="s">
        <v>2542</v>
      </c>
      <c r="I1104">
        <v>610.28</v>
      </c>
      <c r="J1104" t="s">
        <v>2543</v>
      </c>
      <c r="K1104" t="s">
        <v>44</v>
      </c>
      <c r="N1104" t="s">
        <v>45</v>
      </c>
      <c r="O1104" t="s">
        <v>46</v>
      </c>
      <c r="P1104" t="s">
        <v>45</v>
      </c>
      <c r="Q1104" t="s">
        <v>47</v>
      </c>
      <c r="R1104" t="s">
        <v>44</v>
      </c>
      <c r="S1104">
        <v>0</v>
      </c>
      <c r="W1104" s="3">
        <v>2.8935185185185189E-4</v>
      </c>
      <c r="X1104" t="s">
        <v>2579</v>
      </c>
      <c r="Y1104">
        <v>3</v>
      </c>
      <c r="Z1104">
        <v>0</v>
      </c>
      <c r="AA1104" t="s">
        <v>49</v>
      </c>
      <c r="AB1104">
        <v>0</v>
      </c>
      <c r="AC1104" t="s">
        <v>49</v>
      </c>
      <c r="AD1104">
        <v>0</v>
      </c>
      <c r="AE1104">
        <v>10615085</v>
      </c>
      <c r="AF1104" t="s">
        <v>50</v>
      </c>
      <c r="AG1104" t="s">
        <v>2241</v>
      </c>
    </row>
    <row r="1105" spans="1:33" x14ac:dyDescent="0.35">
      <c r="A1105" s="1">
        <v>44878.756944444445</v>
      </c>
      <c r="B1105">
        <v>5829217</v>
      </c>
      <c r="C1105" t="s">
        <v>626</v>
      </c>
      <c r="D1105" t="s">
        <v>627</v>
      </c>
      <c r="E1105" s="2">
        <v>43259</v>
      </c>
      <c r="F1105" t="str">
        <f>"9781496395139"</f>
        <v>9781496395139</v>
      </c>
      <c r="G1105" t="str">
        <f>"9781496335418"</f>
        <v>9781496335418</v>
      </c>
      <c r="H1105" t="s">
        <v>77</v>
      </c>
      <c r="I1105" t="s">
        <v>628</v>
      </c>
      <c r="J1105" t="s">
        <v>629</v>
      </c>
      <c r="K1105" t="s">
        <v>44</v>
      </c>
      <c r="N1105" t="s">
        <v>45</v>
      </c>
      <c r="O1105" t="s">
        <v>46</v>
      </c>
      <c r="P1105" t="s">
        <v>45</v>
      </c>
      <c r="Q1105" t="s">
        <v>47</v>
      </c>
      <c r="R1105" t="s">
        <v>44</v>
      </c>
      <c r="S1105">
        <v>1</v>
      </c>
      <c r="W1105" s="3">
        <v>1.1574074074074073E-5</v>
      </c>
      <c r="X1105" t="s">
        <v>49</v>
      </c>
      <c r="Y1105">
        <v>0</v>
      </c>
      <c r="Z1105">
        <v>0</v>
      </c>
      <c r="AA1105" t="s">
        <v>49</v>
      </c>
      <c r="AB1105">
        <v>0</v>
      </c>
      <c r="AC1105" t="s">
        <v>49</v>
      </c>
      <c r="AD1105">
        <v>0</v>
      </c>
      <c r="AE1105">
        <v>-1</v>
      </c>
      <c r="AF1105" t="s">
        <v>63</v>
      </c>
      <c r="AG1105" t="s">
        <v>630</v>
      </c>
    </row>
    <row r="1106" spans="1:33" x14ac:dyDescent="0.35">
      <c r="A1106" s="1">
        <v>44878.71875</v>
      </c>
      <c r="B1106">
        <v>5829217</v>
      </c>
      <c r="C1106" t="s">
        <v>626</v>
      </c>
      <c r="D1106" t="s">
        <v>627</v>
      </c>
      <c r="E1106" s="2">
        <v>43259</v>
      </c>
      <c r="F1106" t="str">
        <f>"9781496395139"</f>
        <v>9781496395139</v>
      </c>
      <c r="G1106" t="str">
        <f>"9781496335418"</f>
        <v>9781496335418</v>
      </c>
      <c r="H1106" t="s">
        <v>77</v>
      </c>
      <c r="I1106" t="s">
        <v>628</v>
      </c>
      <c r="J1106" t="s">
        <v>629</v>
      </c>
      <c r="K1106" t="s">
        <v>44</v>
      </c>
      <c r="N1106" t="s">
        <v>45</v>
      </c>
      <c r="O1106" t="s">
        <v>46</v>
      </c>
      <c r="P1106" t="s">
        <v>45</v>
      </c>
      <c r="Q1106" t="s">
        <v>47</v>
      </c>
      <c r="R1106" t="s">
        <v>44</v>
      </c>
      <c r="S1106">
        <v>0</v>
      </c>
      <c r="W1106" s="3">
        <v>2.3958333333333331E-2</v>
      </c>
      <c r="X1106" t="s">
        <v>2580</v>
      </c>
      <c r="Y1106">
        <v>34</v>
      </c>
      <c r="Z1106">
        <v>0</v>
      </c>
      <c r="AA1106" t="s">
        <v>49</v>
      </c>
      <c r="AB1106">
        <v>0</v>
      </c>
      <c r="AC1106" t="s">
        <v>49</v>
      </c>
      <c r="AD1106">
        <v>0</v>
      </c>
      <c r="AE1106">
        <v>-1</v>
      </c>
      <c r="AF1106" t="s">
        <v>50</v>
      </c>
      <c r="AG1106" t="s">
        <v>670</v>
      </c>
    </row>
    <row r="1107" spans="1:33" x14ac:dyDescent="0.35">
      <c r="A1107" s="1">
        <v>44878.65902777778</v>
      </c>
      <c r="B1107">
        <v>697607</v>
      </c>
      <c r="C1107" t="s">
        <v>2581</v>
      </c>
      <c r="D1107" t="s">
        <v>59</v>
      </c>
      <c r="E1107" s="2">
        <v>40770</v>
      </c>
      <c r="F1107" t="str">
        <f>"9781119976165"</f>
        <v>9781119976165</v>
      </c>
      <c r="G1107" t="str">
        <f>"9781119976172"</f>
        <v>9781119976172</v>
      </c>
      <c r="H1107" t="s">
        <v>2582</v>
      </c>
      <c r="I1107">
        <v>670.28499999999997</v>
      </c>
      <c r="J1107" t="s">
        <v>2583</v>
      </c>
      <c r="K1107" t="s">
        <v>44</v>
      </c>
      <c r="N1107" t="s">
        <v>45</v>
      </c>
      <c r="O1107" t="s">
        <v>46</v>
      </c>
      <c r="P1107" t="s">
        <v>45</v>
      </c>
      <c r="Q1107" t="s">
        <v>47</v>
      </c>
      <c r="R1107" t="s">
        <v>44</v>
      </c>
      <c r="S1107">
        <v>0</v>
      </c>
      <c r="W1107" s="3">
        <v>1.494212962962963E-2</v>
      </c>
      <c r="X1107" t="s">
        <v>2584</v>
      </c>
      <c r="Y1107">
        <v>4</v>
      </c>
      <c r="Z1107">
        <v>0</v>
      </c>
      <c r="AA1107" t="s">
        <v>49</v>
      </c>
      <c r="AB1107">
        <v>0</v>
      </c>
      <c r="AC1107" t="s">
        <v>49</v>
      </c>
      <c r="AD1107">
        <v>0</v>
      </c>
      <c r="AE1107">
        <v>10483232</v>
      </c>
      <c r="AF1107" t="s">
        <v>50</v>
      </c>
      <c r="AG1107" t="s">
        <v>388</v>
      </c>
    </row>
    <row r="1108" spans="1:33" x14ac:dyDescent="0.35">
      <c r="A1108" s="1">
        <v>44878.656944444447</v>
      </c>
      <c r="B1108">
        <v>3050647</v>
      </c>
      <c r="C1108" t="s">
        <v>2585</v>
      </c>
      <c r="D1108" t="s">
        <v>711</v>
      </c>
      <c r="E1108" s="2">
        <v>37987</v>
      </c>
      <c r="F1108" t="str">
        <f>"9781280085109"</f>
        <v>9781280085109</v>
      </c>
      <c r="G1108" t="str">
        <f>"9780821357019"</f>
        <v>9780821357019</v>
      </c>
      <c r="H1108" t="s">
        <v>691</v>
      </c>
      <c r="I1108" t="s">
        <v>2586</v>
      </c>
      <c r="J1108" t="s">
        <v>2587</v>
      </c>
      <c r="K1108" t="s">
        <v>44</v>
      </c>
      <c r="N1108" t="s">
        <v>45</v>
      </c>
      <c r="O1108" t="s">
        <v>46</v>
      </c>
      <c r="P1108" t="s">
        <v>177</v>
      </c>
      <c r="Q1108" t="s">
        <v>47</v>
      </c>
      <c r="R1108" t="s">
        <v>55</v>
      </c>
      <c r="S1108">
        <v>1</v>
      </c>
      <c r="W1108" s="3">
        <v>0</v>
      </c>
      <c r="X1108" t="s">
        <v>49</v>
      </c>
      <c r="Y1108">
        <v>0</v>
      </c>
      <c r="Z1108">
        <v>0</v>
      </c>
      <c r="AA1108" t="s">
        <v>49</v>
      </c>
      <c r="AB1108">
        <v>0</v>
      </c>
      <c r="AC1108" t="s">
        <v>49</v>
      </c>
      <c r="AD1108">
        <v>0</v>
      </c>
      <c r="AE1108">
        <v>10048618</v>
      </c>
      <c r="AF1108" t="s">
        <v>63</v>
      </c>
      <c r="AG1108" t="s">
        <v>388</v>
      </c>
    </row>
    <row r="1109" spans="1:33" x14ac:dyDescent="0.35">
      <c r="A1109" s="1">
        <v>44878.652777777781</v>
      </c>
      <c r="B1109">
        <v>1099785</v>
      </c>
      <c r="C1109" t="s">
        <v>2588</v>
      </c>
      <c r="D1109" t="s">
        <v>502</v>
      </c>
      <c r="E1109" s="2">
        <v>41277</v>
      </c>
      <c r="F1109" t="str">
        <f>"9781139611404"</f>
        <v>9781139611404</v>
      </c>
      <c r="G1109" t="str">
        <f>"9780521187084"</f>
        <v>9780521187084</v>
      </c>
      <c r="H1109" t="s">
        <v>2589</v>
      </c>
      <c r="I1109">
        <v>174</v>
      </c>
      <c r="J1109" t="s">
        <v>2590</v>
      </c>
      <c r="K1109" t="s">
        <v>44</v>
      </c>
      <c r="N1109" t="s">
        <v>45</v>
      </c>
      <c r="O1109" t="s">
        <v>46</v>
      </c>
      <c r="P1109" t="s">
        <v>45</v>
      </c>
      <c r="Q1109" t="s">
        <v>47</v>
      </c>
      <c r="R1109" t="s">
        <v>44</v>
      </c>
      <c r="S1109">
        <v>0</v>
      </c>
      <c r="W1109" s="3">
        <v>7.175925925925927E-4</v>
      </c>
      <c r="X1109" t="s">
        <v>2591</v>
      </c>
      <c r="Y1109">
        <v>7</v>
      </c>
      <c r="Z1109">
        <v>0</v>
      </c>
      <c r="AA1109" t="s">
        <v>49</v>
      </c>
      <c r="AB1109">
        <v>0</v>
      </c>
      <c r="AC1109" t="s">
        <v>49</v>
      </c>
      <c r="AD1109">
        <v>0</v>
      </c>
      <c r="AE1109">
        <v>10634031</v>
      </c>
      <c r="AF1109" t="s">
        <v>50</v>
      </c>
      <c r="AG1109" t="s">
        <v>388</v>
      </c>
    </row>
    <row r="1110" spans="1:33" x14ac:dyDescent="0.35">
      <c r="A1110" s="1">
        <v>44878.644444444442</v>
      </c>
      <c r="B1110">
        <v>279494</v>
      </c>
      <c r="C1110" t="s">
        <v>1333</v>
      </c>
      <c r="D1110" t="s">
        <v>125</v>
      </c>
      <c r="E1110" s="2">
        <v>37280</v>
      </c>
      <c r="F1110" t="str">
        <f>"9780198032953"</f>
        <v>9780198032953</v>
      </c>
      <c r="G1110" t="str">
        <f>"9780195144208"</f>
        <v>9780195144208</v>
      </c>
      <c r="H1110" t="s">
        <v>667</v>
      </c>
      <c r="I1110" t="s">
        <v>1334</v>
      </c>
      <c r="J1110" t="s">
        <v>1335</v>
      </c>
      <c r="K1110" t="s">
        <v>44</v>
      </c>
      <c r="N1110" t="s">
        <v>45</v>
      </c>
      <c r="O1110" t="s">
        <v>46</v>
      </c>
      <c r="P1110" t="s">
        <v>45</v>
      </c>
      <c r="Q1110" t="s">
        <v>47</v>
      </c>
      <c r="R1110" t="s">
        <v>44</v>
      </c>
      <c r="S1110">
        <v>0</v>
      </c>
      <c r="W1110" s="3">
        <v>3.0034722222222223E-2</v>
      </c>
      <c r="X1110" t="s">
        <v>2592</v>
      </c>
      <c r="Y1110">
        <v>13</v>
      </c>
      <c r="Z1110">
        <v>0</v>
      </c>
      <c r="AA1110" t="s">
        <v>49</v>
      </c>
      <c r="AB1110">
        <v>0</v>
      </c>
      <c r="AC1110" t="s">
        <v>49</v>
      </c>
      <c r="AD1110">
        <v>0</v>
      </c>
      <c r="AE1110">
        <v>11303309</v>
      </c>
      <c r="AF1110" t="s">
        <v>50</v>
      </c>
      <c r="AG1110" t="s">
        <v>388</v>
      </c>
    </row>
    <row r="1111" spans="1:33" x14ac:dyDescent="0.35">
      <c r="A1111" s="1">
        <v>44878.633333333331</v>
      </c>
      <c r="B1111">
        <v>6614337</v>
      </c>
      <c r="C1111" t="s">
        <v>2593</v>
      </c>
      <c r="D1111" t="s">
        <v>76</v>
      </c>
      <c r="E1111" s="2">
        <v>44378</v>
      </c>
      <c r="F1111" t="str">
        <f>"9781351596671"</f>
        <v>9781351596671</v>
      </c>
      <c r="G1111" t="str">
        <f>"9781138099777"</f>
        <v>9781138099777</v>
      </c>
      <c r="H1111" t="s">
        <v>900</v>
      </c>
      <c r="I1111">
        <v>330.95600000000002</v>
      </c>
      <c r="J1111" t="s">
        <v>2594</v>
      </c>
      <c r="K1111" t="s">
        <v>55</v>
      </c>
      <c r="Q1111" t="s">
        <v>47</v>
      </c>
      <c r="R1111" t="s">
        <v>44</v>
      </c>
      <c r="S1111">
        <v>0</v>
      </c>
      <c r="W1111" s="3">
        <v>1.5844907407407408E-2</v>
      </c>
      <c r="X1111" t="s">
        <v>2595</v>
      </c>
      <c r="Y1111">
        <v>23</v>
      </c>
      <c r="Z1111">
        <v>0</v>
      </c>
      <c r="AA1111" t="s">
        <v>49</v>
      </c>
      <c r="AB1111">
        <v>0</v>
      </c>
      <c r="AC1111" t="s">
        <v>49</v>
      </c>
      <c r="AD1111">
        <v>0</v>
      </c>
      <c r="AE1111">
        <v>-1</v>
      </c>
      <c r="AF1111" t="s">
        <v>63</v>
      </c>
      <c r="AG1111" t="s">
        <v>388</v>
      </c>
    </row>
    <row r="1112" spans="1:33" x14ac:dyDescent="0.35">
      <c r="A1112" s="1">
        <v>44878.587500000001</v>
      </c>
      <c r="B1112">
        <v>279494</v>
      </c>
      <c r="C1112" t="s">
        <v>1333</v>
      </c>
      <c r="D1112" t="s">
        <v>125</v>
      </c>
      <c r="E1112" s="2">
        <v>37280</v>
      </c>
      <c r="F1112" t="str">
        <f>"9780198032953"</f>
        <v>9780198032953</v>
      </c>
      <c r="G1112" t="str">
        <f>"9780195144208"</f>
        <v>9780195144208</v>
      </c>
      <c r="H1112" t="s">
        <v>667</v>
      </c>
      <c r="I1112" t="s">
        <v>1334</v>
      </c>
      <c r="J1112" t="s">
        <v>1335</v>
      </c>
      <c r="K1112" t="s">
        <v>44</v>
      </c>
      <c r="N1112" t="s">
        <v>45</v>
      </c>
      <c r="O1112" t="s">
        <v>46</v>
      </c>
      <c r="P1112" t="s">
        <v>45</v>
      </c>
      <c r="Q1112" t="s">
        <v>47</v>
      </c>
      <c r="R1112" t="s">
        <v>44</v>
      </c>
      <c r="S1112">
        <v>0</v>
      </c>
      <c r="W1112" s="3">
        <v>4.6296296296296294E-5</v>
      </c>
      <c r="X1112" t="s">
        <v>121</v>
      </c>
      <c r="Y1112">
        <v>1</v>
      </c>
      <c r="Z1112">
        <v>0</v>
      </c>
      <c r="AA1112" t="s">
        <v>49</v>
      </c>
      <c r="AB1112">
        <v>0</v>
      </c>
      <c r="AC1112" t="s">
        <v>49</v>
      </c>
      <c r="AD1112">
        <v>0</v>
      </c>
      <c r="AE1112">
        <v>11303309</v>
      </c>
      <c r="AF1112" t="s">
        <v>50</v>
      </c>
      <c r="AG1112" t="s">
        <v>630</v>
      </c>
    </row>
    <row r="1113" spans="1:33" x14ac:dyDescent="0.35">
      <c r="A1113" s="1">
        <v>44878.538888888892</v>
      </c>
      <c r="B1113">
        <v>848526</v>
      </c>
      <c r="C1113" t="s">
        <v>2541</v>
      </c>
      <c r="D1113" t="s">
        <v>59</v>
      </c>
      <c r="E1113" s="2">
        <v>41212</v>
      </c>
      <c r="F1113" t="str">
        <f>"9781118310069"</f>
        <v>9781118310069</v>
      </c>
      <c r="G1113" t="str">
        <f>"9780470566671"</f>
        <v>9780470566671</v>
      </c>
      <c r="H1113" t="s">
        <v>2542</v>
      </c>
      <c r="I1113">
        <v>610.28</v>
      </c>
      <c r="J1113" t="s">
        <v>2543</v>
      </c>
      <c r="K1113" t="s">
        <v>44</v>
      </c>
      <c r="N1113" t="s">
        <v>45</v>
      </c>
      <c r="O1113" t="s">
        <v>46</v>
      </c>
      <c r="P1113" t="s">
        <v>45</v>
      </c>
      <c r="Q1113" t="s">
        <v>47</v>
      </c>
      <c r="R1113" t="s">
        <v>44</v>
      </c>
      <c r="S1113">
        <v>0</v>
      </c>
      <c r="W1113" s="3">
        <v>3.9699074074074072E-3</v>
      </c>
      <c r="X1113" t="s">
        <v>2596</v>
      </c>
      <c r="Y1113">
        <v>10</v>
      </c>
      <c r="Z1113">
        <v>0</v>
      </c>
      <c r="AA1113" t="s">
        <v>49</v>
      </c>
      <c r="AB1113">
        <v>0</v>
      </c>
      <c r="AC1113" t="s">
        <v>49</v>
      </c>
      <c r="AD1113">
        <v>0</v>
      </c>
      <c r="AE1113">
        <v>10615085</v>
      </c>
      <c r="AF1113" t="s">
        <v>50</v>
      </c>
      <c r="AG1113" t="s">
        <v>996</v>
      </c>
    </row>
    <row r="1114" spans="1:33" x14ac:dyDescent="0.35">
      <c r="A1114" s="1">
        <v>44878.478472222225</v>
      </c>
      <c r="B1114">
        <v>5447812</v>
      </c>
      <c r="C1114" t="s">
        <v>2597</v>
      </c>
      <c r="D1114" t="s">
        <v>76</v>
      </c>
      <c r="E1114" s="2">
        <v>43291</v>
      </c>
      <c r="F1114" t="str">
        <f>"9781351136402"</f>
        <v>9781351136402</v>
      </c>
      <c r="G1114" t="str">
        <f>"9780815353423"</f>
        <v>9780815353423</v>
      </c>
      <c r="H1114" t="s">
        <v>244</v>
      </c>
      <c r="I1114">
        <v>150.721</v>
      </c>
      <c r="J1114" t="s">
        <v>2598</v>
      </c>
      <c r="K1114" t="s">
        <v>55</v>
      </c>
      <c r="Q1114" t="s">
        <v>47</v>
      </c>
      <c r="R1114" t="s">
        <v>44</v>
      </c>
      <c r="S1114">
        <v>0</v>
      </c>
      <c r="W1114" s="3">
        <v>4.9421296296296288E-3</v>
      </c>
      <c r="X1114" t="s">
        <v>1601</v>
      </c>
      <c r="Y1114">
        <v>3</v>
      </c>
      <c r="Z1114">
        <v>0</v>
      </c>
      <c r="AA1114" t="s">
        <v>49</v>
      </c>
      <c r="AB1114">
        <v>0</v>
      </c>
      <c r="AC1114" t="s">
        <v>49</v>
      </c>
      <c r="AD1114">
        <v>0</v>
      </c>
      <c r="AE1114">
        <v>11591493</v>
      </c>
      <c r="AF1114" t="s">
        <v>50</v>
      </c>
      <c r="AG1114" t="s">
        <v>388</v>
      </c>
    </row>
    <row r="1115" spans="1:33" x14ac:dyDescent="0.35">
      <c r="A1115" s="1">
        <v>44878.439583333333</v>
      </c>
      <c r="B1115">
        <v>4500561</v>
      </c>
      <c r="C1115" t="s">
        <v>2599</v>
      </c>
      <c r="D1115" t="s">
        <v>844</v>
      </c>
      <c r="E1115" s="2">
        <v>42375</v>
      </c>
      <c r="F1115" t="str">
        <f>"9781785606502"</f>
        <v>9781785606502</v>
      </c>
      <c r="G1115" t="str">
        <f>"9781785606519"</f>
        <v>9781785606519</v>
      </c>
      <c r="H1115" t="s">
        <v>60</v>
      </c>
      <c r="I1115" t="s">
        <v>1652</v>
      </c>
      <c r="J1115" t="s">
        <v>2600</v>
      </c>
      <c r="K1115" t="s">
        <v>44</v>
      </c>
      <c r="N1115" t="s">
        <v>45</v>
      </c>
      <c r="O1115" t="s">
        <v>46</v>
      </c>
      <c r="P1115" t="s">
        <v>45</v>
      </c>
      <c r="Q1115" t="s">
        <v>47</v>
      </c>
      <c r="R1115" t="s">
        <v>44</v>
      </c>
      <c r="S1115">
        <v>0</v>
      </c>
      <c r="W1115" s="3">
        <v>3.3217592592592597E-2</v>
      </c>
      <c r="X1115" t="s">
        <v>2601</v>
      </c>
      <c r="Y1115">
        <v>19</v>
      </c>
      <c r="Z1115">
        <v>0</v>
      </c>
      <c r="AA1115" t="s">
        <v>49</v>
      </c>
      <c r="AB1115">
        <v>0</v>
      </c>
      <c r="AC1115" t="s">
        <v>49</v>
      </c>
      <c r="AD1115">
        <v>0</v>
      </c>
      <c r="AE1115">
        <v>11203798</v>
      </c>
      <c r="AF1115" t="s">
        <v>50</v>
      </c>
      <c r="AG1115" t="s">
        <v>388</v>
      </c>
    </row>
    <row r="1116" spans="1:33" x14ac:dyDescent="0.35">
      <c r="A1116" s="1">
        <v>44878.413194444445</v>
      </c>
      <c r="B1116">
        <v>279494</v>
      </c>
      <c r="C1116" t="s">
        <v>1333</v>
      </c>
      <c r="D1116" t="s">
        <v>125</v>
      </c>
      <c r="E1116" s="2">
        <v>37280</v>
      </c>
      <c r="F1116" t="str">
        <f>"9780198032953"</f>
        <v>9780198032953</v>
      </c>
      <c r="G1116" t="str">
        <f>"9780195144208"</f>
        <v>9780195144208</v>
      </c>
      <c r="H1116" t="s">
        <v>667</v>
      </c>
      <c r="I1116" t="s">
        <v>1334</v>
      </c>
      <c r="J1116" t="s">
        <v>1335</v>
      </c>
      <c r="K1116" t="s">
        <v>44</v>
      </c>
      <c r="N1116" t="s">
        <v>45</v>
      </c>
      <c r="O1116" t="s">
        <v>46</v>
      </c>
      <c r="P1116" t="s">
        <v>45</v>
      </c>
      <c r="Q1116" t="s">
        <v>47</v>
      </c>
      <c r="R1116" t="s">
        <v>44</v>
      </c>
      <c r="S1116">
        <v>0</v>
      </c>
      <c r="W1116" s="3">
        <v>5.0925925925925921E-4</v>
      </c>
      <c r="X1116" t="s">
        <v>2602</v>
      </c>
      <c r="Y1116">
        <v>11</v>
      </c>
      <c r="Z1116">
        <v>0</v>
      </c>
      <c r="AA1116" t="s">
        <v>49</v>
      </c>
      <c r="AB1116">
        <v>0</v>
      </c>
      <c r="AC1116" t="s">
        <v>49</v>
      </c>
      <c r="AD1116">
        <v>0</v>
      </c>
      <c r="AE1116">
        <v>11303309</v>
      </c>
      <c r="AF1116" t="s">
        <v>50</v>
      </c>
      <c r="AG1116" t="s">
        <v>1718</v>
      </c>
    </row>
    <row r="1117" spans="1:33" x14ac:dyDescent="0.35">
      <c r="A1117" s="1">
        <v>44878.411111111112</v>
      </c>
      <c r="B1117">
        <v>716578</v>
      </c>
      <c r="C1117" t="s">
        <v>506</v>
      </c>
      <c r="D1117" t="s">
        <v>507</v>
      </c>
      <c r="E1117" s="2">
        <v>40679</v>
      </c>
      <c r="F1117" t="str">
        <f>"9780748646302"</f>
        <v>9780748646302</v>
      </c>
      <c r="G1117" t="str">
        <f>"9780748640577"</f>
        <v>9780748640577</v>
      </c>
      <c r="H1117" t="s">
        <v>162</v>
      </c>
      <c r="I1117">
        <v>211.822</v>
      </c>
      <c r="J1117" t="s">
        <v>508</v>
      </c>
      <c r="K1117" t="s">
        <v>44</v>
      </c>
      <c r="N1117" t="s">
        <v>45</v>
      </c>
      <c r="O1117" t="s">
        <v>46</v>
      </c>
      <c r="P1117" t="s">
        <v>45</v>
      </c>
      <c r="Q1117" t="s">
        <v>47</v>
      </c>
      <c r="R1117" t="s">
        <v>44</v>
      </c>
      <c r="S1117">
        <v>0</v>
      </c>
      <c r="W1117" s="3">
        <v>8.9629629629629629E-2</v>
      </c>
      <c r="X1117" t="s">
        <v>2603</v>
      </c>
      <c r="Y1117">
        <v>33</v>
      </c>
      <c r="Z1117">
        <v>0</v>
      </c>
      <c r="AA1117" t="s">
        <v>49</v>
      </c>
      <c r="AB1117">
        <v>0</v>
      </c>
      <c r="AC1117" t="s">
        <v>2604</v>
      </c>
      <c r="AD1117">
        <v>1</v>
      </c>
      <c r="AE1117">
        <v>10478313</v>
      </c>
      <c r="AF1117" t="s">
        <v>50</v>
      </c>
      <c r="AG1117" t="s">
        <v>388</v>
      </c>
    </row>
    <row r="1118" spans="1:33" x14ac:dyDescent="0.35">
      <c r="A1118" s="1">
        <v>44878.375694444447</v>
      </c>
      <c r="B1118">
        <v>5945867</v>
      </c>
      <c r="C1118" t="s">
        <v>991</v>
      </c>
      <c r="D1118" t="s">
        <v>992</v>
      </c>
      <c r="E1118" s="2">
        <v>43800</v>
      </c>
      <c r="F1118" t="str">
        <f>"9781640122796"</f>
        <v>9781640122796</v>
      </c>
      <c r="G1118" t="str">
        <f>"9781640122208"</f>
        <v>9781640122208</v>
      </c>
      <c r="H1118" t="s">
        <v>667</v>
      </c>
      <c r="I1118">
        <v>940.5412</v>
      </c>
      <c r="J1118" t="s">
        <v>993</v>
      </c>
      <c r="K1118" t="s">
        <v>44</v>
      </c>
      <c r="N1118" t="s">
        <v>45</v>
      </c>
      <c r="O1118" t="s">
        <v>46</v>
      </c>
      <c r="P1118" t="s">
        <v>177</v>
      </c>
      <c r="Q1118" t="s">
        <v>47</v>
      </c>
      <c r="R1118" t="s">
        <v>55</v>
      </c>
      <c r="S1118">
        <v>0</v>
      </c>
      <c r="W1118" s="3">
        <v>9.2013888888888892E-3</v>
      </c>
      <c r="X1118" t="s">
        <v>2605</v>
      </c>
      <c r="Y1118">
        <v>2</v>
      </c>
      <c r="Z1118">
        <v>0</v>
      </c>
      <c r="AA1118" t="s">
        <v>49</v>
      </c>
      <c r="AB1118">
        <v>0</v>
      </c>
      <c r="AC1118" t="s">
        <v>49</v>
      </c>
      <c r="AD1118">
        <v>0</v>
      </c>
      <c r="AE1118">
        <v>-1</v>
      </c>
      <c r="AF1118" t="s">
        <v>50</v>
      </c>
      <c r="AG1118" t="s">
        <v>388</v>
      </c>
    </row>
    <row r="1119" spans="1:33" x14ac:dyDescent="0.35">
      <c r="A1119" s="1">
        <v>44878.092361111114</v>
      </c>
      <c r="B1119">
        <v>817910</v>
      </c>
      <c r="C1119" t="s">
        <v>2606</v>
      </c>
      <c r="D1119" t="s">
        <v>59</v>
      </c>
      <c r="E1119" s="2">
        <v>40994</v>
      </c>
      <c r="F1119" t="str">
        <f>"9781118218501"</f>
        <v>9781118218501</v>
      </c>
      <c r="G1119" t="str">
        <f>"9780470936986"</f>
        <v>9780470936986</v>
      </c>
      <c r="H1119" t="s">
        <v>43</v>
      </c>
      <c r="I1119">
        <v>519.5</v>
      </c>
      <c r="J1119" t="s">
        <v>2607</v>
      </c>
      <c r="K1119" t="s">
        <v>55</v>
      </c>
      <c r="P1119" t="s">
        <v>97</v>
      </c>
      <c r="Q1119" t="s">
        <v>47</v>
      </c>
      <c r="R1119" t="s">
        <v>44</v>
      </c>
      <c r="S1119">
        <v>0</v>
      </c>
      <c r="W1119" s="3">
        <v>6.3888888888888884E-3</v>
      </c>
      <c r="X1119" t="s">
        <v>2608</v>
      </c>
      <c r="Y1119">
        <v>24</v>
      </c>
      <c r="Z1119">
        <v>0</v>
      </c>
      <c r="AA1119" t="s">
        <v>49</v>
      </c>
      <c r="AB1119">
        <v>0</v>
      </c>
      <c r="AC1119" t="s">
        <v>49</v>
      </c>
      <c r="AD1119">
        <v>0</v>
      </c>
      <c r="AE1119">
        <v>10558114</v>
      </c>
      <c r="AF1119" t="s">
        <v>50</v>
      </c>
      <c r="AG1119" t="s">
        <v>2368</v>
      </c>
    </row>
    <row r="1120" spans="1:33" x14ac:dyDescent="0.35">
      <c r="A1120" s="1">
        <v>44878.029861111114</v>
      </c>
      <c r="B1120">
        <v>1817826</v>
      </c>
      <c r="C1120" t="s">
        <v>2609</v>
      </c>
      <c r="D1120" t="s">
        <v>65</v>
      </c>
      <c r="E1120" s="2">
        <v>34943</v>
      </c>
      <c r="F1120" t="str">
        <f>"9781483280097"</f>
        <v>9781483280097</v>
      </c>
      <c r="G1120" t="str">
        <f>"9780080422848"</f>
        <v>9780080422848</v>
      </c>
      <c r="H1120" t="s">
        <v>789</v>
      </c>
      <c r="I1120">
        <v>636.08870000000002</v>
      </c>
      <c r="J1120" t="s">
        <v>2610</v>
      </c>
      <c r="K1120" t="s">
        <v>44</v>
      </c>
      <c r="N1120" t="s">
        <v>45</v>
      </c>
      <c r="O1120" t="s">
        <v>46</v>
      </c>
      <c r="P1120" t="s">
        <v>45</v>
      </c>
      <c r="Q1120" t="s">
        <v>47</v>
      </c>
      <c r="R1120" t="s">
        <v>44</v>
      </c>
      <c r="S1120">
        <v>0</v>
      </c>
      <c r="W1120" s="3">
        <v>3.4722222222222222E-5</v>
      </c>
      <c r="X1120" t="s">
        <v>121</v>
      </c>
      <c r="Y1120">
        <v>1</v>
      </c>
      <c r="Z1120">
        <v>0</v>
      </c>
      <c r="AA1120" t="s">
        <v>49</v>
      </c>
      <c r="AB1120">
        <v>0</v>
      </c>
      <c r="AC1120" t="s">
        <v>49</v>
      </c>
      <c r="AD1120">
        <v>0</v>
      </c>
      <c r="AE1120">
        <v>10954355</v>
      </c>
      <c r="AF1120" t="s">
        <v>50</v>
      </c>
      <c r="AG1120" t="s">
        <v>1216</v>
      </c>
    </row>
    <row r="1121" spans="1:33" x14ac:dyDescent="0.35">
      <c r="A1121" s="1">
        <v>44878.018750000003</v>
      </c>
      <c r="B1121">
        <v>589949</v>
      </c>
      <c r="C1121" t="s">
        <v>2388</v>
      </c>
      <c r="D1121" t="s">
        <v>76</v>
      </c>
      <c r="E1121" s="2">
        <v>40402</v>
      </c>
      <c r="F1121" t="str">
        <f>"9781420086034"</f>
        <v>9781420086034</v>
      </c>
      <c r="G1121" t="str">
        <f>"9781420086027"</f>
        <v>9781420086027</v>
      </c>
      <c r="H1121" t="s">
        <v>60</v>
      </c>
      <c r="I1121">
        <v>658.5</v>
      </c>
      <c r="J1121" t="s">
        <v>2389</v>
      </c>
      <c r="K1121" t="s">
        <v>44</v>
      </c>
      <c r="N1121" t="s">
        <v>45</v>
      </c>
      <c r="O1121" t="s">
        <v>46</v>
      </c>
      <c r="P1121" t="s">
        <v>45</v>
      </c>
      <c r="Q1121" t="s">
        <v>47</v>
      </c>
      <c r="R1121" t="s">
        <v>44</v>
      </c>
      <c r="S1121">
        <v>0</v>
      </c>
      <c r="W1121" s="3">
        <v>6.4814814814814813E-4</v>
      </c>
      <c r="X1121" t="s">
        <v>2611</v>
      </c>
      <c r="Y1121">
        <v>6</v>
      </c>
      <c r="Z1121">
        <v>0</v>
      </c>
      <c r="AA1121" t="s">
        <v>49</v>
      </c>
      <c r="AB1121">
        <v>0</v>
      </c>
      <c r="AC1121" t="s">
        <v>49</v>
      </c>
      <c r="AD1121">
        <v>0</v>
      </c>
      <c r="AE1121">
        <v>10419911</v>
      </c>
      <c r="AF1121" t="s">
        <v>50</v>
      </c>
      <c r="AG1121" t="s">
        <v>2612</v>
      </c>
    </row>
    <row r="1122" spans="1:33" x14ac:dyDescent="0.35">
      <c r="A1122" s="1">
        <v>44877.856249999997</v>
      </c>
      <c r="B1122">
        <v>279494</v>
      </c>
      <c r="C1122" t="s">
        <v>1333</v>
      </c>
      <c r="D1122" t="s">
        <v>125</v>
      </c>
      <c r="E1122" s="2">
        <v>37280</v>
      </c>
      <c r="F1122" t="str">
        <f>"9780198032953"</f>
        <v>9780198032953</v>
      </c>
      <c r="G1122" t="str">
        <f>"9780195144208"</f>
        <v>9780195144208</v>
      </c>
      <c r="H1122" t="s">
        <v>667</v>
      </c>
      <c r="I1122" t="s">
        <v>1334</v>
      </c>
      <c r="J1122" t="s">
        <v>1335</v>
      </c>
      <c r="K1122" t="s">
        <v>44</v>
      </c>
      <c r="N1122" t="s">
        <v>45</v>
      </c>
      <c r="O1122" t="s">
        <v>46</v>
      </c>
      <c r="P1122" t="s">
        <v>45</v>
      </c>
      <c r="Q1122" t="s">
        <v>47</v>
      </c>
      <c r="R1122" t="s">
        <v>44</v>
      </c>
      <c r="S1122">
        <v>0</v>
      </c>
      <c r="W1122" s="3">
        <v>7.9861111111111105E-4</v>
      </c>
      <c r="X1122" t="s">
        <v>2613</v>
      </c>
      <c r="Y1122">
        <v>8</v>
      </c>
      <c r="Z1122">
        <v>0</v>
      </c>
      <c r="AA1122" t="s">
        <v>49</v>
      </c>
      <c r="AB1122">
        <v>0</v>
      </c>
      <c r="AC1122" t="s">
        <v>49</v>
      </c>
      <c r="AD1122">
        <v>0</v>
      </c>
      <c r="AE1122">
        <v>11303309</v>
      </c>
      <c r="AF1122" t="s">
        <v>50</v>
      </c>
      <c r="AG1122" t="s">
        <v>866</v>
      </c>
    </row>
    <row r="1123" spans="1:33" x14ac:dyDescent="0.35">
      <c r="A1123" s="1">
        <v>44877.844444444447</v>
      </c>
      <c r="B1123">
        <v>6859446</v>
      </c>
      <c r="C1123" t="s">
        <v>2217</v>
      </c>
      <c r="D1123" t="s">
        <v>213</v>
      </c>
      <c r="E1123" s="2">
        <v>44581</v>
      </c>
      <c r="F1123" t="str">
        <f>"9780128240892"</f>
        <v>9780128240892</v>
      </c>
      <c r="G1123" t="str">
        <f>"9780128240885"</f>
        <v>9780128240885</v>
      </c>
      <c r="H1123" t="s">
        <v>261</v>
      </c>
      <c r="I1123">
        <v>628.54999999999995</v>
      </c>
      <c r="J1123" t="s">
        <v>2218</v>
      </c>
      <c r="K1123" t="s">
        <v>55</v>
      </c>
      <c r="N1123" t="s">
        <v>293</v>
      </c>
      <c r="P1123" t="s">
        <v>80</v>
      </c>
      <c r="Q1123" t="s">
        <v>47</v>
      </c>
      <c r="R1123" t="s">
        <v>44</v>
      </c>
      <c r="S1123">
        <v>0</v>
      </c>
      <c r="T1123">
        <v>90</v>
      </c>
      <c r="U1123" s="1">
        <v>44873.510416666664</v>
      </c>
      <c r="V1123" s="1">
        <v>44963.510416666664</v>
      </c>
      <c r="W1123" s="3">
        <v>3.2870370370370367E-3</v>
      </c>
      <c r="X1123" t="s">
        <v>2614</v>
      </c>
      <c r="Y1123">
        <v>32</v>
      </c>
      <c r="Z1123">
        <v>2</v>
      </c>
      <c r="AA1123" t="s">
        <v>2615</v>
      </c>
      <c r="AB1123">
        <v>16</v>
      </c>
      <c r="AC1123" t="s">
        <v>2616</v>
      </c>
      <c r="AD1123">
        <v>1</v>
      </c>
      <c r="AE1123">
        <v>-1</v>
      </c>
      <c r="AF1123" t="s">
        <v>63</v>
      </c>
      <c r="AG1123" t="s">
        <v>388</v>
      </c>
    </row>
    <row r="1124" spans="1:33" x14ac:dyDescent="0.35">
      <c r="A1124" s="1">
        <v>44877.844444444447</v>
      </c>
      <c r="B1124">
        <v>6859446</v>
      </c>
      <c r="C1124" t="s">
        <v>2217</v>
      </c>
      <c r="D1124" t="s">
        <v>213</v>
      </c>
      <c r="E1124" s="2">
        <v>44581</v>
      </c>
      <c r="F1124" t="str">
        <f>"9780128240892"</f>
        <v>9780128240892</v>
      </c>
      <c r="G1124" t="str">
        <f>"9780128240885"</f>
        <v>9780128240885</v>
      </c>
      <c r="H1124" t="s">
        <v>261</v>
      </c>
      <c r="I1124">
        <v>628.54999999999995</v>
      </c>
      <c r="J1124" t="s">
        <v>2218</v>
      </c>
      <c r="K1124" t="s">
        <v>55</v>
      </c>
      <c r="N1124" t="s">
        <v>293</v>
      </c>
      <c r="P1124" t="s">
        <v>80</v>
      </c>
      <c r="Q1124" t="s">
        <v>47</v>
      </c>
      <c r="R1124" t="s">
        <v>44</v>
      </c>
      <c r="S1124">
        <v>0</v>
      </c>
      <c r="W1124" s="3">
        <v>3.4722222222222222E-5</v>
      </c>
      <c r="X1124" t="s">
        <v>2219</v>
      </c>
      <c r="Y1124">
        <v>1</v>
      </c>
      <c r="Z1124">
        <v>0</v>
      </c>
      <c r="AA1124" t="s">
        <v>49</v>
      </c>
      <c r="AB1124">
        <v>0</v>
      </c>
      <c r="AC1124" t="s">
        <v>49</v>
      </c>
      <c r="AD1124">
        <v>0</v>
      </c>
      <c r="AE1124">
        <v>-1</v>
      </c>
      <c r="AF1124" t="s">
        <v>50</v>
      </c>
      <c r="AG1124" t="s">
        <v>388</v>
      </c>
    </row>
    <row r="1125" spans="1:33" x14ac:dyDescent="0.35">
      <c r="A1125" s="1">
        <v>44877.814583333333</v>
      </c>
      <c r="B1125">
        <v>5890625</v>
      </c>
      <c r="C1125" t="s">
        <v>2617</v>
      </c>
      <c r="D1125" t="s">
        <v>76</v>
      </c>
      <c r="E1125" s="2">
        <v>43726</v>
      </c>
      <c r="F1125" t="str">
        <f>"9781000617412"</f>
        <v>9781000617412</v>
      </c>
      <c r="G1125" t="str">
        <f>"9780367256203"</f>
        <v>9780367256203</v>
      </c>
      <c r="H1125" t="s">
        <v>2618</v>
      </c>
      <c r="I1125">
        <v>1.42</v>
      </c>
      <c r="J1125" t="s">
        <v>2619</v>
      </c>
      <c r="K1125" t="s">
        <v>55</v>
      </c>
      <c r="Q1125" t="s">
        <v>47</v>
      </c>
      <c r="R1125" t="s">
        <v>44</v>
      </c>
      <c r="S1125">
        <v>0</v>
      </c>
      <c r="W1125" s="3">
        <v>5.0115740740740737E-3</v>
      </c>
      <c r="X1125" t="s">
        <v>1143</v>
      </c>
      <c r="Y1125">
        <v>7</v>
      </c>
      <c r="Z1125">
        <v>0</v>
      </c>
      <c r="AA1125" t="s">
        <v>49</v>
      </c>
      <c r="AB1125">
        <v>0</v>
      </c>
      <c r="AC1125" t="s">
        <v>49</v>
      </c>
      <c r="AD1125">
        <v>0</v>
      </c>
      <c r="AE1125">
        <v>-1</v>
      </c>
      <c r="AF1125" t="s">
        <v>50</v>
      </c>
      <c r="AG1125" t="s">
        <v>388</v>
      </c>
    </row>
    <row r="1126" spans="1:33" x14ac:dyDescent="0.35">
      <c r="A1126" s="1">
        <v>44877.794444444444</v>
      </c>
      <c r="B1126">
        <v>5926883</v>
      </c>
      <c r="C1126" t="s">
        <v>2620</v>
      </c>
      <c r="D1126" t="s">
        <v>105</v>
      </c>
      <c r="E1126" s="2">
        <v>43468</v>
      </c>
      <c r="F1126" t="str">
        <f>"9783030048495"</f>
        <v>9783030048495</v>
      </c>
      <c r="G1126" t="str">
        <f>"9783030048488"</f>
        <v>9783030048488</v>
      </c>
      <c r="H1126" t="s">
        <v>60</v>
      </c>
      <c r="I1126">
        <v>658.40380110000001</v>
      </c>
      <c r="J1126" t="s">
        <v>2621</v>
      </c>
      <c r="K1126" t="s">
        <v>55</v>
      </c>
      <c r="Q1126" t="s">
        <v>47</v>
      </c>
      <c r="R1126" t="s">
        <v>44</v>
      </c>
      <c r="S1126">
        <v>0</v>
      </c>
      <c r="W1126" s="3">
        <v>2.9166666666666668E-3</v>
      </c>
      <c r="X1126" t="s">
        <v>2622</v>
      </c>
      <c r="Y1126">
        <v>21</v>
      </c>
      <c r="Z1126">
        <v>0</v>
      </c>
      <c r="AA1126" t="s">
        <v>49</v>
      </c>
      <c r="AB1126">
        <v>0</v>
      </c>
      <c r="AC1126" t="s">
        <v>49</v>
      </c>
      <c r="AD1126">
        <v>0</v>
      </c>
      <c r="AE1126">
        <v>-1</v>
      </c>
      <c r="AF1126" t="s">
        <v>50</v>
      </c>
      <c r="AG1126" t="s">
        <v>1355</v>
      </c>
    </row>
    <row r="1127" spans="1:33" x14ac:dyDescent="0.35">
      <c r="A1127" s="1">
        <v>44877.78402777778</v>
      </c>
      <c r="B1127">
        <v>279494</v>
      </c>
      <c r="C1127" t="s">
        <v>1333</v>
      </c>
      <c r="D1127" t="s">
        <v>125</v>
      </c>
      <c r="E1127" s="2">
        <v>37280</v>
      </c>
      <c r="F1127" t="str">
        <f>"9780198032953"</f>
        <v>9780198032953</v>
      </c>
      <c r="G1127" t="str">
        <f>"9780195144208"</f>
        <v>9780195144208</v>
      </c>
      <c r="H1127" t="s">
        <v>667</v>
      </c>
      <c r="I1127" t="s">
        <v>1334</v>
      </c>
      <c r="J1127" t="s">
        <v>1335</v>
      </c>
      <c r="K1127" t="s">
        <v>44</v>
      </c>
      <c r="N1127" t="s">
        <v>45</v>
      </c>
      <c r="O1127" t="s">
        <v>46</v>
      </c>
      <c r="P1127" t="s">
        <v>45</v>
      </c>
      <c r="Q1127" t="s">
        <v>47</v>
      </c>
      <c r="R1127" t="s">
        <v>44</v>
      </c>
      <c r="S1127">
        <v>0</v>
      </c>
      <c r="W1127" s="3">
        <v>0</v>
      </c>
      <c r="X1127" t="s">
        <v>49</v>
      </c>
      <c r="Y1127">
        <v>0</v>
      </c>
      <c r="Z1127">
        <v>1</v>
      </c>
      <c r="AA1127" t="s">
        <v>2623</v>
      </c>
      <c r="AB1127">
        <v>18</v>
      </c>
      <c r="AC1127" t="s">
        <v>49</v>
      </c>
      <c r="AD1127">
        <v>0</v>
      </c>
      <c r="AE1127">
        <v>11303309</v>
      </c>
      <c r="AF1127" t="s">
        <v>50</v>
      </c>
      <c r="AG1127" t="s">
        <v>388</v>
      </c>
    </row>
    <row r="1128" spans="1:33" x14ac:dyDescent="0.35">
      <c r="A1128" s="1">
        <v>44877.782638888886</v>
      </c>
      <c r="B1128">
        <v>5890625</v>
      </c>
      <c r="C1128" t="s">
        <v>2617</v>
      </c>
      <c r="D1128" t="s">
        <v>76</v>
      </c>
      <c r="E1128" s="2">
        <v>43726</v>
      </c>
      <c r="F1128" t="str">
        <f>"9781000617412"</f>
        <v>9781000617412</v>
      </c>
      <c r="G1128" t="str">
        <f>"9780367256203"</f>
        <v>9780367256203</v>
      </c>
      <c r="H1128" t="s">
        <v>2618</v>
      </c>
      <c r="I1128">
        <v>1.42</v>
      </c>
      <c r="J1128" t="s">
        <v>2619</v>
      </c>
      <c r="K1128" t="s">
        <v>55</v>
      </c>
      <c r="Q1128" t="s">
        <v>47</v>
      </c>
      <c r="R1128" t="s">
        <v>44</v>
      </c>
      <c r="S1128">
        <v>0</v>
      </c>
      <c r="W1128" s="3">
        <v>9.1435185185185185E-4</v>
      </c>
      <c r="X1128" t="s">
        <v>2624</v>
      </c>
      <c r="Y1128">
        <v>4</v>
      </c>
      <c r="Z1128">
        <v>0</v>
      </c>
      <c r="AA1128" t="s">
        <v>49</v>
      </c>
      <c r="AB1128">
        <v>0</v>
      </c>
      <c r="AC1128" t="s">
        <v>49</v>
      </c>
      <c r="AD1128">
        <v>0</v>
      </c>
      <c r="AE1128">
        <v>-1</v>
      </c>
      <c r="AF1128" t="s">
        <v>50</v>
      </c>
      <c r="AG1128" t="s">
        <v>388</v>
      </c>
    </row>
    <row r="1129" spans="1:33" x14ac:dyDescent="0.35">
      <c r="A1129" s="1">
        <v>44877.781944444447</v>
      </c>
      <c r="B1129">
        <v>279494</v>
      </c>
      <c r="C1129" t="s">
        <v>1333</v>
      </c>
      <c r="D1129" t="s">
        <v>125</v>
      </c>
      <c r="E1129" s="2">
        <v>37280</v>
      </c>
      <c r="F1129" t="str">
        <f>"9780198032953"</f>
        <v>9780198032953</v>
      </c>
      <c r="G1129" t="str">
        <f>"9780195144208"</f>
        <v>9780195144208</v>
      </c>
      <c r="H1129" t="s">
        <v>667</v>
      </c>
      <c r="I1129" t="s">
        <v>1334</v>
      </c>
      <c r="J1129" t="s">
        <v>1335</v>
      </c>
      <c r="K1129" t="s">
        <v>44</v>
      </c>
      <c r="N1129" t="s">
        <v>45</v>
      </c>
      <c r="O1129" t="s">
        <v>46</v>
      </c>
      <c r="P1129" t="s">
        <v>45</v>
      </c>
      <c r="Q1129" t="s">
        <v>47</v>
      </c>
      <c r="R1129" t="s">
        <v>44</v>
      </c>
      <c r="S1129">
        <v>0</v>
      </c>
      <c r="W1129" s="3">
        <v>2.3148148148148147E-5</v>
      </c>
      <c r="X1129" t="s">
        <v>2625</v>
      </c>
      <c r="Y1129">
        <v>1</v>
      </c>
      <c r="Z1129">
        <v>0</v>
      </c>
      <c r="AA1129" t="s">
        <v>49</v>
      </c>
      <c r="AB1129">
        <v>0</v>
      </c>
      <c r="AC1129" t="s">
        <v>49</v>
      </c>
      <c r="AD1129">
        <v>0</v>
      </c>
      <c r="AE1129">
        <v>11303309</v>
      </c>
      <c r="AF1129" t="s">
        <v>50</v>
      </c>
      <c r="AG1129" t="s">
        <v>866</v>
      </c>
    </row>
    <row r="1130" spans="1:33" x14ac:dyDescent="0.35">
      <c r="A1130" s="1">
        <v>44877.726388888892</v>
      </c>
      <c r="B1130">
        <v>279494</v>
      </c>
      <c r="C1130" t="s">
        <v>1333</v>
      </c>
      <c r="D1130" t="s">
        <v>125</v>
      </c>
      <c r="E1130" s="2">
        <v>37280</v>
      </c>
      <c r="F1130" t="str">
        <f>"9780198032953"</f>
        <v>9780198032953</v>
      </c>
      <c r="G1130" t="str">
        <f>"9780195144208"</f>
        <v>9780195144208</v>
      </c>
      <c r="H1130" t="s">
        <v>667</v>
      </c>
      <c r="I1130" t="s">
        <v>1334</v>
      </c>
      <c r="J1130" t="s">
        <v>1335</v>
      </c>
      <c r="K1130" t="s">
        <v>44</v>
      </c>
      <c r="N1130" t="s">
        <v>45</v>
      </c>
      <c r="O1130" t="s">
        <v>46</v>
      </c>
      <c r="P1130" t="s">
        <v>45</v>
      </c>
      <c r="Q1130" t="s">
        <v>47</v>
      </c>
      <c r="R1130" t="s">
        <v>44</v>
      </c>
      <c r="S1130">
        <v>0</v>
      </c>
      <c r="W1130" s="3">
        <v>5.1273148148148151E-2</v>
      </c>
      <c r="X1130" t="s">
        <v>2626</v>
      </c>
      <c r="Y1130">
        <v>23</v>
      </c>
      <c r="Z1130">
        <v>2</v>
      </c>
      <c r="AA1130" t="s">
        <v>2627</v>
      </c>
      <c r="AB1130">
        <v>34</v>
      </c>
      <c r="AC1130" t="s">
        <v>49</v>
      </c>
      <c r="AD1130">
        <v>0</v>
      </c>
      <c r="AE1130">
        <v>11303309</v>
      </c>
      <c r="AF1130" t="s">
        <v>50</v>
      </c>
      <c r="AG1130" t="s">
        <v>388</v>
      </c>
    </row>
    <row r="1131" spans="1:33" x14ac:dyDescent="0.35">
      <c r="A1131" s="1">
        <v>44877.72152777778</v>
      </c>
      <c r="B1131">
        <v>279494</v>
      </c>
      <c r="C1131" t="s">
        <v>1333</v>
      </c>
      <c r="D1131" t="s">
        <v>125</v>
      </c>
      <c r="E1131" s="2">
        <v>37280</v>
      </c>
      <c r="F1131" t="str">
        <f>"9780198032953"</f>
        <v>9780198032953</v>
      </c>
      <c r="G1131" t="str">
        <f>"9780195144208"</f>
        <v>9780195144208</v>
      </c>
      <c r="H1131" t="s">
        <v>667</v>
      </c>
      <c r="I1131" t="s">
        <v>1334</v>
      </c>
      <c r="J1131" t="s">
        <v>1335</v>
      </c>
      <c r="K1131" t="s">
        <v>44</v>
      </c>
      <c r="N1131" t="s">
        <v>45</v>
      </c>
      <c r="O1131" t="s">
        <v>46</v>
      </c>
      <c r="P1131" t="s">
        <v>45</v>
      </c>
      <c r="Q1131" t="s">
        <v>47</v>
      </c>
      <c r="R1131" t="s">
        <v>44</v>
      </c>
      <c r="S1131">
        <v>0</v>
      </c>
      <c r="W1131" s="3">
        <v>0</v>
      </c>
      <c r="X1131" t="s">
        <v>49</v>
      </c>
      <c r="Y1131">
        <v>0</v>
      </c>
      <c r="Z1131">
        <v>2</v>
      </c>
      <c r="AA1131" t="s">
        <v>2628</v>
      </c>
      <c r="AB1131">
        <v>31</v>
      </c>
      <c r="AC1131" t="s">
        <v>49</v>
      </c>
      <c r="AD1131">
        <v>0</v>
      </c>
      <c r="AE1131">
        <v>11303309</v>
      </c>
      <c r="AF1131" t="s">
        <v>50</v>
      </c>
      <c r="AG1131" t="s">
        <v>388</v>
      </c>
    </row>
    <row r="1132" spans="1:33" x14ac:dyDescent="0.35">
      <c r="A1132" s="1">
        <v>44877.717361111114</v>
      </c>
      <c r="B1132">
        <v>279494</v>
      </c>
      <c r="C1132" t="s">
        <v>1333</v>
      </c>
      <c r="D1132" t="s">
        <v>125</v>
      </c>
      <c r="E1132" s="2">
        <v>37280</v>
      </c>
      <c r="F1132" t="str">
        <f>"9780198032953"</f>
        <v>9780198032953</v>
      </c>
      <c r="G1132" t="str">
        <f>"9780195144208"</f>
        <v>9780195144208</v>
      </c>
      <c r="H1132" t="s">
        <v>667</v>
      </c>
      <c r="I1132" t="s">
        <v>1334</v>
      </c>
      <c r="J1132" t="s">
        <v>1335</v>
      </c>
      <c r="K1132" t="s">
        <v>44</v>
      </c>
      <c r="N1132" t="s">
        <v>45</v>
      </c>
      <c r="O1132" t="s">
        <v>46</v>
      </c>
      <c r="P1132" t="s">
        <v>45</v>
      </c>
      <c r="Q1132" t="s">
        <v>47</v>
      </c>
      <c r="R1132" t="s">
        <v>44</v>
      </c>
      <c r="S1132">
        <v>0</v>
      </c>
      <c r="W1132" s="3">
        <v>3.4722222222222222E-5</v>
      </c>
      <c r="X1132" t="s">
        <v>2629</v>
      </c>
      <c r="Y1132">
        <v>1</v>
      </c>
      <c r="Z1132">
        <v>1</v>
      </c>
      <c r="AA1132" t="s">
        <v>2630</v>
      </c>
      <c r="AB1132">
        <v>14</v>
      </c>
      <c r="AC1132" t="s">
        <v>49</v>
      </c>
      <c r="AD1132">
        <v>0</v>
      </c>
      <c r="AE1132">
        <v>11303309</v>
      </c>
      <c r="AF1132" t="s">
        <v>50</v>
      </c>
      <c r="AG1132" t="s">
        <v>388</v>
      </c>
    </row>
    <row r="1133" spans="1:33" x14ac:dyDescent="0.35">
      <c r="A1133" s="1">
        <v>44877.714583333334</v>
      </c>
      <c r="B1133">
        <v>2030597</v>
      </c>
      <c r="C1133" t="s">
        <v>2631</v>
      </c>
      <c r="D1133" t="s">
        <v>844</v>
      </c>
      <c r="E1133" s="2">
        <v>42069</v>
      </c>
      <c r="F1133" t="str">
        <f>"9781785600296"</f>
        <v>9781785600296</v>
      </c>
      <c r="G1133" t="str">
        <f>"9781785600289"</f>
        <v>9781785600289</v>
      </c>
      <c r="H1133" t="s">
        <v>60</v>
      </c>
      <c r="I1133">
        <v>658</v>
      </c>
      <c r="J1133" t="s">
        <v>2632</v>
      </c>
      <c r="K1133" t="s">
        <v>44</v>
      </c>
      <c r="N1133" t="s">
        <v>45</v>
      </c>
      <c r="O1133" t="s">
        <v>46</v>
      </c>
      <c r="P1133" t="s">
        <v>45</v>
      </c>
      <c r="Q1133" t="s">
        <v>47</v>
      </c>
      <c r="R1133" t="s">
        <v>44</v>
      </c>
      <c r="S1133">
        <v>0</v>
      </c>
      <c r="W1133" s="3">
        <v>3.3101851851851851E-3</v>
      </c>
      <c r="X1133" t="s">
        <v>2249</v>
      </c>
      <c r="Y1133">
        <v>6</v>
      </c>
      <c r="Z1133">
        <v>0</v>
      </c>
      <c r="AA1133" t="s">
        <v>49</v>
      </c>
      <c r="AB1133">
        <v>0</v>
      </c>
      <c r="AC1133" t="s">
        <v>49</v>
      </c>
      <c r="AD1133">
        <v>0</v>
      </c>
      <c r="AE1133">
        <v>11043398</v>
      </c>
      <c r="AF1133" t="s">
        <v>50</v>
      </c>
      <c r="AG1133" t="s">
        <v>388</v>
      </c>
    </row>
    <row r="1134" spans="1:33" x14ac:dyDescent="0.35">
      <c r="A1134" s="1">
        <v>44877.697916666664</v>
      </c>
      <c r="B1134">
        <v>6859446</v>
      </c>
      <c r="C1134" t="s">
        <v>2217</v>
      </c>
      <c r="D1134" t="s">
        <v>213</v>
      </c>
      <c r="E1134" s="2">
        <v>44581</v>
      </c>
      <c r="F1134" t="str">
        <f>"9780128240892"</f>
        <v>9780128240892</v>
      </c>
      <c r="G1134" t="str">
        <f>"9780128240885"</f>
        <v>9780128240885</v>
      </c>
      <c r="H1134" t="s">
        <v>261</v>
      </c>
      <c r="I1134">
        <v>628.54999999999995</v>
      </c>
      <c r="J1134" t="s">
        <v>2218</v>
      </c>
      <c r="K1134" t="s">
        <v>55</v>
      </c>
      <c r="N1134" t="s">
        <v>293</v>
      </c>
      <c r="P1134" t="s">
        <v>80</v>
      </c>
      <c r="Q1134" t="s">
        <v>47</v>
      </c>
      <c r="R1134" t="s">
        <v>44</v>
      </c>
      <c r="S1134">
        <v>0</v>
      </c>
      <c r="T1134">
        <v>90</v>
      </c>
      <c r="U1134" s="1">
        <v>44873.510416666664</v>
      </c>
      <c r="V1134" s="1">
        <v>44963.510416666664</v>
      </c>
      <c r="W1134" s="3">
        <v>4.409722222222222E-3</v>
      </c>
      <c r="X1134" t="s">
        <v>2633</v>
      </c>
      <c r="Y1134">
        <v>47</v>
      </c>
      <c r="Z1134">
        <v>3</v>
      </c>
      <c r="AA1134" t="s">
        <v>2634</v>
      </c>
      <c r="AB1134">
        <v>61</v>
      </c>
      <c r="AC1134" t="s">
        <v>49</v>
      </c>
      <c r="AD1134">
        <v>0</v>
      </c>
      <c r="AE1134">
        <v>-1</v>
      </c>
      <c r="AF1134" t="s">
        <v>63</v>
      </c>
      <c r="AG1134" t="s">
        <v>388</v>
      </c>
    </row>
    <row r="1135" spans="1:33" x14ac:dyDescent="0.35">
      <c r="A1135" s="1">
        <v>44877.697916666664</v>
      </c>
      <c r="B1135">
        <v>6859446</v>
      </c>
      <c r="C1135" t="s">
        <v>2217</v>
      </c>
      <c r="D1135" t="s">
        <v>213</v>
      </c>
      <c r="E1135" s="2">
        <v>44581</v>
      </c>
      <c r="F1135" t="str">
        <f>"9780128240892"</f>
        <v>9780128240892</v>
      </c>
      <c r="G1135" t="str">
        <f>"9780128240885"</f>
        <v>9780128240885</v>
      </c>
      <c r="H1135" t="s">
        <v>261</v>
      </c>
      <c r="I1135">
        <v>628.54999999999995</v>
      </c>
      <c r="J1135" t="s">
        <v>2218</v>
      </c>
      <c r="K1135" t="s">
        <v>55</v>
      </c>
      <c r="N1135" t="s">
        <v>293</v>
      </c>
      <c r="P1135" t="s">
        <v>80</v>
      </c>
      <c r="Q1135" t="s">
        <v>47</v>
      </c>
      <c r="R1135" t="s">
        <v>44</v>
      </c>
      <c r="S1135">
        <v>0</v>
      </c>
      <c r="W1135" s="3">
        <v>0</v>
      </c>
      <c r="X1135" t="s">
        <v>49</v>
      </c>
      <c r="Y1135">
        <v>0</v>
      </c>
      <c r="Z1135">
        <v>0</v>
      </c>
      <c r="AA1135" t="s">
        <v>49</v>
      </c>
      <c r="AB1135">
        <v>0</v>
      </c>
      <c r="AC1135" t="s">
        <v>49</v>
      </c>
      <c r="AD1135">
        <v>0</v>
      </c>
      <c r="AE1135">
        <v>-1</v>
      </c>
      <c r="AF1135" t="s">
        <v>50</v>
      </c>
      <c r="AG1135" t="s">
        <v>388</v>
      </c>
    </row>
    <row r="1136" spans="1:33" x14ac:dyDescent="0.35">
      <c r="A1136" s="1">
        <v>44877.68472222222</v>
      </c>
      <c r="B1136">
        <v>716578</v>
      </c>
      <c r="C1136" t="s">
        <v>506</v>
      </c>
      <c r="D1136" t="s">
        <v>507</v>
      </c>
      <c r="E1136" s="2">
        <v>40679</v>
      </c>
      <c r="F1136" t="str">
        <f>"9780748646302"</f>
        <v>9780748646302</v>
      </c>
      <c r="G1136" t="str">
        <f>"9780748640577"</f>
        <v>9780748640577</v>
      </c>
      <c r="H1136" t="s">
        <v>162</v>
      </c>
      <c r="I1136">
        <v>211.822</v>
      </c>
      <c r="J1136" t="s">
        <v>508</v>
      </c>
      <c r="K1136" t="s">
        <v>44</v>
      </c>
      <c r="N1136" t="s">
        <v>45</v>
      </c>
      <c r="O1136" t="s">
        <v>46</v>
      </c>
      <c r="P1136" t="s">
        <v>45</v>
      </c>
      <c r="Q1136" t="s">
        <v>47</v>
      </c>
      <c r="R1136" t="s">
        <v>44</v>
      </c>
      <c r="S1136">
        <v>0</v>
      </c>
      <c r="W1136" s="3">
        <v>1.6689814814814817E-2</v>
      </c>
      <c r="X1136" t="s">
        <v>2635</v>
      </c>
      <c r="Y1136">
        <v>18</v>
      </c>
      <c r="Z1136">
        <v>0</v>
      </c>
      <c r="AA1136" t="s">
        <v>49</v>
      </c>
      <c r="AB1136">
        <v>0</v>
      </c>
      <c r="AC1136" t="s">
        <v>49</v>
      </c>
      <c r="AD1136">
        <v>0</v>
      </c>
      <c r="AE1136">
        <v>10478313</v>
      </c>
      <c r="AF1136" t="s">
        <v>50</v>
      </c>
      <c r="AG1136" t="s">
        <v>388</v>
      </c>
    </row>
    <row r="1137" spans="1:33" x14ac:dyDescent="0.35">
      <c r="A1137" s="1">
        <v>44877.683333333334</v>
      </c>
      <c r="B1137">
        <v>848526</v>
      </c>
      <c r="C1137" t="s">
        <v>2541</v>
      </c>
      <c r="D1137" t="s">
        <v>59</v>
      </c>
      <c r="E1137" s="2">
        <v>41212</v>
      </c>
      <c r="F1137" t="str">
        <f>"9781118310069"</f>
        <v>9781118310069</v>
      </c>
      <c r="G1137" t="str">
        <f>"9780470566671"</f>
        <v>9780470566671</v>
      </c>
      <c r="H1137" t="s">
        <v>2542</v>
      </c>
      <c r="I1137">
        <v>610.28</v>
      </c>
      <c r="J1137" t="s">
        <v>2543</v>
      </c>
      <c r="K1137" t="s">
        <v>44</v>
      </c>
      <c r="N1137" t="s">
        <v>45</v>
      </c>
      <c r="O1137" t="s">
        <v>46</v>
      </c>
      <c r="P1137" t="s">
        <v>45</v>
      </c>
      <c r="Q1137" t="s">
        <v>47</v>
      </c>
      <c r="R1137" t="s">
        <v>44</v>
      </c>
      <c r="S1137">
        <v>0</v>
      </c>
      <c r="W1137" s="3">
        <v>2.0694444444444446E-2</v>
      </c>
      <c r="X1137" t="s">
        <v>2636</v>
      </c>
      <c r="Y1137">
        <v>68</v>
      </c>
      <c r="Z1137">
        <v>0</v>
      </c>
      <c r="AA1137" t="s">
        <v>49</v>
      </c>
      <c r="AB1137">
        <v>0</v>
      </c>
      <c r="AC1137" t="s">
        <v>49</v>
      </c>
      <c r="AD1137">
        <v>0</v>
      </c>
      <c r="AE1137">
        <v>10615085</v>
      </c>
      <c r="AF1137" t="s">
        <v>50</v>
      </c>
      <c r="AG1137" t="s">
        <v>2241</v>
      </c>
    </row>
    <row r="1138" spans="1:33" x14ac:dyDescent="0.35">
      <c r="A1138" s="1">
        <v>44877.683333333334</v>
      </c>
      <c r="B1138">
        <v>5967879</v>
      </c>
      <c r="C1138" t="s">
        <v>2637</v>
      </c>
      <c r="D1138" t="s">
        <v>614</v>
      </c>
      <c r="E1138" s="2">
        <v>43765</v>
      </c>
      <c r="F1138" t="str">
        <f>"9789811384066"</f>
        <v>9789811384066</v>
      </c>
      <c r="G1138" t="str">
        <f>"9789811384059"</f>
        <v>9789811384059</v>
      </c>
      <c r="H1138" t="s">
        <v>454</v>
      </c>
      <c r="I1138">
        <v>4</v>
      </c>
      <c r="J1138" t="s">
        <v>107</v>
      </c>
      <c r="K1138" t="s">
        <v>55</v>
      </c>
      <c r="Q1138" t="s">
        <v>47</v>
      </c>
      <c r="R1138" t="s">
        <v>44</v>
      </c>
      <c r="S1138">
        <v>0</v>
      </c>
      <c r="W1138" s="3">
        <v>9.2592592592592588E-5</v>
      </c>
      <c r="X1138" t="s">
        <v>121</v>
      </c>
      <c r="Y1138">
        <v>1</v>
      </c>
      <c r="Z1138">
        <v>0</v>
      </c>
      <c r="AA1138" t="s">
        <v>49</v>
      </c>
      <c r="AB1138">
        <v>0</v>
      </c>
      <c r="AC1138" t="s">
        <v>49</v>
      </c>
      <c r="AD1138">
        <v>0</v>
      </c>
      <c r="AE1138">
        <v>-1</v>
      </c>
      <c r="AF1138" t="s">
        <v>50</v>
      </c>
      <c r="AG1138" t="s">
        <v>1216</v>
      </c>
    </row>
    <row r="1139" spans="1:33" x14ac:dyDescent="0.35">
      <c r="A1139" s="1">
        <v>44877.622916666667</v>
      </c>
      <c r="B1139">
        <v>1734050</v>
      </c>
      <c r="C1139" t="s">
        <v>2638</v>
      </c>
      <c r="D1139" t="s">
        <v>65</v>
      </c>
      <c r="E1139" s="2">
        <v>41809</v>
      </c>
      <c r="F1139" t="str">
        <f>"9781780634647"</f>
        <v>9781780634647</v>
      </c>
      <c r="G1139" t="str">
        <f>"9781843347835"</f>
        <v>9781843347835</v>
      </c>
      <c r="H1139" t="s">
        <v>2639</v>
      </c>
      <c r="I1139">
        <v>50</v>
      </c>
      <c r="J1139" t="s">
        <v>2640</v>
      </c>
      <c r="K1139" t="s">
        <v>44</v>
      </c>
      <c r="N1139" t="s">
        <v>45</v>
      </c>
      <c r="O1139" t="s">
        <v>46</v>
      </c>
      <c r="P1139" t="s">
        <v>45</v>
      </c>
      <c r="Q1139" t="s">
        <v>47</v>
      </c>
      <c r="R1139" t="s">
        <v>44</v>
      </c>
      <c r="S1139">
        <v>0</v>
      </c>
      <c r="W1139" s="3">
        <v>1.5856481481481479E-3</v>
      </c>
      <c r="X1139" t="s">
        <v>2641</v>
      </c>
      <c r="Y1139">
        <v>10</v>
      </c>
      <c r="Z1139">
        <v>0</v>
      </c>
      <c r="AA1139" t="s">
        <v>49</v>
      </c>
      <c r="AB1139">
        <v>0</v>
      </c>
      <c r="AC1139" t="s">
        <v>49</v>
      </c>
      <c r="AD1139">
        <v>0</v>
      </c>
      <c r="AE1139">
        <v>10894698</v>
      </c>
      <c r="AF1139" t="s">
        <v>50</v>
      </c>
      <c r="AG1139" t="s">
        <v>2642</v>
      </c>
    </row>
    <row r="1140" spans="1:33" x14ac:dyDescent="0.35">
      <c r="A1140" s="1">
        <v>44877.601388888892</v>
      </c>
      <c r="B1140">
        <v>4180287</v>
      </c>
      <c r="C1140" t="s">
        <v>2643</v>
      </c>
      <c r="D1140" t="s">
        <v>59</v>
      </c>
      <c r="E1140" s="2">
        <v>42150</v>
      </c>
      <c r="F1140" t="str">
        <f>"9781118825730"</f>
        <v>9781118825730</v>
      </c>
      <c r="G1140" t="str">
        <f>"9781118825686"</f>
        <v>9781118825686</v>
      </c>
      <c r="H1140" t="s">
        <v>90</v>
      </c>
      <c r="I1140">
        <v>378.1662</v>
      </c>
      <c r="J1140" t="s">
        <v>2644</v>
      </c>
      <c r="K1140" t="s">
        <v>44</v>
      </c>
      <c r="N1140" t="s">
        <v>45</v>
      </c>
      <c r="O1140" t="s">
        <v>46</v>
      </c>
      <c r="P1140" t="s">
        <v>45</v>
      </c>
      <c r="Q1140" t="s">
        <v>47</v>
      </c>
      <c r="R1140" t="s">
        <v>44</v>
      </c>
      <c r="S1140">
        <v>0</v>
      </c>
      <c r="W1140" s="3">
        <v>0</v>
      </c>
      <c r="X1140" t="s">
        <v>49</v>
      </c>
      <c r="Y1140">
        <v>0</v>
      </c>
      <c r="Z1140">
        <v>0</v>
      </c>
      <c r="AA1140" t="s">
        <v>49</v>
      </c>
      <c r="AB1140">
        <v>0</v>
      </c>
      <c r="AC1140" t="s">
        <v>49</v>
      </c>
      <c r="AD1140">
        <v>0</v>
      </c>
      <c r="AE1140">
        <v>11270066</v>
      </c>
      <c r="AF1140" t="s">
        <v>50</v>
      </c>
      <c r="AG1140" t="s">
        <v>388</v>
      </c>
    </row>
    <row r="1141" spans="1:33" x14ac:dyDescent="0.35">
      <c r="A1141" s="1">
        <v>44876.870833333334</v>
      </c>
      <c r="B1141">
        <v>848526</v>
      </c>
      <c r="C1141" t="s">
        <v>2541</v>
      </c>
      <c r="D1141" t="s">
        <v>59</v>
      </c>
      <c r="E1141" s="2">
        <v>41212</v>
      </c>
      <c r="F1141" t="str">
        <f>"9781118310069"</f>
        <v>9781118310069</v>
      </c>
      <c r="G1141" t="str">
        <f>"9780470566671"</f>
        <v>9780470566671</v>
      </c>
      <c r="H1141" t="s">
        <v>2542</v>
      </c>
      <c r="I1141">
        <v>610.28</v>
      </c>
      <c r="J1141" t="s">
        <v>2543</v>
      </c>
      <c r="K1141" t="s">
        <v>44</v>
      </c>
      <c r="N1141" t="s">
        <v>45</v>
      </c>
      <c r="O1141" t="s">
        <v>46</v>
      </c>
      <c r="P1141" t="s">
        <v>45</v>
      </c>
      <c r="Q1141" t="s">
        <v>47</v>
      </c>
      <c r="R1141" t="s">
        <v>44</v>
      </c>
      <c r="S1141">
        <v>0</v>
      </c>
      <c r="W1141" s="3">
        <v>3.7476851851851851E-2</v>
      </c>
      <c r="X1141" t="s">
        <v>2645</v>
      </c>
      <c r="Y1141">
        <v>16</v>
      </c>
      <c r="Z1141">
        <v>0</v>
      </c>
      <c r="AA1141" t="s">
        <v>49</v>
      </c>
      <c r="AB1141">
        <v>0</v>
      </c>
      <c r="AC1141" t="s">
        <v>2646</v>
      </c>
      <c r="AD1141">
        <v>11</v>
      </c>
      <c r="AE1141">
        <v>10615085</v>
      </c>
      <c r="AF1141" t="s">
        <v>50</v>
      </c>
      <c r="AG1141" t="s">
        <v>866</v>
      </c>
    </row>
    <row r="1142" spans="1:33" x14ac:dyDescent="0.35">
      <c r="A1142" s="1">
        <v>44876.850694444445</v>
      </c>
      <c r="B1142">
        <v>1447174</v>
      </c>
      <c r="C1142" t="s">
        <v>2647</v>
      </c>
      <c r="D1142" t="s">
        <v>2125</v>
      </c>
      <c r="E1142" s="2">
        <v>40696</v>
      </c>
      <c r="F1142" t="str">
        <f>"9781439895399"</f>
        <v>9781439895399</v>
      </c>
      <c r="G1142" t="str">
        <f>"9781439851029"</f>
        <v>9781439851029</v>
      </c>
      <c r="H1142" t="s">
        <v>60</v>
      </c>
      <c r="I1142" t="s">
        <v>1430</v>
      </c>
      <c r="J1142" t="s">
        <v>2648</v>
      </c>
      <c r="K1142" t="s">
        <v>44</v>
      </c>
      <c r="N1142" t="s">
        <v>45</v>
      </c>
      <c r="O1142" t="s">
        <v>46</v>
      </c>
      <c r="P1142" t="s">
        <v>45</v>
      </c>
      <c r="Q1142" t="s">
        <v>47</v>
      </c>
      <c r="R1142" t="s">
        <v>44</v>
      </c>
      <c r="S1142">
        <v>0</v>
      </c>
      <c r="W1142" s="3">
        <v>3.9351851851851852E-4</v>
      </c>
      <c r="X1142" t="s">
        <v>2649</v>
      </c>
      <c r="Y1142">
        <v>3</v>
      </c>
      <c r="Z1142">
        <v>0</v>
      </c>
      <c r="AA1142" t="s">
        <v>49</v>
      </c>
      <c r="AB1142">
        <v>0</v>
      </c>
      <c r="AC1142" t="s">
        <v>49</v>
      </c>
      <c r="AD1142">
        <v>0</v>
      </c>
      <c r="AE1142">
        <v>11166240</v>
      </c>
      <c r="AF1142" t="s">
        <v>50</v>
      </c>
      <c r="AG1142" t="s">
        <v>388</v>
      </c>
    </row>
    <row r="1143" spans="1:33" x14ac:dyDescent="0.35">
      <c r="A1143" s="1">
        <v>44876.79791666667</v>
      </c>
      <c r="B1143">
        <v>1817826</v>
      </c>
      <c r="C1143" t="s">
        <v>2609</v>
      </c>
      <c r="D1143" t="s">
        <v>65</v>
      </c>
      <c r="E1143" s="2">
        <v>34943</v>
      </c>
      <c r="F1143" t="str">
        <f>"9781483280097"</f>
        <v>9781483280097</v>
      </c>
      <c r="G1143" t="str">
        <f>"9780080422848"</f>
        <v>9780080422848</v>
      </c>
      <c r="H1143" t="s">
        <v>789</v>
      </c>
      <c r="I1143">
        <v>636.08870000000002</v>
      </c>
      <c r="J1143" t="s">
        <v>2610</v>
      </c>
      <c r="K1143" t="s">
        <v>44</v>
      </c>
      <c r="N1143" t="s">
        <v>45</v>
      </c>
      <c r="O1143" t="s">
        <v>46</v>
      </c>
      <c r="P1143" t="s">
        <v>45</v>
      </c>
      <c r="Q1143" t="s">
        <v>47</v>
      </c>
      <c r="R1143" t="s">
        <v>44</v>
      </c>
      <c r="S1143">
        <v>0</v>
      </c>
      <c r="W1143" s="3">
        <v>1.3773148148148147E-3</v>
      </c>
      <c r="X1143" t="s">
        <v>2650</v>
      </c>
      <c r="Y1143">
        <v>5</v>
      </c>
      <c r="Z1143">
        <v>0</v>
      </c>
      <c r="AA1143" t="s">
        <v>49</v>
      </c>
      <c r="AB1143">
        <v>0</v>
      </c>
      <c r="AC1143" t="s">
        <v>49</v>
      </c>
      <c r="AD1143">
        <v>0</v>
      </c>
      <c r="AE1143">
        <v>10954355</v>
      </c>
      <c r="AF1143" t="s">
        <v>50</v>
      </c>
      <c r="AG1143" t="s">
        <v>1216</v>
      </c>
    </row>
    <row r="1144" spans="1:33" x14ac:dyDescent="0.35">
      <c r="A1144" s="1">
        <v>44876.773611111108</v>
      </c>
      <c r="B1144">
        <v>430613</v>
      </c>
      <c r="C1144" t="s">
        <v>2651</v>
      </c>
      <c r="D1144" t="s">
        <v>125</v>
      </c>
      <c r="E1144" s="2">
        <v>35194</v>
      </c>
      <c r="F1144" t="str">
        <f>"9780198026754"</f>
        <v>9780198026754</v>
      </c>
      <c r="G1144" t="str">
        <f>"9780195102963"</f>
        <v>9780195102963</v>
      </c>
      <c r="H1144" t="s">
        <v>419</v>
      </c>
      <c r="I1144">
        <v>320.91767110000001</v>
      </c>
      <c r="J1144" t="s">
        <v>2652</v>
      </c>
      <c r="K1144" t="s">
        <v>44</v>
      </c>
      <c r="N1144" t="s">
        <v>45</v>
      </c>
      <c r="O1144" t="s">
        <v>46</v>
      </c>
      <c r="P1144" t="s">
        <v>45</v>
      </c>
      <c r="Q1144" t="s">
        <v>47</v>
      </c>
      <c r="R1144" t="s">
        <v>44</v>
      </c>
      <c r="S1144">
        <v>0</v>
      </c>
      <c r="W1144" s="3">
        <v>7.2106481481481475E-3</v>
      </c>
      <c r="X1144" t="s">
        <v>2653</v>
      </c>
      <c r="Y1144">
        <v>11</v>
      </c>
      <c r="Z1144">
        <v>0</v>
      </c>
      <c r="AA1144" t="s">
        <v>49</v>
      </c>
      <c r="AB1144">
        <v>0</v>
      </c>
      <c r="AC1144" t="s">
        <v>49</v>
      </c>
      <c r="AD1144">
        <v>0</v>
      </c>
      <c r="AE1144">
        <v>10278893</v>
      </c>
      <c r="AF1144" t="s">
        <v>50</v>
      </c>
      <c r="AG1144" t="s">
        <v>388</v>
      </c>
    </row>
    <row r="1145" spans="1:33" x14ac:dyDescent="0.35">
      <c r="A1145" s="1">
        <v>44876.755555555559</v>
      </c>
      <c r="B1145">
        <v>279494</v>
      </c>
      <c r="C1145" t="s">
        <v>1333</v>
      </c>
      <c r="D1145" t="s">
        <v>125</v>
      </c>
      <c r="E1145" s="2">
        <v>37280</v>
      </c>
      <c r="F1145" t="str">
        <f>"9780198032953"</f>
        <v>9780198032953</v>
      </c>
      <c r="G1145" t="str">
        <f>"9780195144208"</f>
        <v>9780195144208</v>
      </c>
      <c r="H1145" t="s">
        <v>667</v>
      </c>
      <c r="I1145" t="s">
        <v>1334</v>
      </c>
      <c r="J1145" t="s">
        <v>1335</v>
      </c>
      <c r="K1145" t="s">
        <v>44</v>
      </c>
      <c r="N1145" t="s">
        <v>45</v>
      </c>
      <c r="O1145" t="s">
        <v>46</v>
      </c>
      <c r="P1145" t="s">
        <v>45</v>
      </c>
      <c r="Q1145" t="s">
        <v>47</v>
      </c>
      <c r="R1145" t="s">
        <v>44</v>
      </c>
      <c r="S1145">
        <v>0</v>
      </c>
      <c r="W1145" s="3">
        <v>3.9120370370370368E-3</v>
      </c>
      <c r="X1145" t="s">
        <v>2654</v>
      </c>
      <c r="Y1145">
        <v>6</v>
      </c>
      <c r="Z1145">
        <v>0</v>
      </c>
      <c r="AA1145" t="s">
        <v>49</v>
      </c>
      <c r="AB1145">
        <v>0</v>
      </c>
      <c r="AC1145" t="s">
        <v>49</v>
      </c>
      <c r="AD1145">
        <v>0</v>
      </c>
      <c r="AE1145">
        <v>11303309</v>
      </c>
      <c r="AF1145" t="s">
        <v>50</v>
      </c>
      <c r="AG1145" t="s">
        <v>670</v>
      </c>
    </row>
    <row r="1146" spans="1:33" x14ac:dyDescent="0.35">
      <c r="A1146" s="1">
        <v>44876.739583333336</v>
      </c>
      <c r="B1146">
        <v>848526</v>
      </c>
      <c r="C1146" t="s">
        <v>2541</v>
      </c>
      <c r="D1146" t="s">
        <v>59</v>
      </c>
      <c r="E1146" s="2">
        <v>41212</v>
      </c>
      <c r="F1146" t="str">
        <f>"9781118310069"</f>
        <v>9781118310069</v>
      </c>
      <c r="G1146" t="str">
        <f>"9780470566671"</f>
        <v>9780470566671</v>
      </c>
      <c r="H1146" t="s">
        <v>2542</v>
      </c>
      <c r="I1146">
        <v>610.28</v>
      </c>
      <c r="J1146" t="s">
        <v>2543</v>
      </c>
      <c r="K1146" t="s">
        <v>44</v>
      </c>
      <c r="N1146" t="s">
        <v>45</v>
      </c>
      <c r="O1146" t="s">
        <v>46</v>
      </c>
      <c r="P1146" t="s">
        <v>45</v>
      </c>
      <c r="Q1146" t="s">
        <v>47</v>
      </c>
      <c r="R1146" t="s">
        <v>44</v>
      </c>
      <c r="S1146">
        <v>0</v>
      </c>
      <c r="W1146" s="3">
        <v>2.1261574074074075E-2</v>
      </c>
      <c r="X1146" t="s">
        <v>2655</v>
      </c>
      <c r="Y1146">
        <v>12</v>
      </c>
      <c r="Z1146">
        <v>0</v>
      </c>
      <c r="AA1146" t="s">
        <v>49</v>
      </c>
      <c r="AB1146">
        <v>0</v>
      </c>
      <c r="AC1146" t="s">
        <v>2656</v>
      </c>
      <c r="AD1146">
        <v>2</v>
      </c>
      <c r="AE1146">
        <v>10615085</v>
      </c>
      <c r="AF1146" t="s">
        <v>50</v>
      </c>
      <c r="AG1146" t="s">
        <v>866</v>
      </c>
    </row>
    <row r="1147" spans="1:33" x14ac:dyDescent="0.35">
      <c r="A1147" s="1">
        <v>44876.730555555558</v>
      </c>
      <c r="B1147">
        <v>279494</v>
      </c>
      <c r="C1147" t="s">
        <v>1333</v>
      </c>
      <c r="D1147" t="s">
        <v>125</v>
      </c>
      <c r="E1147" s="2">
        <v>37280</v>
      </c>
      <c r="F1147" t="str">
        <f>"9780198032953"</f>
        <v>9780198032953</v>
      </c>
      <c r="G1147" t="str">
        <f>"9780195144208"</f>
        <v>9780195144208</v>
      </c>
      <c r="H1147" t="s">
        <v>667</v>
      </c>
      <c r="I1147" t="s">
        <v>1334</v>
      </c>
      <c r="J1147" t="s">
        <v>1335</v>
      </c>
      <c r="K1147" t="s">
        <v>44</v>
      </c>
      <c r="N1147" t="s">
        <v>45</v>
      </c>
      <c r="O1147" t="s">
        <v>46</v>
      </c>
      <c r="P1147" t="s">
        <v>45</v>
      </c>
      <c r="Q1147" t="s">
        <v>47</v>
      </c>
      <c r="R1147" t="s">
        <v>44</v>
      </c>
      <c r="S1147">
        <v>0</v>
      </c>
      <c r="W1147" s="3">
        <v>5.7870370370370366E-5</v>
      </c>
      <c r="X1147" t="s">
        <v>121</v>
      </c>
      <c r="Y1147">
        <v>1</v>
      </c>
      <c r="Z1147">
        <v>0</v>
      </c>
      <c r="AA1147" t="s">
        <v>49</v>
      </c>
      <c r="AB1147">
        <v>0</v>
      </c>
      <c r="AC1147" t="s">
        <v>49</v>
      </c>
      <c r="AD1147">
        <v>0</v>
      </c>
      <c r="AE1147">
        <v>11303309</v>
      </c>
      <c r="AF1147" t="s">
        <v>50</v>
      </c>
      <c r="AG1147" t="s">
        <v>630</v>
      </c>
    </row>
    <row r="1148" spans="1:33" x14ac:dyDescent="0.35">
      <c r="A1148" s="1">
        <v>44876.722916666666</v>
      </c>
      <c r="B1148">
        <v>848526</v>
      </c>
      <c r="C1148" t="s">
        <v>2541</v>
      </c>
      <c r="D1148" t="s">
        <v>59</v>
      </c>
      <c r="E1148" s="2">
        <v>41212</v>
      </c>
      <c r="F1148" t="str">
        <f>"9781118310069"</f>
        <v>9781118310069</v>
      </c>
      <c r="G1148" t="str">
        <f>"9780470566671"</f>
        <v>9780470566671</v>
      </c>
      <c r="H1148" t="s">
        <v>2542</v>
      </c>
      <c r="I1148">
        <v>610.28</v>
      </c>
      <c r="J1148" t="s">
        <v>2543</v>
      </c>
      <c r="K1148" t="s">
        <v>44</v>
      </c>
      <c r="N1148" t="s">
        <v>45</v>
      </c>
      <c r="O1148" t="s">
        <v>46</v>
      </c>
      <c r="P1148" t="s">
        <v>45</v>
      </c>
      <c r="Q1148" t="s">
        <v>47</v>
      </c>
      <c r="R1148" t="s">
        <v>44</v>
      </c>
      <c r="S1148">
        <v>0</v>
      </c>
      <c r="W1148" s="3">
        <v>4.6296296296296293E-4</v>
      </c>
      <c r="X1148" t="s">
        <v>2657</v>
      </c>
      <c r="Y1148">
        <v>6</v>
      </c>
      <c r="Z1148">
        <v>0</v>
      </c>
      <c r="AA1148" t="s">
        <v>49</v>
      </c>
      <c r="AB1148">
        <v>0</v>
      </c>
      <c r="AC1148" t="s">
        <v>49</v>
      </c>
      <c r="AD1148">
        <v>0</v>
      </c>
      <c r="AE1148">
        <v>10615085</v>
      </c>
      <c r="AF1148" t="s">
        <v>50</v>
      </c>
      <c r="AG1148" t="s">
        <v>388</v>
      </c>
    </row>
    <row r="1149" spans="1:33" x14ac:dyDescent="0.35">
      <c r="A1149" s="1">
        <v>44876.718055555553</v>
      </c>
      <c r="B1149">
        <v>697607</v>
      </c>
      <c r="C1149" t="s">
        <v>2581</v>
      </c>
      <c r="D1149" t="s">
        <v>59</v>
      </c>
      <c r="E1149" s="2">
        <v>40770</v>
      </c>
      <c r="F1149" t="str">
        <f>"9781119976165"</f>
        <v>9781119976165</v>
      </c>
      <c r="G1149" t="str">
        <f>"9781119976172"</f>
        <v>9781119976172</v>
      </c>
      <c r="H1149" t="s">
        <v>2582</v>
      </c>
      <c r="I1149">
        <v>670.28499999999997</v>
      </c>
      <c r="J1149" t="s">
        <v>2583</v>
      </c>
      <c r="K1149" t="s">
        <v>44</v>
      </c>
      <c r="N1149" t="s">
        <v>45</v>
      </c>
      <c r="O1149" t="s">
        <v>46</v>
      </c>
      <c r="P1149" t="s">
        <v>45</v>
      </c>
      <c r="Q1149" t="s">
        <v>47</v>
      </c>
      <c r="R1149" t="s">
        <v>44</v>
      </c>
      <c r="S1149">
        <v>0</v>
      </c>
      <c r="W1149" s="3">
        <v>7.291666666666667E-4</v>
      </c>
      <c r="X1149" t="s">
        <v>2658</v>
      </c>
      <c r="Y1149">
        <v>3</v>
      </c>
      <c r="Z1149">
        <v>0</v>
      </c>
      <c r="AA1149" t="s">
        <v>49</v>
      </c>
      <c r="AB1149">
        <v>0</v>
      </c>
      <c r="AC1149" t="s">
        <v>49</v>
      </c>
      <c r="AD1149">
        <v>0</v>
      </c>
      <c r="AE1149">
        <v>10483232</v>
      </c>
      <c r="AF1149" t="s">
        <v>50</v>
      </c>
      <c r="AG1149" t="s">
        <v>388</v>
      </c>
    </row>
    <row r="1150" spans="1:33" x14ac:dyDescent="0.35">
      <c r="A1150" s="1">
        <v>44876.709722222222</v>
      </c>
      <c r="B1150">
        <v>1666459</v>
      </c>
      <c r="C1150" t="s">
        <v>2659</v>
      </c>
      <c r="D1150" t="s">
        <v>2125</v>
      </c>
      <c r="E1150" s="2">
        <v>41934</v>
      </c>
      <c r="F1150" t="str">
        <f>"9781482243253"</f>
        <v>9781482243253</v>
      </c>
      <c r="G1150" t="str">
        <f>"9781482243239"</f>
        <v>9781482243239</v>
      </c>
      <c r="H1150" t="s">
        <v>60</v>
      </c>
      <c r="I1150" t="s">
        <v>2660</v>
      </c>
      <c r="J1150" t="s">
        <v>2661</v>
      </c>
      <c r="K1150" t="s">
        <v>44</v>
      </c>
      <c r="N1150" t="s">
        <v>45</v>
      </c>
      <c r="O1150" t="s">
        <v>46</v>
      </c>
      <c r="P1150" t="s">
        <v>45</v>
      </c>
      <c r="Q1150" t="s">
        <v>47</v>
      </c>
      <c r="R1150" t="s">
        <v>44</v>
      </c>
      <c r="S1150">
        <v>0</v>
      </c>
      <c r="W1150" s="3">
        <v>1.5046296296296297E-4</v>
      </c>
      <c r="X1150" t="s">
        <v>205</v>
      </c>
      <c r="Y1150">
        <v>2</v>
      </c>
      <c r="Z1150">
        <v>0</v>
      </c>
      <c r="AA1150" t="s">
        <v>49</v>
      </c>
      <c r="AB1150">
        <v>0</v>
      </c>
      <c r="AC1150" t="s">
        <v>49</v>
      </c>
      <c r="AD1150">
        <v>0</v>
      </c>
      <c r="AE1150">
        <v>11167573</v>
      </c>
      <c r="AF1150" t="s">
        <v>50</v>
      </c>
      <c r="AG1150" t="s">
        <v>2241</v>
      </c>
    </row>
    <row r="1151" spans="1:33" x14ac:dyDescent="0.35">
      <c r="A1151" s="1">
        <v>44876.691666666666</v>
      </c>
      <c r="B1151">
        <v>1447174</v>
      </c>
      <c r="C1151" t="s">
        <v>2647</v>
      </c>
      <c r="D1151" t="s">
        <v>2125</v>
      </c>
      <c r="E1151" s="2">
        <v>40696</v>
      </c>
      <c r="F1151" t="str">
        <f>"9781439895399"</f>
        <v>9781439895399</v>
      </c>
      <c r="G1151" t="str">
        <f>"9781439851029"</f>
        <v>9781439851029</v>
      </c>
      <c r="H1151" t="s">
        <v>60</v>
      </c>
      <c r="I1151" t="s">
        <v>1430</v>
      </c>
      <c r="J1151" t="s">
        <v>2648</v>
      </c>
      <c r="K1151" t="s">
        <v>44</v>
      </c>
      <c r="N1151" t="s">
        <v>45</v>
      </c>
      <c r="O1151" t="s">
        <v>46</v>
      </c>
      <c r="P1151" t="s">
        <v>45</v>
      </c>
      <c r="Q1151" t="s">
        <v>47</v>
      </c>
      <c r="R1151" t="s">
        <v>44</v>
      </c>
      <c r="S1151">
        <v>0</v>
      </c>
      <c r="W1151" s="3">
        <v>1.2268518518518518E-3</v>
      </c>
      <c r="X1151" t="s">
        <v>2662</v>
      </c>
      <c r="Y1151">
        <v>15</v>
      </c>
      <c r="Z1151">
        <v>0</v>
      </c>
      <c r="AA1151" t="s">
        <v>49</v>
      </c>
      <c r="AB1151">
        <v>0</v>
      </c>
      <c r="AC1151" t="s">
        <v>49</v>
      </c>
      <c r="AD1151">
        <v>0</v>
      </c>
      <c r="AE1151">
        <v>11166240</v>
      </c>
      <c r="AF1151" t="s">
        <v>50</v>
      </c>
      <c r="AG1151" t="s">
        <v>388</v>
      </c>
    </row>
    <row r="1152" spans="1:33" x14ac:dyDescent="0.35">
      <c r="A1152" s="1">
        <v>44876.637499999997</v>
      </c>
      <c r="B1152">
        <v>697607</v>
      </c>
      <c r="C1152" t="s">
        <v>2581</v>
      </c>
      <c r="D1152" t="s">
        <v>59</v>
      </c>
      <c r="E1152" s="2">
        <v>40770</v>
      </c>
      <c r="F1152" t="str">
        <f>"9781119976165"</f>
        <v>9781119976165</v>
      </c>
      <c r="G1152" t="str">
        <f>"9781119976172"</f>
        <v>9781119976172</v>
      </c>
      <c r="H1152" t="s">
        <v>2582</v>
      </c>
      <c r="I1152">
        <v>670.28499999999997</v>
      </c>
      <c r="J1152" t="s">
        <v>2583</v>
      </c>
      <c r="K1152" t="s">
        <v>44</v>
      </c>
      <c r="N1152" t="s">
        <v>45</v>
      </c>
      <c r="O1152" t="s">
        <v>46</v>
      </c>
      <c r="P1152" t="s">
        <v>45</v>
      </c>
      <c r="Q1152" t="s">
        <v>47</v>
      </c>
      <c r="R1152" t="s">
        <v>44</v>
      </c>
      <c r="S1152">
        <v>0</v>
      </c>
      <c r="W1152" s="3">
        <v>4.2858796296296298E-2</v>
      </c>
      <c r="X1152" t="s">
        <v>2663</v>
      </c>
      <c r="Y1152">
        <v>31</v>
      </c>
      <c r="Z1152">
        <v>0</v>
      </c>
      <c r="AA1152" t="s">
        <v>49</v>
      </c>
      <c r="AB1152">
        <v>0</v>
      </c>
      <c r="AC1152" t="s">
        <v>2664</v>
      </c>
      <c r="AD1152">
        <v>4</v>
      </c>
      <c r="AE1152">
        <v>10483232</v>
      </c>
      <c r="AF1152" t="s">
        <v>63</v>
      </c>
      <c r="AG1152" t="s">
        <v>388</v>
      </c>
    </row>
    <row r="1153" spans="1:33" x14ac:dyDescent="0.35">
      <c r="A1153" s="1">
        <v>44876.636111111111</v>
      </c>
      <c r="B1153">
        <v>4941441</v>
      </c>
      <c r="C1153" t="s">
        <v>2665</v>
      </c>
      <c r="D1153" t="s">
        <v>2125</v>
      </c>
      <c r="E1153" s="2">
        <v>42989</v>
      </c>
      <c r="F1153" t="str">
        <f>"9781138400153"</f>
        <v>9781138400153</v>
      </c>
      <c r="G1153" t="str">
        <f>"9781138217454"</f>
        <v>9781138217454</v>
      </c>
      <c r="H1153" t="s">
        <v>60</v>
      </c>
      <c r="I1153">
        <v>658.40129999999897</v>
      </c>
      <c r="J1153" t="s">
        <v>2666</v>
      </c>
      <c r="K1153" t="s">
        <v>44</v>
      </c>
      <c r="N1153" t="s">
        <v>45</v>
      </c>
      <c r="O1153" t="s">
        <v>46</v>
      </c>
      <c r="P1153" t="s">
        <v>45</v>
      </c>
      <c r="Q1153" t="s">
        <v>47</v>
      </c>
      <c r="R1153" t="s">
        <v>44</v>
      </c>
      <c r="S1153">
        <v>0</v>
      </c>
      <c r="W1153" s="3">
        <v>1.4837962962962963E-2</v>
      </c>
      <c r="X1153" t="s">
        <v>2667</v>
      </c>
      <c r="Y1153">
        <v>27</v>
      </c>
      <c r="Z1153">
        <v>0</v>
      </c>
      <c r="AA1153" t="s">
        <v>49</v>
      </c>
      <c r="AB1153">
        <v>0</v>
      </c>
      <c r="AC1153" t="s">
        <v>49</v>
      </c>
      <c r="AD1153">
        <v>0</v>
      </c>
      <c r="AE1153">
        <v>11422112</v>
      </c>
      <c r="AF1153" t="s">
        <v>50</v>
      </c>
      <c r="AG1153" t="s">
        <v>388</v>
      </c>
    </row>
    <row r="1154" spans="1:33" x14ac:dyDescent="0.35">
      <c r="A1154" s="1">
        <v>44876.620833333334</v>
      </c>
      <c r="B1154">
        <v>6404631</v>
      </c>
      <c r="C1154" t="s">
        <v>2668</v>
      </c>
      <c r="D1154" t="s">
        <v>844</v>
      </c>
      <c r="E1154" s="2">
        <v>44165</v>
      </c>
      <c r="F1154" t="str">
        <f>"9781787699311"</f>
        <v>9781787699311</v>
      </c>
      <c r="G1154" t="str">
        <f>"9781787699304"</f>
        <v>9781787699304</v>
      </c>
      <c r="H1154" t="s">
        <v>90</v>
      </c>
      <c r="I1154" t="s">
        <v>2669</v>
      </c>
      <c r="J1154" t="s">
        <v>2670</v>
      </c>
      <c r="K1154" t="s">
        <v>44</v>
      </c>
      <c r="N1154" t="s">
        <v>45</v>
      </c>
      <c r="O1154" t="s">
        <v>46</v>
      </c>
      <c r="P1154" t="s">
        <v>45</v>
      </c>
      <c r="Q1154" t="s">
        <v>47</v>
      </c>
      <c r="R1154" t="s">
        <v>44</v>
      </c>
      <c r="S1154">
        <v>0</v>
      </c>
      <c r="W1154" s="3">
        <v>1.1342592592592591E-3</v>
      </c>
      <c r="X1154" t="s">
        <v>2671</v>
      </c>
      <c r="Y1154">
        <v>14</v>
      </c>
      <c r="Z1154">
        <v>0</v>
      </c>
      <c r="AA1154" t="s">
        <v>49</v>
      </c>
      <c r="AB1154">
        <v>0</v>
      </c>
      <c r="AC1154" t="s">
        <v>49</v>
      </c>
      <c r="AD1154">
        <v>0</v>
      </c>
      <c r="AE1154">
        <v>-1</v>
      </c>
      <c r="AF1154" t="s">
        <v>63</v>
      </c>
      <c r="AG1154" t="s">
        <v>2423</v>
      </c>
    </row>
    <row r="1155" spans="1:33" x14ac:dyDescent="0.35">
      <c r="A1155" s="1">
        <v>44876.614583333336</v>
      </c>
      <c r="B1155">
        <v>661738</v>
      </c>
      <c r="C1155" t="s">
        <v>2672</v>
      </c>
      <c r="D1155" t="s">
        <v>59</v>
      </c>
      <c r="E1155" s="2">
        <v>40651</v>
      </c>
      <c r="F1155" t="str">
        <f>"9781444393101"</f>
        <v>9781444393101</v>
      </c>
      <c r="G1155" t="str">
        <f>"9781405183673"</f>
        <v>9781405183673</v>
      </c>
      <c r="H1155" t="s">
        <v>1112</v>
      </c>
      <c r="I1155">
        <v>664.00684999999999</v>
      </c>
      <c r="J1155" t="s">
        <v>2673</v>
      </c>
      <c r="K1155" t="s">
        <v>44</v>
      </c>
      <c r="N1155" t="s">
        <v>45</v>
      </c>
      <c r="O1155" t="s">
        <v>46</v>
      </c>
      <c r="P1155" t="s">
        <v>45</v>
      </c>
      <c r="Q1155" t="s">
        <v>47</v>
      </c>
      <c r="R1155" t="s">
        <v>44</v>
      </c>
      <c r="S1155">
        <v>0</v>
      </c>
      <c r="W1155" s="3">
        <v>3.1250000000000001E-4</v>
      </c>
      <c r="X1155" t="s">
        <v>2674</v>
      </c>
      <c r="Y1155">
        <v>6</v>
      </c>
      <c r="Z1155">
        <v>0</v>
      </c>
      <c r="AA1155" t="s">
        <v>49</v>
      </c>
      <c r="AB1155">
        <v>0</v>
      </c>
      <c r="AC1155" t="s">
        <v>49</v>
      </c>
      <c r="AD1155">
        <v>0</v>
      </c>
      <c r="AE1155">
        <v>10510587</v>
      </c>
      <c r="AF1155" t="s">
        <v>63</v>
      </c>
      <c r="AG1155" t="s">
        <v>2423</v>
      </c>
    </row>
    <row r="1156" spans="1:33" x14ac:dyDescent="0.35">
      <c r="A1156" s="1">
        <v>44876.613888888889</v>
      </c>
      <c r="B1156">
        <v>589949</v>
      </c>
      <c r="C1156" t="s">
        <v>2388</v>
      </c>
      <c r="D1156" t="s">
        <v>76</v>
      </c>
      <c r="E1156" s="2">
        <v>40402</v>
      </c>
      <c r="F1156" t="str">
        <f>"9781420086034"</f>
        <v>9781420086034</v>
      </c>
      <c r="G1156" t="str">
        <f>"9781420086027"</f>
        <v>9781420086027</v>
      </c>
      <c r="H1156" t="s">
        <v>60</v>
      </c>
      <c r="I1156">
        <v>658.5</v>
      </c>
      <c r="J1156" t="s">
        <v>2389</v>
      </c>
      <c r="K1156" t="s">
        <v>44</v>
      </c>
      <c r="N1156" t="s">
        <v>45</v>
      </c>
      <c r="O1156" t="s">
        <v>46</v>
      </c>
      <c r="P1156" t="s">
        <v>45</v>
      </c>
      <c r="Q1156" t="s">
        <v>47</v>
      </c>
      <c r="R1156" t="s">
        <v>44</v>
      </c>
      <c r="S1156">
        <v>0</v>
      </c>
      <c r="W1156" s="3">
        <v>9.4560185185185181E-3</v>
      </c>
      <c r="X1156" t="s">
        <v>2675</v>
      </c>
      <c r="Y1156">
        <v>13</v>
      </c>
      <c r="Z1156">
        <v>0</v>
      </c>
      <c r="AA1156" t="s">
        <v>49</v>
      </c>
      <c r="AB1156">
        <v>0</v>
      </c>
      <c r="AC1156" t="s">
        <v>49</v>
      </c>
      <c r="AD1156">
        <v>0</v>
      </c>
      <c r="AE1156">
        <v>10419911</v>
      </c>
      <c r="AF1156" t="s">
        <v>63</v>
      </c>
      <c r="AG1156" t="s">
        <v>2423</v>
      </c>
    </row>
    <row r="1157" spans="1:33" x14ac:dyDescent="0.35">
      <c r="A1157" s="1">
        <v>44876.595138888886</v>
      </c>
      <c r="B1157">
        <v>3386513</v>
      </c>
      <c r="C1157" t="s">
        <v>2676</v>
      </c>
      <c r="D1157" t="s">
        <v>2066</v>
      </c>
      <c r="E1157" s="2">
        <v>40014</v>
      </c>
      <c r="F1157" t="str">
        <f>"9781849644228"</f>
        <v>9781849644228</v>
      </c>
      <c r="G1157" t="str">
        <f>"9780745328683"</f>
        <v>9780745328683</v>
      </c>
      <c r="H1157" t="s">
        <v>133</v>
      </c>
      <c r="I1157">
        <v>331.89042920941</v>
      </c>
      <c r="J1157" t="s">
        <v>2677</v>
      </c>
      <c r="K1157" t="s">
        <v>44</v>
      </c>
      <c r="N1157" t="s">
        <v>45</v>
      </c>
      <c r="O1157" t="s">
        <v>46</v>
      </c>
      <c r="P1157" t="s">
        <v>45</v>
      </c>
      <c r="Q1157" t="s">
        <v>47</v>
      </c>
      <c r="R1157" t="s">
        <v>44</v>
      </c>
      <c r="S1157">
        <v>0</v>
      </c>
      <c r="W1157" s="3">
        <v>2.199074074074074E-4</v>
      </c>
      <c r="X1157" t="s">
        <v>2678</v>
      </c>
      <c r="Y1157">
        <v>4</v>
      </c>
      <c r="Z1157">
        <v>0</v>
      </c>
      <c r="AA1157" t="s">
        <v>49</v>
      </c>
      <c r="AB1157">
        <v>0</v>
      </c>
      <c r="AC1157" t="s">
        <v>49</v>
      </c>
      <c r="AD1157">
        <v>0</v>
      </c>
      <c r="AE1157">
        <v>10480147</v>
      </c>
      <c r="AF1157" t="s">
        <v>50</v>
      </c>
      <c r="AG1157" t="s">
        <v>388</v>
      </c>
    </row>
    <row r="1158" spans="1:33" x14ac:dyDescent="0.35">
      <c r="A1158" s="1">
        <v>44876.591666666667</v>
      </c>
      <c r="B1158">
        <v>279494</v>
      </c>
      <c r="C1158" t="s">
        <v>1333</v>
      </c>
      <c r="D1158" t="s">
        <v>125</v>
      </c>
      <c r="E1158" s="2">
        <v>37280</v>
      </c>
      <c r="F1158" t="str">
        <f>"9780198032953"</f>
        <v>9780198032953</v>
      </c>
      <c r="G1158" t="str">
        <f>"9780195144208"</f>
        <v>9780195144208</v>
      </c>
      <c r="H1158" t="s">
        <v>667</v>
      </c>
      <c r="I1158" t="s">
        <v>1334</v>
      </c>
      <c r="J1158" t="s">
        <v>1335</v>
      </c>
      <c r="K1158" t="s">
        <v>44</v>
      </c>
      <c r="N1158" t="s">
        <v>45</v>
      </c>
      <c r="O1158" t="s">
        <v>46</v>
      </c>
      <c r="P1158" t="s">
        <v>45</v>
      </c>
      <c r="Q1158" t="s">
        <v>47</v>
      </c>
      <c r="R1158" t="s">
        <v>44</v>
      </c>
      <c r="S1158">
        <v>0</v>
      </c>
      <c r="W1158" s="3">
        <v>6.6053240740740746E-2</v>
      </c>
      <c r="X1158" t="s">
        <v>2679</v>
      </c>
      <c r="Y1158">
        <v>23</v>
      </c>
      <c r="Z1158">
        <v>0</v>
      </c>
      <c r="AA1158" t="s">
        <v>49</v>
      </c>
      <c r="AB1158">
        <v>0</v>
      </c>
      <c r="AC1158" t="s">
        <v>49</v>
      </c>
      <c r="AD1158">
        <v>0</v>
      </c>
      <c r="AE1158">
        <v>11303309</v>
      </c>
      <c r="AF1158" t="s">
        <v>50</v>
      </c>
      <c r="AG1158" t="s">
        <v>388</v>
      </c>
    </row>
    <row r="1159" spans="1:33" x14ac:dyDescent="0.35">
      <c r="A1159" s="1">
        <v>44876.574305555558</v>
      </c>
      <c r="B1159">
        <v>5597942</v>
      </c>
      <c r="C1159" t="s">
        <v>2680</v>
      </c>
      <c r="D1159" t="s">
        <v>65</v>
      </c>
      <c r="E1159" s="2">
        <v>43420</v>
      </c>
      <c r="F1159" t="str">
        <f>"9780128142523"</f>
        <v>9780128142523</v>
      </c>
      <c r="G1159" t="str">
        <f>"9780128142516"</f>
        <v>9780128142516</v>
      </c>
      <c r="H1159" t="s">
        <v>116</v>
      </c>
      <c r="I1159">
        <v>665.81</v>
      </c>
      <c r="J1159" t="s">
        <v>2681</v>
      </c>
      <c r="K1159" t="s">
        <v>55</v>
      </c>
      <c r="Q1159" t="s">
        <v>47</v>
      </c>
      <c r="R1159" t="s">
        <v>44</v>
      </c>
      <c r="S1159">
        <v>0</v>
      </c>
      <c r="W1159" s="3">
        <v>1.8055555555555557E-3</v>
      </c>
      <c r="X1159" t="s">
        <v>2682</v>
      </c>
      <c r="Y1159">
        <v>7</v>
      </c>
      <c r="Z1159">
        <v>0</v>
      </c>
      <c r="AA1159" t="s">
        <v>49</v>
      </c>
      <c r="AB1159">
        <v>0</v>
      </c>
      <c r="AC1159" t="s">
        <v>49</v>
      </c>
      <c r="AD1159">
        <v>0</v>
      </c>
      <c r="AE1159">
        <v>11637283</v>
      </c>
      <c r="AF1159" t="s">
        <v>50</v>
      </c>
      <c r="AG1159" t="s">
        <v>1309</v>
      </c>
    </row>
    <row r="1160" spans="1:33" x14ac:dyDescent="0.35">
      <c r="A1160" s="1">
        <v>44876.554166666669</v>
      </c>
      <c r="B1160">
        <v>5597942</v>
      </c>
      <c r="C1160" t="s">
        <v>2680</v>
      </c>
      <c r="D1160" t="s">
        <v>65</v>
      </c>
      <c r="E1160" s="2">
        <v>43420</v>
      </c>
      <c r="F1160" t="str">
        <f>"9780128142523"</f>
        <v>9780128142523</v>
      </c>
      <c r="G1160" t="str">
        <f>"9780128142516"</f>
        <v>9780128142516</v>
      </c>
      <c r="H1160" t="s">
        <v>116</v>
      </c>
      <c r="I1160">
        <v>665.81</v>
      </c>
      <c r="J1160" t="s">
        <v>2681</v>
      </c>
      <c r="K1160" t="s">
        <v>55</v>
      </c>
      <c r="Q1160" t="s">
        <v>47</v>
      </c>
      <c r="R1160" t="s">
        <v>44</v>
      </c>
      <c r="S1160">
        <v>0</v>
      </c>
      <c r="W1160" s="3">
        <v>1.2083333333333333E-2</v>
      </c>
      <c r="X1160" t="s">
        <v>2683</v>
      </c>
      <c r="Y1160">
        <v>29</v>
      </c>
      <c r="Z1160">
        <v>0</v>
      </c>
      <c r="AA1160" t="s">
        <v>49</v>
      </c>
      <c r="AB1160">
        <v>0</v>
      </c>
      <c r="AC1160" t="s">
        <v>49</v>
      </c>
      <c r="AD1160">
        <v>0</v>
      </c>
      <c r="AE1160">
        <v>11637283</v>
      </c>
      <c r="AF1160" t="s">
        <v>63</v>
      </c>
      <c r="AG1160" t="s">
        <v>1309</v>
      </c>
    </row>
    <row r="1161" spans="1:33" x14ac:dyDescent="0.35">
      <c r="A1161" s="1">
        <v>44876.509722222225</v>
      </c>
      <c r="B1161">
        <v>279494</v>
      </c>
      <c r="C1161" t="s">
        <v>1333</v>
      </c>
      <c r="D1161" t="s">
        <v>125</v>
      </c>
      <c r="E1161" s="2">
        <v>37280</v>
      </c>
      <c r="F1161" t="str">
        <f>"9780198032953"</f>
        <v>9780198032953</v>
      </c>
      <c r="G1161" t="str">
        <f>"9780195144208"</f>
        <v>9780195144208</v>
      </c>
      <c r="H1161" t="s">
        <v>667</v>
      </c>
      <c r="I1161" t="s">
        <v>1334</v>
      </c>
      <c r="J1161" t="s">
        <v>1335</v>
      </c>
      <c r="K1161" t="s">
        <v>44</v>
      </c>
      <c r="N1161" t="s">
        <v>45</v>
      </c>
      <c r="O1161" t="s">
        <v>46</v>
      </c>
      <c r="P1161" t="s">
        <v>45</v>
      </c>
      <c r="Q1161" t="s">
        <v>47</v>
      </c>
      <c r="R1161" t="s">
        <v>44</v>
      </c>
      <c r="S1161">
        <v>0</v>
      </c>
      <c r="W1161" s="3">
        <v>4.6296296296296294E-5</v>
      </c>
      <c r="X1161" t="s">
        <v>121</v>
      </c>
      <c r="Y1161">
        <v>1</v>
      </c>
      <c r="Z1161">
        <v>0</v>
      </c>
      <c r="AA1161" t="s">
        <v>49</v>
      </c>
      <c r="AB1161">
        <v>0</v>
      </c>
      <c r="AC1161" t="s">
        <v>49</v>
      </c>
      <c r="AD1161">
        <v>0</v>
      </c>
      <c r="AE1161">
        <v>11303309</v>
      </c>
      <c r="AF1161" t="s">
        <v>50</v>
      </c>
      <c r="AG1161" t="s">
        <v>670</v>
      </c>
    </row>
    <row r="1162" spans="1:33" x14ac:dyDescent="0.35">
      <c r="A1162" s="1">
        <v>44876.415972222225</v>
      </c>
      <c r="B1162">
        <v>5945867</v>
      </c>
      <c r="C1162" t="s">
        <v>991</v>
      </c>
      <c r="D1162" t="s">
        <v>992</v>
      </c>
      <c r="E1162" s="2">
        <v>43800</v>
      </c>
      <c r="F1162" t="str">
        <f>"9781640122796"</f>
        <v>9781640122796</v>
      </c>
      <c r="G1162" t="str">
        <f>"9781640122208"</f>
        <v>9781640122208</v>
      </c>
      <c r="H1162" t="s">
        <v>667</v>
      </c>
      <c r="I1162">
        <v>940.5412</v>
      </c>
      <c r="J1162" t="s">
        <v>993</v>
      </c>
      <c r="K1162" t="s">
        <v>44</v>
      </c>
      <c r="N1162" t="s">
        <v>45</v>
      </c>
      <c r="O1162" t="s">
        <v>46</v>
      </c>
      <c r="P1162" t="s">
        <v>177</v>
      </c>
      <c r="Q1162" t="s">
        <v>47</v>
      </c>
      <c r="R1162" t="s">
        <v>55</v>
      </c>
      <c r="S1162">
        <v>0</v>
      </c>
      <c r="W1162" s="3">
        <v>1.3252314814814814E-2</v>
      </c>
      <c r="X1162" t="s">
        <v>2684</v>
      </c>
      <c r="Y1162">
        <v>4</v>
      </c>
      <c r="Z1162">
        <v>0</v>
      </c>
      <c r="AA1162" t="s">
        <v>49</v>
      </c>
      <c r="AB1162">
        <v>0</v>
      </c>
      <c r="AC1162" t="s">
        <v>49</v>
      </c>
      <c r="AD1162">
        <v>0</v>
      </c>
      <c r="AE1162">
        <v>-1</v>
      </c>
      <c r="AF1162" t="s">
        <v>50</v>
      </c>
      <c r="AG1162" t="s">
        <v>388</v>
      </c>
    </row>
    <row r="1163" spans="1:33" x14ac:dyDescent="0.35">
      <c r="A1163" s="1">
        <v>44876.405555555553</v>
      </c>
      <c r="B1163">
        <v>5752801</v>
      </c>
      <c r="C1163" t="s">
        <v>2344</v>
      </c>
      <c r="D1163" t="s">
        <v>2345</v>
      </c>
      <c r="E1163" s="2">
        <v>43516</v>
      </c>
      <c r="F1163" t="str">
        <f>"9781547573660"</f>
        <v>9781547573660</v>
      </c>
      <c r="G1163" t="str">
        <f>""</f>
        <v/>
      </c>
      <c r="H1163" t="s">
        <v>171</v>
      </c>
      <c r="I1163">
        <v>428.00760000000002</v>
      </c>
      <c r="J1163" t="s">
        <v>2346</v>
      </c>
      <c r="K1163" t="s">
        <v>55</v>
      </c>
      <c r="Q1163" t="s">
        <v>47</v>
      </c>
      <c r="R1163" t="s">
        <v>44</v>
      </c>
      <c r="S1163">
        <v>0</v>
      </c>
      <c r="W1163" s="3">
        <v>1.8657407407407407E-2</v>
      </c>
      <c r="X1163" t="s">
        <v>2685</v>
      </c>
      <c r="Y1163">
        <v>6</v>
      </c>
      <c r="Z1163">
        <v>0</v>
      </c>
      <c r="AA1163" t="s">
        <v>49</v>
      </c>
      <c r="AB1163">
        <v>0</v>
      </c>
      <c r="AC1163" t="s">
        <v>49</v>
      </c>
      <c r="AD1163">
        <v>0</v>
      </c>
      <c r="AE1163">
        <v>-1</v>
      </c>
      <c r="AF1163" t="s">
        <v>50</v>
      </c>
      <c r="AG1163" t="s">
        <v>388</v>
      </c>
    </row>
    <row r="1164" spans="1:33" x14ac:dyDescent="0.35">
      <c r="A1164" s="1">
        <v>44876.376388888886</v>
      </c>
      <c r="B1164">
        <v>3111579</v>
      </c>
      <c r="C1164" t="s">
        <v>2686</v>
      </c>
      <c r="D1164" t="s">
        <v>738</v>
      </c>
      <c r="E1164" s="2">
        <v>21916</v>
      </c>
      <c r="F1164" t="str">
        <f>"9781600862571"</f>
        <v>9781600862571</v>
      </c>
      <c r="G1164" t="str">
        <f>"9781563478505"</f>
        <v>9781563478505</v>
      </c>
      <c r="H1164" t="s">
        <v>208</v>
      </c>
      <c r="I1164">
        <v>629.13435400000003</v>
      </c>
      <c r="J1164" t="s">
        <v>2687</v>
      </c>
      <c r="K1164" t="s">
        <v>44</v>
      </c>
      <c r="N1164" t="s">
        <v>45</v>
      </c>
      <c r="O1164" t="s">
        <v>46</v>
      </c>
      <c r="P1164" t="s">
        <v>45</v>
      </c>
      <c r="Q1164" t="s">
        <v>47</v>
      </c>
      <c r="R1164" t="s">
        <v>44</v>
      </c>
      <c r="S1164">
        <v>0</v>
      </c>
      <c r="W1164" s="3">
        <v>4.6296296296296293E-4</v>
      </c>
      <c r="X1164" t="s">
        <v>2688</v>
      </c>
      <c r="Y1164">
        <v>8</v>
      </c>
      <c r="Z1164">
        <v>0</v>
      </c>
      <c r="AA1164" t="s">
        <v>49</v>
      </c>
      <c r="AB1164">
        <v>0</v>
      </c>
      <c r="AC1164" t="s">
        <v>49</v>
      </c>
      <c r="AD1164">
        <v>0</v>
      </c>
      <c r="AE1164">
        <v>10516683</v>
      </c>
      <c r="AF1164" t="s">
        <v>50</v>
      </c>
      <c r="AG1164" t="s">
        <v>388</v>
      </c>
    </row>
    <row r="1165" spans="1:33" x14ac:dyDescent="0.35">
      <c r="A1165" s="1">
        <v>44876.353472222225</v>
      </c>
      <c r="B1165">
        <v>848526</v>
      </c>
      <c r="C1165" t="s">
        <v>2541</v>
      </c>
      <c r="D1165" t="s">
        <v>59</v>
      </c>
      <c r="E1165" s="2">
        <v>41212</v>
      </c>
      <c r="F1165" t="str">
        <f>"9781118310069"</f>
        <v>9781118310069</v>
      </c>
      <c r="G1165" t="str">
        <f>"9780470566671"</f>
        <v>9780470566671</v>
      </c>
      <c r="H1165" t="s">
        <v>2542</v>
      </c>
      <c r="I1165">
        <v>610.28</v>
      </c>
      <c r="J1165" t="s">
        <v>2543</v>
      </c>
      <c r="K1165" t="s">
        <v>44</v>
      </c>
      <c r="N1165" t="s">
        <v>45</v>
      </c>
      <c r="O1165" t="s">
        <v>46</v>
      </c>
      <c r="P1165" t="s">
        <v>45</v>
      </c>
      <c r="Q1165" t="s">
        <v>47</v>
      </c>
      <c r="R1165" t="s">
        <v>44</v>
      </c>
      <c r="S1165">
        <v>0</v>
      </c>
      <c r="W1165" s="3">
        <v>2.7986111111111111E-2</v>
      </c>
      <c r="X1165" t="s">
        <v>2689</v>
      </c>
      <c r="Y1165">
        <v>30</v>
      </c>
      <c r="Z1165">
        <v>3</v>
      </c>
      <c r="AA1165" t="s">
        <v>2690</v>
      </c>
      <c r="AB1165">
        <v>78</v>
      </c>
      <c r="AC1165" t="s">
        <v>49</v>
      </c>
      <c r="AD1165">
        <v>0</v>
      </c>
      <c r="AE1165">
        <v>10615085</v>
      </c>
      <c r="AF1165" t="s">
        <v>50</v>
      </c>
      <c r="AG1165" t="s">
        <v>1536</v>
      </c>
    </row>
    <row r="1166" spans="1:33" x14ac:dyDescent="0.35">
      <c r="A1166" s="1">
        <v>44876.275000000001</v>
      </c>
      <c r="B1166">
        <v>5945867</v>
      </c>
      <c r="C1166" t="s">
        <v>991</v>
      </c>
      <c r="D1166" t="s">
        <v>992</v>
      </c>
      <c r="E1166" s="2">
        <v>43800</v>
      </c>
      <c r="F1166" t="str">
        <f>"9781640122796"</f>
        <v>9781640122796</v>
      </c>
      <c r="G1166" t="str">
        <f>"9781640122208"</f>
        <v>9781640122208</v>
      </c>
      <c r="H1166" t="s">
        <v>667</v>
      </c>
      <c r="I1166">
        <v>940.5412</v>
      </c>
      <c r="J1166" t="s">
        <v>993</v>
      </c>
      <c r="K1166" t="s">
        <v>44</v>
      </c>
      <c r="N1166" t="s">
        <v>45</v>
      </c>
      <c r="O1166" t="s">
        <v>46</v>
      </c>
      <c r="P1166" t="s">
        <v>177</v>
      </c>
      <c r="Q1166" t="s">
        <v>47</v>
      </c>
      <c r="R1166" t="s">
        <v>55</v>
      </c>
      <c r="S1166">
        <v>0</v>
      </c>
      <c r="W1166" s="3">
        <v>4.6296296296296294E-5</v>
      </c>
      <c r="X1166" t="s">
        <v>121</v>
      </c>
      <c r="Y1166">
        <v>1</v>
      </c>
      <c r="Z1166">
        <v>0</v>
      </c>
      <c r="AA1166" t="s">
        <v>49</v>
      </c>
      <c r="AB1166">
        <v>0</v>
      </c>
      <c r="AC1166" t="s">
        <v>49</v>
      </c>
      <c r="AD1166">
        <v>0</v>
      </c>
      <c r="AE1166">
        <v>-1</v>
      </c>
      <c r="AF1166" t="s">
        <v>50</v>
      </c>
      <c r="AG1166" t="s">
        <v>388</v>
      </c>
    </row>
    <row r="1167" spans="1:33" x14ac:dyDescent="0.35">
      <c r="A1167" s="1">
        <v>44876.069444444445</v>
      </c>
      <c r="B1167">
        <v>6733204</v>
      </c>
      <c r="C1167" t="s">
        <v>2691</v>
      </c>
      <c r="D1167" t="s">
        <v>2125</v>
      </c>
      <c r="E1167" s="2">
        <v>44531</v>
      </c>
      <c r="F1167" t="str">
        <f>"9780429759734"</f>
        <v>9780429759734</v>
      </c>
      <c r="G1167" t="str">
        <f>"9781138387850"</f>
        <v>9781138387850</v>
      </c>
      <c r="H1167" t="s">
        <v>60</v>
      </c>
      <c r="I1167">
        <v>658.4</v>
      </c>
      <c r="J1167" t="s">
        <v>2692</v>
      </c>
      <c r="K1167" t="s">
        <v>55</v>
      </c>
      <c r="Q1167" t="s">
        <v>47</v>
      </c>
      <c r="R1167" t="s">
        <v>44</v>
      </c>
      <c r="S1167">
        <v>0</v>
      </c>
      <c r="W1167" s="3">
        <v>4.5254629629629629E-3</v>
      </c>
      <c r="X1167" t="s">
        <v>2693</v>
      </c>
      <c r="Y1167">
        <v>6</v>
      </c>
      <c r="Z1167">
        <v>0</v>
      </c>
      <c r="AA1167" t="s">
        <v>49</v>
      </c>
      <c r="AB1167">
        <v>0</v>
      </c>
      <c r="AC1167" t="s">
        <v>49</v>
      </c>
      <c r="AD1167">
        <v>0</v>
      </c>
      <c r="AE1167">
        <v>-1</v>
      </c>
      <c r="AF1167" t="s">
        <v>50</v>
      </c>
      <c r="AG1167" t="s">
        <v>2241</v>
      </c>
    </row>
    <row r="1168" spans="1:33" x14ac:dyDescent="0.35">
      <c r="A1168" s="1">
        <v>44876.068055555559</v>
      </c>
      <c r="B1168">
        <v>6478244</v>
      </c>
      <c r="C1168" t="s">
        <v>2694</v>
      </c>
      <c r="D1168" t="s">
        <v>59</v>
      </c>
      <c r="E1168" s="2">
        <v>44250</v>
      </c>
      <c r="F1168" t="str">
        <f>"9781119765240"</f>
        <v>9781119765240</v>
      </c>
      <c r="G1168" t="str">
        <f>"9781119765226"</f>
        <v>9781119765226</v>
      </c>
      <c r="H1168" t="s">
        <v>261</v>
      </c>
      <c r="I1168">
        <v>628.29999999999995</v>
      </c>
      <c r="J1168" t="s">
        <v>2695</v>
      </c>
      <c r="K1168" t="s">
        <v>55</v>
      </c>
      <c r="N1168" t="s">
        <v>293</v>
      </c>
      <c r="P1168" t="s">
        <v>80</v>
      </c>
      <c r="Q1168" t="s">
        <v>47</v>
      </c>
      <c r="R1168" t="s">
        <v>44</v>
      </c>
      <c r="S1168">
        <v>0</v>
      </c>
      <c r="W1168" s="3">
        <v>0</v>
      </c>
      <c r="X1168" t="s">
        <v>49</v>
      </c>
      <c r="Y1168">
        <v>0</v>
      </c>
      <c r="Z1168">
        <v>1</v>
      </c>
      <c r="AA1168" t="s">
        <v>2696</v>
      </c>
      <c r="AB1168">
        <v>36</v>
      </c>
      <c r="AC1168" t="s">
        <v>49</v>
      </c>
      <c r="AD1168">
        <v>0</v>
      </c>
      <c r="AE1168">
        <v>-1</v>
      </c>
      <c r="AF1168" t="s">
        <v>50</v>
      </c>
      <c r="AG1168" t="s">
        <v>2241</v>
      </c>
    </row>
    <row r="1169" spans="1:33" x14ac:dyDescent="0.35">
      <c r="A1169" s="1">
        <v>44875.992361111108</v>
      </c>
      <c r="B1169">
        <v>6747725</v>
      </c>
      <c r="C1169" t="s">
        <v>2697</v>
      </c>
      <c r="D1169" t="s">
        <v>537</v>
      </c>
      <c r="E1169" s="2">
        <v>44530</v>
      </c>
      <c r="F1169" t="str">
        <f>"9781000333749"</f>
        <v>9781000333749</v>
      </c>
      <c r="G1169" t="str">
        <f>"9789814877633"</f>
        <v>9789814877633</v>
      </c>
      <c r="H1169" t="s">
        <v>77</v>
      </c>
      <c r="I1169">
        <v>610.28</v>
      </c>
      <c r="J1169" t="s">
        <v>2698</v>
      </c>
      <c r="K1169" t="s">
        <v>55</v>
      </c>
      <c r="Q1169" t="s">
        <v>47</v>
      </c>
      <c r="R1169" t="s">
        <v>44</v>
      </c>
      <c r="S1169">
        <v>0</v>
      </c>
      <c r="W1169" s="3">
        <v>5.0925925925925921E-4</v>
      </c>
      <c r="X1169" t="s">
        <v>2699</v>
      </c>
      <c r="Y1169">
        <v>3</v>
      </c>
      <c r="Z1169">
        <v>0</v>
      </c>
      <c r="AA1169" t="s">
        <v>49</v>
      </c>
      <c r="AB1169">
        <v>0</v>
      </c>
      <c r="AC1169" t="s">
        <v>49</v>
      </c>
      <c r="AD1169">
        <v>0</v>
      </c>
      <c r="AE1169">
        <v>-1</v>
      </c>
      <c r="AF1169" t="s">
        <v>50</v>
      </c>
      <c r="AG1169" t="s">
        <v>670</v>
      </c>
    </row>
    <row r="1170" spans="1:33" x14ac:dyDescent="0.35">
      <c r="A1170" s="1">
        <v>44875.990972222222</v>
      </c>
      <c r="B1170">
        <v>1901589</v>
      </c>
      <c r="C1170" t="s">
        <v>391</v>
      </c>
      <c r="D1170" t="s">
        <v>65</v>
      </c>
      <c r="E1170" s="2">
        <v>30713</v>
      </c>
      <c r="F1170" t="str">
        <f>"9781483262390"</f>
        <v>9781483262390</v>
      </c>
      <c r="G1170" t="str">
        <f>"9780123043719"</f>
        <v>9780123043719</v>
      </c>
      <c r="H1170" t="s">
        <v>43</v>
      </c>
      <c r="I1170">
        <v>515</v>
      </c>
      <c r="J1170" t="s">
        <v>392</v>
      </c>
      <c r="K1170" t="s">
        <v>44</v>
      </c>
      <c r="N1170" t="s">
        <v>45</v>
      </c>
      <c r="O1170" t="s">
        <v>46</v>
      </c>
      <c r="P1170" t="s">
        <v>45</v>
      </c>
      <c r="Q1170" t="s">
        <v>47</v>
      </c>
      <c r="R1170" t="s">
        <v>44</v>
      </c>
      <c r="S1170">
        <v>0</v>
      </c>
      <c r="W1170" s="3">
        <v>6.1805555555555563E-3</v>
      </c>
      <c r="X1170" t="s">
        <v>2700</v>
      </c>
      <c r="Y1170">
        <v>10</v>
      </c>
      <c r="Z1170">
        <v>0</v>
      </c>
      <c r="AA1170" t="s">
        <v>49</v>
      </c>
      <c r="AB1170">
        <v>0</v>
      </c>
      <c r="AC1170" t="s">
        <v>49</v>
      </c>
      <c r="AD1170">
        <v>0</v>
      </c>
      <c r="AE1170">
        <v>11008716</v>
      </c>
      <c r="AF1170" t="s">
        <v>50</v>
      </c>
      <c r="AG1170" t="s">
        <v>670</v>
      </c>
    </row>
    <row r="1171" spans="1:33" x14ac:dyDescent="0.35">
      <c r="A1171" s="1">
        <v>44875.990972222222</v>
      </c>
      <c r="B1171">
        <v>4784104</v>
      </c>
      <c r="C1171" t="s">
        <v>2701</v>
      </c>
      <c r="D1171" t="s">
        <v>940</v>
      </c>
      <c r="E1171" s="2">
        <v>42716</v>
      </c>
      <c r="F1171" t="str">
        <f>"9781681082035"</f>
        <v>9781681082035</v>
      </c>
      <c r="G1171" t="str">
        <f>"9781681082042"</f>
        <v>9781681082042</v>
      </c>
      <c r="H1171" t="s">
        <v>43</v>
      </c>
      <c r="I1171">
        <v>515.07100000000003</v>
      </c>
      <c r="J1171" t="s">
        <v>2702</v>
      </c>
      <c r="K1171" t="s">
        <v>44</v>
      </c>
      <c r="N1171" t="s">
        <v>45</v>
      </c>
      <c r="O1171" t="s">
        <v>46</v>
      </c>
      <c r="P1171" t="s">
        <v>45</v>
      </c>
      <c r="Q1171" t="s">
        <v>47</v>
      </c>
      <c r="R1171" t="s">
        <v>44</v>
      </c>
      <c r="S1171">
        <v>0</v>
      </c>
      <c r="W1171" s="3">
        <v>1.5046296296296297E-4</v>
      </c>
      <c r="X1171" t="s">
        <v>2703</v>
      </c>
      <c r="Y1171">
        <v>2</v>
      </c>
      <c r="Z1171">
        <v>0</v>
      </c>
      <c r="AA1171" t="s">
        <v>49</v>
      </c>
      <c r="AB1171">
        <v>0</v>
      </c>
      <c r="AC1171" t="s">
        <v>49</v>
      </c>
      <c r="AD1171">
        <v>0</v>
      </c>
      <c r="AE1171">
        <v>11329282</v>
      </c>
      <c r="AF1171" t="s">
        <v>50</v>
      </c>
      <c r="AG1171" t="s">
        <v>670</v>
      </c>
    </row>
    <row r="1172" spans="1:33" x14ac:dyDescent="0.35">
      <c r="A1172" s="1">
        <v>44875.989583333336</v>
      </c>
      <c r="B1172">
        <v>4877050</v>
      </c>
      <c r="C1172" t="s">
        <v>2704</v>
      </c>
      <c r="D1172" t="s">
        <v>199</v>
      </c>
      <c r="E1172" s="2">
        <v>42491</v>
      </c>
      <c r="F1172" t="str">
        <f>"9781423233671"</f>
        <v>9781423233671</v>
      </c>
      <c r="G1172" t="str">
        <f>"9781423233039"</f>
        <v>9781423233039</v>
      </c>
      <c r="H1172" t="s">
        <v>43</v>
      </c>
      <c r="I1172">
        <v>515</v>
      </c>
      <c r="J1172" t="s">
        <v>2705</v>
      </c>
      <c r="K1172" t="s">
        <v>44</v>
      </c>
      <c r="N1172" t="s">
        <v>45</v>
      </c>
      <c r="O1172" t="s">
        <v>46</v>
      </c>
      <c r="P1172" t="s">
        <v>45</v>
      </c>
      <c r="Q1172" t="s">
        <v>47</v>
      </c>
      <c r="R1172" t="s">
        <v>44</v>
      </c>
      <c r="S1172">
        <v>0</v>
      </c>
      <c r="W1172" s="3">
        <v>9.9537037037037042E-4</v>
      </c>
      <c r="X1172" t="s">
        <v>2706</v>
      </c>
      <c r="Y1172">
        <v>7</v>
      </c>
      <c r="Z1172">
        <v>0</v>
      </c>
      <c r="AA1172" t="s">
        <v>49</v>
      </c>
      <c r="AB1172">
        <v>0</v>
      </c>
      <c r="AC1172" t="s">
        <v>49</v>
      </c>
      <c r="AD1172">
        <v>0</v>
      </c>
      <c r="AE1172">
        <v>11397719</v>
      </c>
      <c r="AF1172" t="s">
        <v>50</v>
      </c>
      <c r="AG1172" t="s">
        <v>670</v>
      </c>
    </row>
    <row r="1173" spans="1:33" x14ac:dyDescent="0.35">
      <c r="A1173" s="1">
        <v>44875.972916666666</v>
      </c>
      <c r="B1173">
        <v>253515</v>
      </c>
      <c r="C1173" t="s">
        <v>2500</v>
      </c>
      <c r="D1173" t="s">
        <v>473</v>
      </c>
      <c r="E1173" s="2">
        <v>37257</v>
      </c>
      <c r="F1173" t="str">
        <f>"9789047401568"</f>
        <v>9789047401568</v>
      </c>
      <c r="G1173" t="str">
        <f>"9789004125896"</f>
        <v>9789004125896</v>
      </c>
      <c r="H1173" t="s">
        <v>162</v>
      </c>
      <c r="I1173" t="s">
        <v>2501</v>
      </c>
      <c r="J1173" t="s">
        <v>2502</v>
      </c>
      <c r="K1173" t="s">
        <v>44</v>
      </c>
      <c r="N1173" t="s">
        <v>45</v>
      </c>
      <c r="O1173" t="s">
        <v>46</v>
      </c>
      <c r="P1173" t="s">
        <v>45</v>
      </c>
      <c r="Q1173" t="s">
        <v>47</v>
      </c>
      <c r="R1173" t="s">
        <v>44</v>
      </c>
      <c r="S1173">
        <v>0</v>
      </c>
      <c r="W1173" s="3">
        <v>2.1180555555555553E-3</v>
      </c>
      <c r="X1173" t="s">
        <v>2707</v>
      </c>
      <c r="Y1173">
        <v>17</v>
      </c>
      <c r="Z1173">
        <v>0</v>
      </c>
      <c r="AA1173" t="s">
        <v>49</v>
      </c>
      <c r="AB1173">
        <v>0</v>
      </c>
      <c r="AC1173" t="s">
        <v>49</v>
      </c>
      <c r="AD1173">
        <v>0</v>
      </c>
      <c r="AE1173">
        <v>10090603</v>
      </c>
      <c r="AF1173" t="s">
        <v>63</v>
      </c>
      <c r="AG1173" t="s">
        <v>670</v>
      </c>
    </row>
    <row r="1174" spans="1:33" x14ac:dyDescent="0.35">
      <c r="A1174" s="1">
        <v>44875.96875</v>
      </c>
      <c r="B1174">
        <v>6224553</v>
      </c>
      <c r="C1174" t="s">
        <v>2708</v>
      </c>
      <c r="D1174" t="s">
        <v>2709</v>
      </c>
      <c r="E1174" s="2">
        <v>43962</v>
      </c>
      <c r="F1174" t="str">
        <f>"9781646020232"</f>
        <v>9781646020232</v>
      </c>
      <c r="G1174" t="str">
        <f>"9781575069890"</f>
        <v>9781575069890</v>
      </c>
      <c r="H1174" t="s">
        <v>2710</v>
      </c>
      <c r="K1174" t="s">
        <v>44</v>
      </c>
      <c r="N1174" t="s">
        <v>45</v>
      </c>
      <c r="O1174" t="s">
        <v>46</v>
      </c>
      <c r="P1174" t="s">
        <v>177</v>
      </c>
      <c r="Q1174" t="s">
        <v>47</v>
      </c>
      <c r="R1174" t="s">
        <v>55</v>
      </c>
      <c r="S1174">
        <v>1</v>
      </c>
      <c r="W1174" s="3">
        <v>0</v>
      </c>
      <c r="X1174" t="s">
        <v>49</v>
      </c>
      <c r="Y1174">
        <v>0</v>
      </c>
      <c r="Z1174">
        <v>0</v>
      </c>
      <c r="AA1174" t="s">
        <v>49</v>
      </c>
      <c r="AB1174">
        <v>0</v>
      </c>
      <c r="AC1174" t="s">
        <v>49</v>
      </c>
      <c r="AD1174">
        <v>0</v>
      </c>
      <c r="AE1174">
        <v>-1</v>
      </c>
      <c r="AF1174" t="s">
        <v>63</v>
      </c>
      <c r="AG1174" t="s">
        <v>670</v>
      </c>
    </row>
    <row r="1175" spans="1:33" x14ac:dyDescent="0.35">
      <c r="A1175" s="1">
        <v>44875.968055555553</v>
      </c>
      <c r="B1175">
        <v>6224553</v>
      </c>
      <c r="C1175" t="s">
        <v>2708</v>
      </c>
      <c r="D1175" t="s">
        <v>2709</v>
      </c>
      <c r="E1175" s="2">
        <v>43962</v>
      </c>
      <c r="F1175" t="str">
        <f>"9781646020232"</f>
        <v>9781646020232</v>
      </c>
      <c r="G1175" t="str">
        <f>"9781575069890"</f>
        <v>9781575069890</v>
      </c>
      <c r="H1175" t="s">
        <v>2710</v>
      </c>
      <c r="K1175" t="s">
        <v>44</v>
      </c>
      <c r="N1175" t="s">
        <v>45</v>
      </c>
      <c r="O1175" t="s">
        <v>46</v>
      </c>
      <c r="P1175" t="s">
        <v>177</v>
      </c>
      <c r="Q1175" t="s">
        <v>47</v>
      </c>
      <c r="R1175" t="s">
        <v>55</v>
      </c>
      <c r="S1175">
        <v>0</v>
      </c>
      <c r="W1175" s="3">
        <v>8.564814814814815E-4</v>
      </c>
      <c r="X1175" t="s">
        <v>2711</v>
      </c>
      <c r="Y1175">
        <v>2</v>
      </c>
      <c r="Z1175">
        <v>0</v>
      </c>
      <c r="AA1175" t="s">
        <v>49</v>
      </c>
      <c r="AB1175">
        <v>0</v>
      </c>
      <c r="AC1175" t="s">
        <v>49</v>
      </c>
      <c r="AD1175">
        <v>0</v>
      </c>
      <c r="AE1175">
        <v>-1</v>
      </c>
      <c r="AF1175" t="s">
        <v>63</v>
      </c>
      <c r="AG1175" t="s">
        <v>670</v>
      </c>
    </row>
    <row r="1176" spans="1:33" x14ac:dyDescent="0.35">
      <c r="A1176" s="1">
        <v>44875.926388888889</v>
      </c>
      <c r="B1176">
        <v>5704084</v>
      </c>
      <c r="C1176" t="s">
        <v>2712</v>
      </c>
      <c r="D1176" t="s">
        <v>105</v>
      </c>
      <c r="E1176" s="2">
        <v>43510</v>
      </c>
      <c r="F1176" t="str">
        <f>"9783030118815"</f>
        <v>9783030118815</v>
      </c>
      <c r="G1176" t="str">
        <f>"9783030118808"</f>
        <v>9783030118808</v>
      </c>
      <c r="H1176" t="s">
        <v>2713</v>
      </c>
      <c r="I1176">
        <v>338.92702850000001</v>
      </c>
      <c r="J1176" t="s">
        <v>107</v>
      </c>
      <c r="K1176" t="s">
        <v>55</v>
      </c>
      <c r="Q1176" t="s">
        <v>47</v>
      </c>
      <c r="R1176" t="s">
        <v>44</v>
      </c>
      <c r="S1176">
        <v>0</v>
      </c>
      <c r="W1176" s="3">
        <v>9.1435185185185185E-4</v>
      </c>
      <c r="X1176" t="s">
        <v>2714</v>
      </c>
      <c r="Y1176">
        <v>14</v>
      </c>
      <c r="Z1176">
        <v>0</v>
      </c>
      <c r="AA1176" t="s">
        <v>49</v>
      </c>
      <c r="AB1176">
        <v>0</v>
      </c>
      <c r="AC1176" t="s">
        <v>49</v>
      </c>
      <c r="AD1176">
        <v>0</v>
      </c>
      <c r="AE1176">
        <v>-1</v>
      </c>
      <c r="AF1176" t="s">
        <v>50</v>
      </c>
      <c r="AG1176" t="s">
        <v>388</v>
      </c>
    </row>
    <row r="1177" spans="1:33" x14ac:dyDescent="0.35">
      <c r="A1177" s="1">
        <v>44875.918749999997</v>
      </c>
      <c r="B1177">
        <v>661738</v>
      </c>
      <c r="C1177" t="s">
        <v>2672</v>
      </c>
      <c r="D1177" t="s">
        <v>59</v>
      </c>
      <c r="E1177" s="2">
        <v>40651</v>
      </c>
      <c r="F1177" t="str">
        <f>"9781444393101"</f>
        <v>9781444393101</v>
      </c>
      <c r="G1177" t="str">
        <f>"9781405183673"</f>
        <v>9781405183673</v>
      </c>
      <c r="H1177" t="s">
        <v>1112</v>
      </c>
      <c r="I1177">
        <v>664.00684999999999</v>
      </c>
      <c r="J1177" t="s">
        <v>2673</v>
      </c>
      <c r="K1177" t="s">
        <v>44</v>
      </c>
      <c r="N1177" t="s">
        <v>45</v>
      </c>
      <c r="O1177" t="s">
        <v>46</v>
      </c>
      <c r="P1177" t="s">
        <v>45</v>
      </c>
      <c r="Q1177" t="s">
        <v>47</v>
      </c>
      <c r="R1177" t="s">
        <v>44</v>
      </c>
      <c r="S1177">
        <v>0</v>
      </c>
      <c r="W1177" s="3">
        <v>1.1574074074074073E-4</v>
      </c>
      <c r="X1177" t="s">
        <v>648</v>
      </c>
      <c r="Y1177">
        <v>2</v>
      </c>
      <c r="Z1177">
        <v>0</v>
      </c>
      <c r="AA1177" t="s">
        <v>49</v>
      </c>
      <c r="AB1177">
        <v>0</v>
      </c>
      <c r="AC1177" t="s">
        <v>49</v>
      </c>
      <c r="AD1177">
        <v>0</v>
      </c>
      <c r="AE1177">
        <v>10510587</v>
      </c>
      <c r="AF1177" t="s">
        <v>50</v>
      </c>
      <c r="AG1177" t="s">
        <v>2612</v>
      </c>
    </row>
    <row r="1178" spans="1:33" x14ac:dyDescent="0.35">
      <c r="A1178" s="1">
        <v>44875.910416666666</v>
      </c>
      <c r="B1178">
        <v>4648113</v>
      </c>
      <c r="C1178" t="s">
        <v>2715</v>
      </c>
      <c r="D1178" t="s">
        <v>2716</v>
      </c>
      <c r="E1178" s="2">
        <v>42644</v>
      </c>
      <c r="F1178" t="str">
        <f>"9781681234960"</f>
        <v>9781681234960</v>
      </c>
      <c r="G1178" t="str">
        <f>"9781681234953"</f>
        <v>9781681234953</v>
      </c>
      <c r="H1178" t="s">
        <v>2717</v>
      </c>
      <c r="I1178">
        <v>1.4</v>
      </c>
      <c r="K1178" t="s">
        <v>44</v>
      </c>
      <c r="N1178" t="s">
        <v>45</v>
      </c>
      <c r="O1178" t="s">
        <v>46</v>
      </c>
      <c r="P1178" t="s">
        <v>45</v>
      </c>
      <c r="Q1178" t="s">
        <v>47</v>
      </c>
      <c r="R1178" t="s">
        <v>44</v>
      </c>
      <c r="S1178">
        <v>0</v>
      </c>
      <c r="W1178" s="3">
        <v>1.1574074074074073E-3</v>
      </c>
      <c r="X1178" t="s">
        <v>2718</v>
      </c>
      <c r="Y1178">
        <v>19</v>
      </c>
      <c r="Z1178">
        <v>0</v>
      </c>
      <c r="AA1178" t="s">
        <v>49</v>
      </c>
      <c r="AB1178">
        <v>0</v>
      </c>
      <c r="AC1178" t="s">
        <v>49</v>
      </c>
      <c r="AD1178">
        <v>0</v>
      </c>
      <c r="AE1178">
        <v>11271383</v>
      </c>
      <c r="AF1178" t="s">
        <v>50</v>
      </c>
      <c r="AG1178" t="s">
        <v>388</v>
      </c>
    </row>
    <row r="1179" spans="1:33" x14ac:dyDescent="0.35">
      <c r="A1179" s="1">
        <v>44875.898611111108</v>
      </c>
      <c r="B1179">
        <v>1706977</v>
      </c>
      <c r="C1179" t="s">
        <v>2719</v>
      </c>
      <c r="D1179" t="s">
        <v>473</v>
      </c>
      <c r="E1179" s="2">
        <v>41782</v>
      </c>
      <c r="F1179" t="str">
        <f>"9789004271494"</f>
        <v>9789004271494</v>
      </c>
      <c r="G1179" t="str">
        <f>"9789004271258"</f>
        <v>9789004271258</v>
      </c>
      <c r="H1179" t="s">
        <v>162</v>
      </c>
      <c r="K1179" t="s">
        <v>44</v>
      </c>
      <c r="N1179" t="s">
        <v>45</v>
      </c>
      <c r="O1179" t="s">
        <v>46</v>
      </c>
      <c r="P1179" t="s">
        <v>45</v>
      </c>
      <c r="Q1179" t="s">
        <v>47</v>
      </c>
      <c r="R1179" t="s">
        <v>44</v>
      </c>
      <c r="S1179">
        <v>0</v>
      </c>
      <c r="W1179" s="3">
        <v>4.6296296296296294E-5</v>
      </c>
      <c r="X1179" t="s">
        <v>121</v>
      </c>
      <c r="Y1179">
        <v>1</v>
      </c>
      <c r="Z1179">
        <v>0</v>
      </c>
      <c r="AA1179" t="s">
        <v>49</v>
      </c>
      <c r="AB1179">
        <v>0</v>
      </c>
      <c r="AC1179" t="s">
        <v>49</v>
      </c>
      <c r="AD1179">
        <v>0</v>
      </c>
      <c r="AE1179">
        <v>10879375</v>
      </c>
      <c r="AF1179" t="s">
        <v>50</v>
      </c>
      <c r="AG1179" t="s">
        <v>670</v>
      </c>
    </row>
    <row r="1180" spans="1:33" x14ac:dyDescent="0.35">
      <c r="A1180" s="1">
        <v>44875.887499999997</v>
      </c>
      <c r="B1180">
        <v>1039332</v>
      </c>
      <c r="C1180" t="s">
        <v>2720</v>
      </c>
      <c r="D1180" t="s">
        <v>76</v>
      </c>
      <c r="E1180" s="2">
        <v>40206</v>
      </c>
      <c r="F1180" t="str">
        <f>"9781135240615"</f>
        <v>9781135240615</v>
      </c>
      <c r="G1180" t="str">
        <f>"9780415456760"</f>
        <v>9780415456760</v>
      </c>
      <c r="H1180" t="s">
        <v>162</v>
      </c>
      <c r="I1180">
        <v>294.5</v>
      </c>
      <c r="J1180" t="s">
        <v>2721</v>
      </c>
      <c r="K1180" t="s">
        <v>44</v>
      </c>
      <c r="N1180" t="s">
        <v>45</v>
      </c>
      <c r="O1180" t="s">
        <v>46</v>
      </c>
      <c r="P1180" t="s">
        <v>45</v>
      </c>
      <c r="Q1180" t="s">
        <v>47</v>
      </c>
      <c r="R1180" t="s">
        <v>44</v>
      </c>
      <c r="S1180">
        <v>0</v>
      </c>
      <c r="W1180" s="3">
        <v>3.3564814814814812E-4</v>
      </c>
      <c r="X1180" t="s">
        <v>2722</v>
      </c>
      <c r="Y1180">
        <v>8</v>
      </c>
      <c r="Z1180">
        <v>0</v>
      </c>
      <c r="AA1180" t="s">
        <v>49</v>
      </c>
      <c r="AB1180">
        <v>0</v>
      </c>
      <c r="AC1180" t="s">
        <v>49</v>
      </c>
      <c r="AD1180">
        <v>0</v>
      </c>
      <c r="AE1180">
        <v>10611645</v>
      </c>
      <c r="AF1180" t="s">
        <v>50</v>
      </c>
      <c r="AG1180" t="s">
        <v>388</v>
      </c>
    </row>
    <row r="1181" spans="1:33" x14ac:dyDescent="0.35">
      <c r="A1181" s="1">
        <v>44875.881249999999</v>
      </c>
      <c r="B1181">
        <v>279494</v>
      </c>
      <c r="C1181" t="s">
        <v>1333</v>
      </c>
      <c r="D1181" t="s">
        <v>125</v>
      </c>
      <c r="E1181" s="2">
        <v>37280</v>
      </c>
      <c r="F1181" t="str">
        <f>"9780198032953"</f>
        <v>9780198032953</v>
      </c>
      <c r="G1181" t="str">
        <f>"9780195144208"</f>
        <v>9780195144208</v>
      </c>
      <c r="H1181" t="s">
        <v>667</v>
      </c>
      <c r="I1181" t="s">
        <v>1334</v>
      </c>
      <c r="J1181" t="s">
        <v>1335</v>
      </c>
      <c r="K1181" t="s">
        <v>44</v>
      </c>
      <c r="N1181" t="s">
        <v>45</v>
      </c>
      <c r="O1181" t="s">
        <v>46</v>
      </c>
      <c r="P1181" t="s">
        <v>45</v>
      </c>
      <c r="Q1181" t="s">
        <v>47</v>
      </c>
      <c r="R1181" t="s">
        <v>44</v>
      </c>
      <c r="S1181">
        <v>0</v>
      </c>
      <c r="W1181" s="3">
        <v>0</v>
      </c>
      <c r="X1181" t="s">
        <v>49</v>
      </c>
      <c r="Y1181">
        <v>0</v>
      </c>
      <c r="Z1181">
        <v>2</v>
      </c>
      <c r="AA1181" t="s">
        <v>2723</v>
      </c>
      <c r="AB1181">
        <v>32</v>
      </c>
      <c r="AC1181" t="s">
        <v>49</v>
      </c>
      <c r="AD1181">
        <v>0</v>
      </c>
      <c r="AE1181">
        <v>11303309</v>
      </c>
      <c r="AF1181" t="s">
        <v>50</v>
      </c>
      <c r="AG1181" t="s">
        <v>1309</v>
      </c>
    </row>
    <row r="1182" spans="1:33" x14ac:dyDescent="0.35">
      <c r="A1182" s="1">
        <v>44875.807638888888</v>
      </c>
      <c r="B1182">
        <v>5338693</v>
      </c>
      <c r="C1182" t="s">
        <v>2724</v>
      </c>
      <c r="D1182" t="s">
        <v>1922</v>
      </c>
      <c r="E1182" s="2">
        <v>39091</v>
      </c>
      <c r="F1182" t="str">
        <f>"9781786730183"</f>
        <v>9781786730183</v>
      </c>
      <c r="G1182" t="str">
        <f>"9781845111489"</f>
        <v>9781845111489</v>
      </c>
      <c r="H1182" t="s">
        <v>1069</v>
      </c>
      <c r="I1182">
        <v>891.55110000000002</v>
      </c>
      <c r="J1182" t="s">
        <v>2725</v>
      </c>
      <c r="K1182" t="s">
        <v>44</v>
      </c>
      <c r="N1182" t="s">
        <v>45</v>
      </c>
      <c r="O1182" t="s">
        <v>46</v>
      </c>
      <c r="P1182" t="s">
        <v>45</v>
      </c>
      <c r="Q1182" t="s">
        <v>47</v>
      </c>
      <c r="R1182" t="s">
        <v>44</v>
      </c>
      <c r="S1182">
        <v>0</v>
      </c>
      <c r="W1182" s="3">
        <v>2.1527777777777778E-3</v>
      </c>
      <c r="X1182" t="s">
        <v>2726</v>
      </c>
      <c r="Y1182">
        <v>14</v>
      </c>
      <c r="Z1182">
        <v>0</v>
      </c>
      <c r="AA1182" t="s">
        <v>49</v>
      </c>
      <c r="AB1182">
        <v>0</v>
      </c>
      <c r="AC1182" t="s">
        <v>49</v>
      </c>
      <c r="AD1182">
        <v>0</v>
      </c>
      <c r="AE1182">
        <v>11540231</v>
      </c>
      <c r="AF1182" t="s">
        <v>50</v>
      </c>
      <c r="AG1182" t="s">
        <v>388</v>
      </c>
    </row>
    <row r="1183" spans="1:33" x14ac:dyDescent="0.35">
      <c r="A1183" s="1">
        <v>44875.79583333333</v>
      </c>
      <c r="B1183">
        <v>273215</v>
      </c>
      <c r="C1183" t="s">
        <v>2727</v>
      </c>
      <c r="D1183" t="s">
        <v>2728</v>
      </c>
      <c r="E1183" s="2">
        <v>35992</v>
      </c>
      <c r="F1183" t="str">
        <f>"9780198028239"</f>
        <v>9780198028239</v>
      </c>
      <c r="G1183" t="str">
        <f>"9780195120585"</f>
        <v>9780195120585</v>
      </c>
      <c r="H1183" t="s">
        <v>162</v>
      </c>
      <c r="I1183">
        <v>297.48090000000002</v>
      </c>
      <c r="J1183" t="s">
        <v>2729</v>
      </c>
      <c r="K1183" t="s">
        <v>44</v>
      </c>
      <c r="N1183" t="s">
        <v>45</v>
      </c>
      <c r="O1183" t="s">
        <v>46</v>
      </c>
      <c r="P1183" t="s">
        <v>45</v>
      </c>
      <c r="Q1183" t="s">
        <v>47</v>
      </c>
      <c r="R1183" t="s">
        <v>44</v>
      </c>
      <c r="S1183">
        <v>0</v>
      </c>
      <c r="W1183" s="3">
        <v>1.0763888888888889E-3</v>
      </c>
      <c r="X1183" t="s">
        <v>2730</v>
      </c>
      <c r="Y1183">
        <v>4</v>
      </c>
      <c r="Z1183">
        <v>0</v>
      </c>
      <c r="AA1183" t="s">
        <v>49</v>
      </c>
      <c r="AB1183">
        <v>0</v>
      </c>
      <c r="AC1183" t="s">
        <v>49</v>
      </c>
      <c r="AD1183">
        <v>0</v>
      </c>
      <c r="AE1183">
        <v>10279397</v>
      </c>
      <c r="AF1183" t="s">
        <v>50</v>
      </c>
      <c r="AG1183" t="s">
        <v>388</v>
      </c>
    </row>
    <row r="1184" spans="1:33" x14ac:dyDescent="0.35">
      <c r="A1184" s="1">
        <v>44875.792361111111</v>
      </c>
      <c r="B1184">
        <v>668821</v>
      </c>
      <c r="C1184" t="s">
        <v>2731</v>
      </c>
      <c r="D1184" t="s">
        <v>76</v>
      </c>
      <c r="E1184" s="2">
        <v>40661</v>
      </c>
      <c r="F1184" t="str">
        <f>"9780203835043"</f>
        <v>9780203835043</v>
      </c>
      <c r="G1184" t="str">
        <f>"9780415548229"</f>
        <v>9780415548229</v>
      </c>
      <c r="H1184" t="s">
        <v>162</v>
      </c>
      <c r="I1184">
        <v>297.4092</v>
      </c>
      <c r="J1184" t="s">
        <v>2732</v>
      </c>
      <c r="K1184" t="s">
        <v>44</v>
      </c>
      <c r="N1184" t="s">
        <v>45</v>
      </c>
      <c r="O1184" t="s">
        <v>46</v>
      </c>
      <c r="P1184" t="s">
        <v>45</v>
      </c>
      <c r="Q1184" t="s">
        <v>47</v>
      </c>
      <c r="R1184" t="s">
        <v>44</v>
      </c>
      <c r="S1184">
        <v>0</v>
      </c>
      <c r="W1184" s="3">
        <v>1.6435185185185183E-3</v>
      </c>
      <c r="X1184" t="s">
        <v>2733</v>
      </c>
      <c r="Y1184">
        <v>3</v>
      </c>
      <c r="Z1184">
        <v>0</v>
      </c>
      <c r="AA1184" t="s">
        <v>49</v>
      </c>
      <c r="AB1184">
        <v>0</v>
      </c>
      <c r="AC1184" t="s">
        <v>49</v>
      </c>
      <c r="AD1184">
        <v>0</v>
      </c>
      <c r="AE1184">
        <v>10522474</v>
      </c>
      <c r="AF1184" t="s">
        <v>50</v>
      </c>
      <c r="AG1184" t="s">
        <v>388</v>
      </c>
    </row>
    <row r="1185" spans="1:33" x14ac:dyDescent="0.35">
      <c r="A1185" s="1">
        <v>44875.756944444445</v>
      </c>
      <c r="B1185">
        <v>273215</v>
      </c>
      <c r="C1185" t="s">
        <v>2727</v>
      </c>
      <c r="D1185" t="s">
        <v>2728</v>
      </c>
      <c r="E1185" s="2">
        <v>35992</v>
      </c>
      <c r="F1185" t="str">
        <f>"9780198028239"</f>
        <v>9780198028239</v>
      </c>
      <c r="G1185" t="str">
        <f>"9780195120585"</f>
        <v>9780195120585</v>
      </c>
      <c r="H1185" t="s">
        <v>162</v>
      </c>
      <c r="I1185">
        <v>297.48090000000002</v>
      </c>
      <c r="J1185" t="s">
        <v>2729</v>
      </c>
      <c r="K1185" t="s">
        <v>44</v>
      </c>
      <c r="N1185" t="s">
        <v>45</v>
      </c>
      <c r="O1185" t="s">
        <v>46</v>
      </c>
      <c r="P1185" t="s">
        <v>45</v>
      </c>
      <c r="Q1185" t="s">
        <v>47</v>
      </c>
      <c r="R1185" t="s">
        <v>44</v>
      </c>
      <c r="S1185">
        <v>0</v>
      </c>
      <c r="W1185" s="3">
        <v>6.9444444444444447E-4</v>
      </c>
      <c r="X1185" t="s">
        <v>2734</v>
      </c>
      <c r="Y1185">
        <v>5</v>
      </c>
      <c r="Z1185">
        <v>0</v>
      </c>
      <c r="AA1185" t="s">
        <v>49</v>
      </c>
      <c r="AB1185">
        <v>0</v>
      </c>
      <c r="AC1185" t="s">
        <v>49</v>
      </c>
      <c r="AD1185">
        <v>0</v>
      </c>
      <c r="AE1185">
        <v>10279397</v>
      </c>
      <c r="AF1185" t="s">
        <v>50</v>
      </c>
      <c r="AG1185" t="s">
        <v>388</v>
      </c>
    </row>
    <row r="1186" spans="1:33" x14ac:dyDescent="0.35">
      <c r="A1186" s="1">
        <v>44875.713888888888</v>
      </c>
      <c r="B1186">
        <v>6386168</v>
      </c>
      <c r="C1186" t="s">
        <v>2735</v>
      </c>
      <c r="D1186" t="s">
        <v>105</v>
      </c>
      <c r="E1186" s="2">
        <v>44142</v>
      </c>
      <c r="F1186" t="str">
        <f>"9783030504762"</f>
        <v>9783030504762</v>
      </c>
      <c r="G1186" t="str">
        <f>"9783030504755"</f>
        <v>9783030504755</v>
      </c>
      <c r="H1186" t="s">
        <v>579</v>
      </c>
      <c r="I1186">
        <v>629.89200000000005</v>
      </c>
      <c r="J1186" t="s">
        <v>234</v>
      </c>
      <c r="K1186" t="s">
        <v>55</v>
      </c>
      <c r="Q1186" t="s">
        <v>47</v>
      </c>
      <c r="R1186" t="s">
        <v>44</v>
      </c>
      <c r="S1186">
        <v>0</v>
      </c>
      <c r="W1186" s="3">
        <v>3.1134259259259257E-3</v>
      </c>
      <c r="X1186" t="s">
        <v>2736</v>
      </c>
      <c r="Y1186">
        <v>24</v>
      </c>
      <c r="Z1186">
        <v>0</v>
      </c>
      <c r="AA1186" t="s">
        <v>49</v>
      </c>
      <c r="AB1186">
        <v>0</v>
      </c>
      <c r="AC1186" t="s">
        <v>49</v>
      </c>
      <c r="AD1186">
        <v>0</v>
      </c>
      <c r="AE1186">
        <v>-1</v>
      </c>
      <c r="AF1186" t="s">
        <v>63</v>
      </c>
      <c r="AG1186" t="s">
        <v>388</v>
      </c>
    </row>
    <row r="1187" spans="1:33" x14ac:dyDescent="0.35">
      <c r="A1187" s="1">
        <v>44875.63958333333</v>
      </c>
      <c r="B1187">
        <v>5945867</v>
      </c>
      <c r="C1187" t="s">
        <v>991</v>
      </c>
      <c r="D1187" t="s">
        <v>992</v>
      </c>
      <c r="E1187" s="2">
        <v>43800</v>
      </c>
      <c r="F1187" t="str">
        <f>"9781640122796"</f>
        <v>9781640122796</v>
      </c>
      <c r="G1187" t="str">
        <f>"9781640122208"</f>
        <v>9781640122208</v>
      </c>
      <c r="H1187" t="s">
        <v>667</v>
      </c>
      <c r="I1187">
        <v>940.5412</v>
      </c>
      <c r="J1187" t="s">
        <v>993</v>
      </c>
      <c r="K1187" t="s">
        <v>44</v>
      </c>
      <c r="N1187" t="s">
        <v>45</v>
      </c>
      <c r="O1187" t="s">
        <v>46</v>
      </c>
      <c r="P1187" t="s">
        <v>177</v>
      </c>
      <c r="Q1187" t="s">
        <v>47</v>
      </c>
      <c r="R1187" t="s">
        <v>55</v>
      </c>
      <c r="S1187">
        <v>0</v>
      </c>
      <c r="W1187" s="3">
        <v>3.4722222222222222E-5</v>
      </c>
      <c r="X1187" t="s">
        <v>121</v>
      </c>
      <c r="Y1187">
        <v>1</v>
      </c>
      <c r="Z1187">
        <v>0</v>
      </c>
      <c r="AA1187" t="s">
        <v>49</v>
      </c>
      <c r="AB1187">
        <v>0</v>
      </c>
      <c r="AC1187" t="s">
        <v>49</v>
      </c>
      <c r="AD1187">
        <v>0</v>
      </c>
      <c r="AE1187">
        <v>-1</v>
      </c>
      <c r="AF1187" t="s">
        <v>50</v>
      </c>
      <c r="AG1187" t="s">
        <v>388</v>
      </c>
    </row>
    <row r="1188" spans="1:33" x14ac:dyDescent="0.35">
      <c r="A1188" s="1">
        <v>44875.634722222225</v>
      </c>
      <c r="B1188">
        <v>1111317</v>
      </c>
      <c r="C1188" t="s">
        <v>2737</v>
      </c>
      <c r="D1188" t="s">
        <v>76</v>
      </c>
      <c r="E1188" s="2">
        <v>37587</v>
      </c>
      <c r="F1188" t="str">
        <f>"9781136129223"</f>
        <v>9781136129223</v>
      </c>
      <c r="G1188" t="str">
        <f>"9780700716074"</f>
        <v>9780700716074</v>
      </c>
      <c r="H1188" t="s">
        <v>162</v>
      </c>
      <c r="I1188" t="s">
        <v>2738</v>
      </c>
      <c r="J1188" t="s">
        <v>2739</v>
      </c>
      <c r="K1188" t="s">
        <v>44</v>
      </c>
      <c r="N1188" t="s">
        <v>45</v>
      </c>
      <c r="O1188" t="s">
        <v>46</v>
      </c>
      <c r="P1188" t="s">
        <v>45</v>
      </c>
      <c r="Q1188" t="s">
        <v>47</v>
      </c>
      <c r="R1188" t="s">
        <v>44</v>
      </c>
      <c r="S1188">
        <v>0</v>
      </c>
      <c r="W1188" s="3">
        <v>6.2500000000000001E-4</v>
      </c>
      <c r="X1188" t="s">
        <v>205</v>
      </c>
      <c r="Y1188">
        <v>2</v>
      </c>
      <c r="Z1188">
        <v>0</v>
      </c>
      <c r="AA1188" t="s">
        <v>49</v>
      </c>
      <c r="AB1188">
        <v>0</v>
      </c>
      <c r="AC1188" t="s">
        <v>49</v>
      </c>
      <c r="AD1188">
        <v>0</v>
      </c>
      <c r="AE1188">
        <v>10645721</v>
      </c>
      <c r="AF1188" t="s">
        <v>50</v>
      </c>
      <c r="AG1188" t="s">
        <v>388</v>
      </c>
    </row>
    <row r="1189" spans="1:33" x14ac:dyDescent="0.35">
      <c r="A1189" s="1">
        <v>44875.634027777778</v>
      </c>
      <c r="B1189">
        <v>1111317</v>
      </c>
      <c r="C1189" t="s">
        <v>2737</v>
      </c>
      <c r="D1189" t="s">
        <v>76</v>
      </c>
      <c r="E1189" s="2">
        <v>37587</v>
      </c>
      <c r="F1189" t="str">
        <f>"9781136129223"</f>
        <v>9781136129223</v>
      </c>
      <c r="G1189" t="str">
        <f>"9780700716074"</f>
        <v>9780700716074</v>
      </c>
      <c r="H1189" t="s">
        <v>162</v>
      </c>
      <c r="I1189" t="s">
        <v>2738</v>
      </c>
      <c r="J1189" t="s">
        <v>2739</v>
      </c>
      <c r="K1189" t="s">
        <v>44</v>
      </c>
      <c r="N1189" t="s">
        <v>45</v>
      </c>
      <c r="O1189" t="s">
        <v>46</v>
      </c>
      <c r="P1189" t="s">
        <v>45</v>
      </c>
      <c r="Q1189" t="s">
        <v>47</v>
      </c>
      <c r="R1189" t="s">
        <v>44</v>
      </c>
      <c r="S1189">
        <v>0</v>
      </c>
      <c r="W1189" s="3">
        <v>1.2847222222222223E-3</v>
      </c>
      <c r="X1189" t="s">
        <v>2740</v>
      </c>
      <c r="Y1189">
        <v>8</v>
      </c>
      <c r="Z1189">
        <v>1</v>
      </c>
      <c r="AA1189" t="s">
        <v>2741</v>
      </c>
      <c r="AB1189">
        <v>2</v>
      </c>
      <c r="AC1189" t="s">
        <v>49</v>
      </c>
      <c r="AD1189">
        <v>0</v>
      </c>
      <c r="AE1189">
        <v>10645721</v>
      </c>
      <c r="AF1189" t="s">
        <v>50</v>
      </c>
      <c r="AG1189" t="s">
        <v>2241</v>
      </c>
    </row>
    <row r="1190" spans="1:33" x14ac:dyDescent="0.35">
      <c r="A1190" s="1">
        <v>44875.611111111109</v>
      </c>
      <c r="B1190">
        <v>1111317</v>
      </c>
      <c r="C1190" t="s">
        <v>2737</v>
      </c>
      <c r="D1190" t="s">
        <v>76</v>
      </c>
      <c r="E1190" s="2">
        <v>37587</v>
      </c>
      <c r="F1190" t="str">
        <f>"9781136129223"</f>
        <v>9781136129223</v>
      </c>
      <c r="G1190" t="str">
        <f>"9780700716074"</f>
        <v>9780700716074</v>
      </c>
      <c r="H1190" t="s">
        <v>162</v>
      </c>
      <c r="I1190" t="s">
        <v>2738</v>
      </c>
      <c r="J1190" t="s">
        <v>2739</v>
      </c>
      <c r="K1190" t="s">
        <v>44</v>
      </c>
      <c r="N1190" t="s">
        <v>45</v>
      </c>
      <c r="O1190" t="s">
        <v>46</v>
      </c>
      <c r="P1190" t="s">
        <v>45</v>
      </c>
      <c r="Q1190" t="s">
        <v>47</v>
      </c>
      <c r="R1190" t="s">
        <v>44</v>
      </c>
      <c r="S1190">
        <v>0</v>
      </c>
      <c r="W1190" s="3">
        <v>1.273148148148148E-4</v>
      </c>
      <c r="X1190" t="s">
        <v>2649</v>
      </c>
      <c r="Y1190">
        <v>3</v>
      </c>
      <c r="Z1190">
        <v>0</v>
      </c>
      <c r="AA1190" t="s">
        <v>49</v>
      </c>
      <c r="AB1190">
        <v>0</v>
      </c>
      <c r="AC1190" t="s">
        <v>49</v>
      </c>
      <c r="AD1190">
        <v>0</v>
      </c>
      <c r="AE1190">
        <v>10645721</v>
      </c>
      <c r="AF1190" t="s">
        <v>50</v>
      </c>
      <c r="AG1190" t="s">
        <v>388</v>
      </c>
    </row>
    <row r="1191" spans="1:33" x14ac:dyDescent="0.35">
      <c r="A1191" s="1">
        <v>44875.568055555559</v>
      </c>
      <c r="B1191">
        <v>4183127</v>
      </c>
      <c r="C1191" t="s">
        <v>190</v>
      </c>
      <c r="D1191" t="s">
        <v>59</v>
      </c>
      <c r="E1191" s="2">
        <v>42310</v>
      </c>
      <c r="F1191" t="str">
        <f>"9783527684649"</f>
        <v>9783527684649</v>
      </c>
      <c r="G1191" t="str">
        <f>"9783527331659"</f>
        <v>9783527331659</v>
      </c>
      <c r="H1191" t="s">
        <v>191</v>
      </c>
      <c r="I1191" t="s">
        <v>192</v>
      </c>
      <c r="J1191" t="s">
        <v>193</v>
      </c>
      <c r="K1191" t="s">
        <v>44</v>
      </c>
      <c r="N1191" t="s">
        <v>45</v>
      </c>
      <c r="O1191" t="s">
        <v>46</v>
      </c>
      <c r="P1191" t="s">
        <v>45</v>
      </c>
      <c r="Q1191" t="s">
        <v>47</v>
      </c>
      <c r="R1191" t="s">
        <v>44</v>
      </c>
      <c r="S1191">
        <v>0</v>
      </c>
      <c r="W1191" s="3">
        <v>3.4872685185185187E-2</v>
      </c>
      <c r="X1191" t="s">
        <v>2742</v>
      </c>
      <c r="Y1191">
        <v>114</v>
      </c>
      <c r="Z1191">
        <v>0</v>
      </c>
      <c r="AA1191" t="s">
        <v>49</v>
      </c>
      <c r="AB1191">
        <v>0</v>
      </c>
      <c r="AC1191" t="s">
        <v>49</v>
      </c>
      <c r="AD1191">
        <v>0</v>
      </c>
      <c r="AE1191">
        <v>11125579</v>
      </c>
      <c r="AF1191" t="s">
        <v>50</v>
      </c>
      <c r="AG1191" t="s">
        <v>1699</v>
      </c>
    </row>
    <row r="1192" spans="1:33" x14ac:dyDescent="0.35">
      <c r="A1192" s="1">
        <v>44875.563888888886</v>
      </c>
      <c r="B1192">
        <v>691915</v>
      </c>
      <c r="C1192" t="s">
        <v>2743</v>
      </c>
      <c r="D1192" t="s">
        <v>502</v>
      </c>
      <c r="E1192" s="2">
        <v>40661</v>
      </c>
      <c r="F1192" t="str">
        <f>"9781139082600"</f>
        <v>9781139082600</v>
      </c>
      <c r="G1192" t="str">
        <f>"9780521769709"</f>
        <v>9780521769709</v>
      </c>
      <c r="H1192" t="s">
        <v>546</v>
      </c>
      <c r="I1192">
        <v>621.38099999999895</v>
      </c>
      <c r="J1192" t="s">
        <v>2744</v>
      </c>
      <c r="K1192" t="s">
        <v>55</v>
      </c>
      <c r="N1192" t="s">
        <v>79</v>
      </c>
      <c r="P1192" t="s">
        <v>97</v>
      </c>
      <c r="Q1192" t="s">
        <v>47</v>
      </c>
      <c r="R1192" t="s">
        <v>44</v>
      </c>
      <c r="S1192">
        <v>0</v>
      </c>
      <c r="W1192" s="3">
        <v>6.8287037037037025E-4</v>
      </c>
      <c r="X1192" t="s">
        <v>2745</v>
      </c>
      <c r="Y1192">
        <v>4</v>
      </c>
      <c r="Z1192">
        <v>0</v>
      </c>
      <c r="AA1192" t="s">
        <v>49</v>
      </c>
      <c r="AB1192">
        <v>0</v>
      </c>
      <c r="AC1192" t="s">
        <v>49</v>
      </c>
      <c r="AD1192">
        <v>0</v>
      </c>
      <c r="AE1192">
        <v>10470815</v>
      </c>
      <c r="AF1192" t="s">
        <v>50</v>
      </c>
      <c r="AG1192" t="s">
        <v>388</v>
      </c>
    </row>
    <row r="1193" spans="1:33" x14ac:dyDescent="0.35">
      <c r="A1193" s="1">
        <v>44875.552777777775</v>
      </c>
      <c r="B1193">
        <v>6273723</v>
      </c>
      <c r="C1193" t="s">
        <v>2746</v>
      </c>
      <c r="D1193" t="s">
        <v>105</v>
      </c>
      <c r="E1193" s="2">
        <v>44028</v>
      </c>
      <c r="F1193" t="str">
        <f>"9783030400217"</f>
        <v>9783030400217</v>
      </c>
      <c r="G1193" t="str">
        <f>"9783030400200"</f>
        <v>9783030400200</v>
      </c>
      <c r="H1193" t="s">
        <v>2747</v>
      </c>
      <c r="I1193">
        <v>621.38149999999996</v>
      </c>
      <c r="J1193" t="s">
        <v>2748</v>
      </c>
      <c r="K1193" t="s">
        <v>55</v>
      </c>
      <c r="Q1193" t="s">
        <v>47</v>
      </c>
      <c r="R1193" t="s">
        <v>44</v>
      </c>
      <c r="S1193">
        <v>0</v>
      </c>
      <c r="W1193" s="3">
        <v>2.9166666666666668E-3</v>
      </c>
      <c r="X1193" t="s">
        <v>2749</v>
      </c>
      <c r="Y1193">
        <v>11</v>
      </c>
      <c r="Z1193">
        <v>0</v>
      </c>
      <c r="AA1193" t="s">
        <v>49</v>
      </c>
      <c r="AB1193">
        <v>0</v>
      </c>
      <c r="AC1193" t="s">
        <v>49</v>
      </c>
      <c r="AD1193">
        <v>0</v>
      </c>
      <c r="AE1193">
        <v>-1</v>
      </c>
      <c r="AF1193" t="s">
        <v>50</v>
      </c>
      <c r="AG1193" t="s">
        <v>388</v>
      </c>
    </row>
    <row r="1194" spans="1:33" x14ac:dyDescent="0.35">
      <c r="A1194" s="1">
        <v>44875.55</v>
      </c>
      <c r="B1194">
        <v>777005</v>
      </c>
      <c r="C1194" t="s">
        <v>2750</v>
      </c>
      <c r="D1194" t="s">
        <v>125</v>
      </c>
      <c r="E1194" s="2">
        <v>40814</v>
      </c>
      <c r="F1194" t="str">
        <f>"9780191619588"</f>
        <v>9780191619588</v>
      </c>
      <c r="G1194" t="str">
        <f>"9780199694914"</f>
        <v>9780199694914</v>
      </c>
      <c r="H1194" t="s">
        <v>1040</v>
      </c>
      <c r="I1194">
        <v>540</v>
      </c>
      <c r="J1194" t="s">
        <v>2751</v>
      </c>
      <c r="K1194" t="s">
        <v>44</v>
      </c>
      <c r="N1194" t="s">
        <v>45</v>
      </c>
      <c r="O1194" t="s">
        <v>46</v>
      </c>
      <c r="P1194" t="s">
        <v>45</v>
      </c>
      <c r="Q1194" t="s">
        <v>47</v>
      </c>
      <c r="R1194" t="s">
        <v>44</v>
      </c>
      <c r="S1194">
        <v>0</v>
      </c>
      <c r="W1194" s="3">
        <v>1.1620370370370371E-2</v>
      </c>
      <c r="X1194" t="s">
        <v>2752</v>
      </c>
      <c r="Y1194">
        <v>49</v>
      </c>
      <c r="Z1194">
        <v>0</v>
      </c>
      <c r="AA1194" t="s">
        <v>49</v>
      </c>
      <c r="AB1194">
        <v>0</v>
      </c>
      <c r="AC1194" t="s">
        <v>49</v>
      </c>
      <c r="AD1194">
        <v>0</v>
      </c>
      <c r="AE1194">
        <v>11198114</v>
      </c>
      <c r="AF1194" t="s">
        <v>50</v>
      </c>
      <c r="AG1194" t="s">
        <v>388</v>
      </c>
    </row>
    <row r="1195" spans="1:33" x14ac:dyDescent="0.35">
      <c r="A1195" s="1">
        <v>44875.547222222223</v>
      </c>
      <c r="B1195">
        <v>310741</v>
      </c>
      <c r="C1195" t="s">
        <v>2753</v>
      </c>
      <c r="D1195" t="s">
        <v>2754</v>
      </c>
      <c r="E1195" s="2">
        <v>38844</v>
      </c>
      <c r="F1195" t="str">
        <f>"9780816696956"</f>
        <v>9780816696956</v>
      </c>
      <c r="G1195" t="str">
        <f>"9780816645176"</f>
        <v>9780816645176</v>
      </c>
      <c r="H1195" t="s">
        <v>658</v>
      </c>
      <c r="I1195">
        <v>781.49097300000005</v>
      </c>
      <c r="J1195" t="s">
        <v>2755</v>
      </c>
      <c r="K1195" t="s">
        <v>44</v>
      </c>
      <c r="N1195" t="s">
        <v>45</v>
      </c>
      <c r="O1195" t="s">
        <v>46</v>
      </c>
      <c r="P1195" t="s">
        <v>45</v>
      </c>
      <c r="Q1195" t="s">
        <v>47</v>
      </c>
      <c r="R1195" t="s">
        <v>44</v>
      </c>
      <c r="S1195">
        <v>0</v>
      </c>
      <c r="W1195" s="3">
        <v>1.5509259259259261E-3</v>
      </c>
      <c r="X1195" t="s">
        <v>2756</v>
      </c>
      <c r="Y1195">
        <v>18</v>
      </c>
      <c r="Z1195">
        <v>0</v>
      </c>
      <c r="AA1195" t="s">
        <v>49</v>
      </c>
      <c r="AB1195">
        <v>0</v>
      </c>
      <c r="AC1195" t="s">
        <v>49</v>
      </c>
      <c r="AD1195">
        <v>0</v>
      </c>
      <c r="AE1195">
        <v>10159614</v>
      </c>
      <c r="AF1195" t="s">
        <v>50</v>
      </c>
      <c r="AG1195" t="s">
        <v>388</v>
      </c>
    </row>
    <row r="1196" spans="1:33" x14ac:dyDescent="0.35">
      <c r="A1196" s="1">
        <v>44875.546527777777</v>
      </c>
      <c r="B1196">
        <v>5945867</v>
      </c>
      <c r="C1196" t="s">
        <v>991</v>
      </c>
      <c r="D1196" t="s">
        <v>992</v>
      </c>
      <c r="E1196" s="2">
        <v>43800</v>
      </c>
      <c r="F1196" t="str">
        <f>"9781640122796"</f>
        <v>9781640122796</v>
      </c>
      <c r="G1196" t="str">
        <f>"9781640122208"</f>
        <v>9781640122208</v>
      </c>
      <c r="H1196" t="s">
        <v>667</v>
      </c>
      <c r="I1196">
        <v>940.5412</v>
      </c>
      <c r="J1196" t="s">
        <v>993</v>
      </c>
      <c r="K1196" t="s">
        <v>44</v>
      </c>
      <c r="N1196" t="s">
        <v>45</v>
      </c>
      <c r="O1196" t="s">
        <v>46</v>
      </c>
      <c r="P1196" t="s">
        <v>177</v>
      </c>
      <c r="Q1196" t="s">
        <v>47</v>
      </c>
      <c r="R1196" t="s">
        <v>55</v>
      </c>
      <c r="S1196">
        <v>0</v>
      </c>
      <c r="W1196" s="3">
        <v>2.1956018518518517E-2</v>
      </c>
      <c r="X1196" t="s">
        <v>2757</v>
      </c>
      <c r="Y1196">
        <v>39</v>
      </c>
      <c r="Z1196">
        <v>0</v>
      </c>
      <c r="AA1196" t="s">
        <v>49</v>
      </c>
      <c r="AB1196">
        <v>0</v>
      </c>
      <c r="AC1196" t="s">
        <v>2758</v>
      </c>
      <c r="AD1196">
        <v>3</v>
      </c>
      <c r="AE1196">
        <v>-1</v>
      </c>
      <c r="AF1196" t="s">
        <v>50</v>
      </c>
      <c r="AG1196" t="s">
        <v>388</v>
      </c>
    </row>
    <row r="1197" spans="1:33" x14ac:dyDescent="0.35">
      <c r="A1197" s="1">
        <v>44875.539583333331</v>
      </c>
      <c r="B1197">
        <v>488156</v>
      </c>
      <c r="C1197" t="s">
        <v>1790</v>
      </c>
      <c r="D1197" t="s">
        <v>352</v>
      </c>
      <c r="E1197" s="2">
        <v>40584</v>
      </c>
      <c r="F1197" t="str">
        <f>"9781848134096"</f>
        <v>9781848134096</v>
      </c>
      <c r="G1197" t="str">
        <f>"9781848138612"</f>
        <v>9781848138612</v>
      </c>
      <c r="H1197" t="s">
        <v>1046</v>
      </c>
      <c r="I1197">
        <v>391.209</v>
      </c>
      <c r="J1197" t="s">
        <v>1791</v>
      </c>
      <c r="K1197" t="s">
        <v>44</v>
      </c>
      <c r="N1197" t="s">
        <v>45</v>
      </c>
      <c r="O1197" t="s">
        <v>46</v>
      </c>
      <c r="P1197" t="s">
        <v>45</v>
      </c>
      <c r="Q1197" t="s">
        <v>47</v>
      </c>
      <c r="R1197" t="s">
        <v>44</v>
      </c>
      <c r="S1197">
        <v>0</v>
      </c>
      <c r="W1197" s="3">
        <v>2.9282407407407412E-3</v>
      </c>
      <c r="X1197" t="s">
        <v>2759</v>
      </c>
      <c r="Y1197">
        <v>22</v>
      </c>
      <c r="Z1197">
        <v>0</v>
      </c>
      <c r="AA1197" t="s">
        <v>49</v>
      </c>
      <c r="AB1197">
        <v>0</v>
      </c>
      <c r="AC1197" t="s">
        <v>2333</v>
      </c>
      <c r="AD1197">
        <v>1</v>
      </c>
      <c r="AE1197">
        <v>10370406</v>
      </c>
      <c r="AF1197" t="s">
        <v>50</v>
      </c>
      <c r="AG1197" t="s">
        <v>630</v>
      </c>
    </row>
    <row r="1198" spans="1:33" x14ac:dyDescent="0.35">
      <c r="A1198" s="1">
        <v>44875.538888888892</v>
      </c>
      <c r="B1198">
        <v>4013135</v>
      </c>
      <c r="C1198" t="s">
        <v>1321</v>
      </c>
      <c r="D1198" t="s">
        <v>1322</v>
      </c>
      <c r="E1198" s="2">
        <v>42290</v>
      </c>
      <c r="F1198" t="str">
        <f>"9781613128183"</f>
        <v>9781613128183</v>
      </c>
      <c r="G1198" t="str">
        <f>"9781419717963"</f>
        <v>9781419717963</v>
      </c>
      <c r="H1198" t="s">
        <v>1046</v>
      </c>
      <c r="I1198">
        <v>391.63</v>
      </c>
      <c r="J1198" t="s">
        <v>1323</v>
      </c>
      <c r="K1198" t="s">
        <v>44</v>
      </c>
      <c r="N1198" t="s">
        <v>45</v>
      </c>
      <c r="O1198" t="s">
        <v>46</v>
      </c>
      <c r="P1198" t="s">
        <v>45</v>
      </c>
      <c r="Q1198" t="s">
        <v>47</v>
      </c>
      <c r="R1198" t="s">
        <v>44</v>
      </c>
      <c r="S1198">
        <v>0</v>
      </c>
      <c r="W1198" s="3">
        <v>4.1666666666666669E-4</v>
      </c>
      <c r="X1198" t="s">
        <v>2760</v>
      </c>
      <c r="Y1198">
        <v>7</v>
      </c>
      <c r="Z1198">
        <v>0</v>
      </c>
      <c r="AA1198" t="s">
        <v>49</v>
      </c>
      <c r="AB1198">
        <v>0</v>
      </c>
      <c r="AC1198" t="s">
        <v>49</v>
      </c>
      <c r="AD1198">
        <v>0</v>
      </c>
      <c r="AE1198">
        <v>11131154</v>
      </c>
      <c r="AF1198" t="s">
        <v>50</v>
      </c>
      <c r="AG1198" t="s">
        <v>630</v>
      </c>
    </row>
    <row r="1199" spans="1:33" x14ac:dyDescent="0.35">
      <c r="A1199" s="1">
        <v>44875.536805555559</v>
      </c>
      <c r="B1199">
        <v>6425080</v>
      </c>
      <c r="C1199" t="s">
        <v>1328</v>
      </c>
      <c r="D1199" t="s">
        <v>507</v>
      </c>
      <c r="E1199" s="2">
        <v>44131</v>
      </c>
      <c r="F1199" t="str">
        <f>"9781474469999"</f>
        <v>9781474469999</v>
      </c>
      <c r="G1199" t="str">
        <f>"9781474469982"</f>
        <v>9781474469982</v>
      </c>
      <c r="H1199" t="s">
        <v>1329</v>
      </c>
      <c r="I1199">
        <v>52.082090450000003</v>
      </c>
      <c r="J1199" t="s">
        <v>1330</v>
      </c>
      <c r="K1199" t="s">
        <v>55</v>
      </c>
      <c r="Q1199" t="s">
        <v>47</v>
      </c>
      <c r="R1199" t="s">
        <v>44</v>
      </c>
      <c r="S1199">
        <v>0</v>
      </c>
      <c r="W1199" s="3">
        <v>5.6712962962962956E-4</v>
      </c>
      <c r="X1199" t="s">
        <v>2761</v>
      </c>
      <c r="Y1199">
        <v>7</v>
      </c>
      <c r="Z1199">
        <v>0</v>
      </c>
      <c r="AA1199" t="s">
        <v>49</v>
      </c>
      <c r="AB1199">
        <v>0</v>
      </c>
      <c r="AC1199" t="s">
        <v>49</v>
      </c>
      <c r="AD1199">
        <v>0</v>
      </c>
      <c r="AE1199">
        <v>-1</v>
      </c>
      <c r="AF1199" t="s">
        <v>50</v>
      </c>
      <c r="AG1199" t="s">
        <v>630</v>
      </c>
    </row>
    <row r="1200" spans="1:33" x14ac:dyDescent="0.35">
      <c r="A1200" s="1">
        <v>44875.534722222219</v>
      </c>
      <c r="B1200">
        <v>3017864</v>
      </c>
      <c r="C1200" t="s">
        <v>2762</v>
      </c>
      <c r="D1200" t="s">
        <v>137</v>
      </c>
      <c r="E1200" s="2">
        <v>40787</v>
      </c>
      <c r="F1200" t="str">
        <f>"9781619422575"</f>
        <v>9781619422575</v>
      </c>
      <c r="G1200" t="str">
        <f>"9781612095219"</f>
        <v>9781612095219</v>
      </c>
      <c r="H1200" t="s">
        <v>2763</v>
      </c>
      <c r="I1200">
        <v>630</v>
      </c>
      <c r="J1200" t="s">
        <v>2764</v>
      </c>
      <c r="K1200" t="s">
        <v>44</v>
      </c>
      <c r="N1200" t="s">
        <v>45</v>
      </c>
      <c r="O1200" t="s">
        <v>46</v>
      </c>
      <c r="P1200" t="s">
        <v>177</v>
      </c>
      <c r="Q1200" t="s">
        <v>47</v>
      </c>
      <c r="R1200" t="s">
        <v>55</v>
      </c>
      <c r="S1200">
        <v>0</v>
      </c>
      <c r="W1200" s="3">
        <v>3.425925925925926E-3</v>
      </c>
      <c r="X1200" t="s">
        <v>2765</v>
      </c>
      <c r="Y1200">
        <v>7</v>
      </c>
      <c r="Z1200">
        <v>0</v>
      </c>
      <c r="AA1200" t="s">
        <v>49</v>
      </c>
      <c r="AB1200">
        <v>0</v>
      </c>
      <c r="AC1200" t="s">
        <v>49</v>
      </c>
      <c r="AD1200">
        <v>0</v>
      </c>
      <c r="AE1200">
        <v>10654835</v>
      </c>
      <c r="AF1200" t="s">
        <v>50</v>
      </c>
      <c r="AG1200" t="s">
        <v>300</v>
      </c>
    </row>
    <row r="1201" spans="1:33" x14ac:dyDescent="0.35">
      <c r="A1201" s="1">
        <v>44875.532638888886</v>
      </c>
      <c r="B1201">
        <v>273215</v>
      </c>
      <c r="C1201" t="s">
        <v>2727</v>
      </c>
      <c r="D1201" t="s">
        <v>2728</v>
      </c>
      <c r="E1201" s="2">
        <v>35992</v>
      </c>
      <c r="F1201" t="str">
        <f>"9780198028239"</f>
        <v>9780198028239</v>
      </c>
      <c r="G1201" t="str">
        <f>"9780195120585"</f>
        <v>9780195120585</v>
      </c>
      <c r="H1201" t="s">
        <v>162</v>
      </c>
      <c r="I1201">
        <v>297.48090000000002</v>
      </c>
      <c r="J1201" t="s">
        <v>2729</v>
      </c>
      <c r="K1201" t="s">
        <v>44</v>
      </c>
      <c r="N1201" t="s">
        <v>45</v>
      </c>
      <c r="O1201" t="s">
        <v>46</v>
      </c>
      <c r="P1201" t="s">
        <v>45</v>
      </c>
      <c r="Q1201" t="s">
        <v>47</v>
      </c>
      <c r="R1201" t="s">
        <v>44</v>
      </c>
      <c r="S1201">
        <v>0</v>
      </c>
      <c r="W1201" s="3">
        <v>3.9814814814814817E-2</v>
      </c>
      <c r="X1201" t="s">
        <v>2766</v>
      </c>
      <c r="Y1201">
        <v>5</v>
      </c>
      <c r="Z1201">
        <v>0</v>
      </c>
      <c r="AA1201" t="s">
        <v>49</v>
      </c>
      <c r="AB1201">
        <v>0</v>
      </c>
      <c r="AC1201" t="s">
        <v>49</v>
      </c>
      <c r="AD1201">
        <v>0</v>
      </c>
      <c r="AE1201">
        <v>10279397</v>
      </c>
      <c r="AF1201" t="s">
        <v>50</v>
      </c>
      <c r="AG1201" t="s">
        <v>388</v>
      </c>
    </row>
    <row r="1202" spans="1:33" x14ac:dyDescent="0.35">
      <c r="A1202" s="1">
        <v>44875.525000000001</v>
      </c>
      <c r="B1202">
        <v>4585770</v>
      </c>
      <c r="C1202" t="s">
        <v>2767</v>
      </c>
      <c r="D1202" t="s">
        <v>347</v>
      </c>
      <c r="E1202" s="2">
        <v>41471</v>
      </c>
      <c r="F1202" t="str">
        <f>"9780300195101"</f>
        <v>9780300195101</v>
      </c>
      <c r="G1202" t="str">
        <f>"9780300185959"</f>
        <v>9780300185959</v>
      </c>
      <c r="H1202" t="s">
        <v>162</v>
      </c>
      <c r="I1202">
        <v>297.21100000000001</v>
      </c>
      <c r="J1202" t="s">
        <v>2768</v>
      </c>
      <c r="K1202" t="s">
        <v>44</v>
      </c>
      <c r="N1202" t="s">
        <v>45</v>
      </c>
      <c r="O1202" t="s">
        <v>46</v>
      </c>
      <c r="P1202" t="s">
        <v>45</v>
      </c>
      <c r="Q1202" t="s">
        <v>47</v>
      </c>
      <c r="R1202" t="s">
        <v>44</v>
      </c>
      <c r="S1202">
        <v>0</v>
      </c>
      <c r="W1202" s="3">
        <v>6.0648148148148145E-3</v>
      </c>
      <c r="X1202" t="s">
        <v>2769</v>
      </c>
      <c r="Y1202">
        <v>22</v>
      </c>
      <c r="Z1202">
        <v>0</v>
      </c>
      <c r="AA1202" t="s">
        <v>49</v>
      </c>
      <c r="AB1202">
        <v>0</v>
      </c>
      <c r="AC1202" t="s">
        <v>49</v>
      </c>
      <c r="AD1202">
        <v>0</v>
      </c>
      <c r="AE1202">
        <v>11234884</v>
      </c>
      <c r="AF1202" t="s">
        <v>50</v>
      </c>
      <c r="AG1202" t="s">
        <v>388</v>
      </c>
    </row>
    <row r="1203" spans="1:33" x14ac:dyDescent="0.35">
      <c r="A1203" s="1">
        <v>44875.509027777778</v>
      </c>
      <c r="B1203">
        <v>5945867</v>
      </c>
      <c r="C1203" t="s">
        <v>991</v>
      </c>
      <c r="D1203" t="s">
        <v>992</v>
      </c>
      <c r="E1203" s="2">
        <v>43800</v>
      </c>
      <c r="F1203" t="str">
        <f>"9781640122796"</f>
        <v>9781640122796</v>
      </c>
      <c r="G1203" t="str">
        <f>"9781640122208"</f>
        <v>9781640122208</v>
      </c>
      <c r="H1203" t="s">
        <v>667</v>
      </c>
      <c r="I1203">
        <v>940.5412</v>
      </c>
      <c r="J1203" t="s">
        <v>993</v>
      </c>
      <c r="K1203" t="s">
        <v>44</v>
      </c>
      <c r="N1203" t="s">
        <v>45</v>
      </c>
      <c r="O1203" t="s">
        <v>46</v>
      </c>
      <c r="P1203" t="s">
        <v>177</v>
      </c>
      <c r="Q1203" t="s">
        <v>47</v>
      </c>
      <c r="R1203" t="s">
        <v>55</v>
      </c>
      <c r="S1203">
        <v>0</v>
      </c>
      <c r="W1203" s="3">
        <v>3.4722222222222222E-5</v>
      </c>
      <c r="X1203" t="s">
        <v>121</v>
      </c>
      <c r="Y1203">
        <v>1</v>
      </c>
      <c r="Z1203">
        <v>0</v>
      </c>
      <c r="AA1203" t="s">
        <v>49</v>
      </c>
      <c r="AB1203">
        <v>0</v>
      </c>
      <c r="AC1203" t="s">
        <v>49</v>
      </c>
      <c r="AD1203">
        <v>0</v>
      </c>
      <c r="AE1203">
        <v>-1</v>
      </c>
      <c r="AF1203" t="s">
        <v>50</v>
      </c>
      <c r="AG1203" t="s">
        <v>388</v>
      </c>
    </row>
    <row r="1204" spans="1:33" x14ac:dyDescent="0.35">
      <c r="A1204" s="1">
        <v>44875.491666666669</v>
      </c>
      <c r="B1204">
        <v>6020721</v>
      </c>
      <c r="C1204" t="s">
        <v>2770</v>
      </c>
      <c r="D1204" t="s">
        <v>59</v>
      </c>
      <c r="E1204" s="2">
        <v>43899</v>
      </c>
      <c r="F1204" t="str">
        <f>"9781118638484"</f>
        <v>9781118638484</v>
      </c>
      <c r="G1204" t="str">
        <f>"9781118638514"</f>
        <v>9781118638514</v>
      </c>
      <c r="H1204" t="s">
        <v>162</v>
      </c>
      <c r="I1204">
        <v>297.125</v>
      </c>
      <c r="J1204" t="s">
        <v>2771</v>
      </c>
      <c r="K1204" t="s">
        <v>44</v>
      </c>
      <c r="N1204" t="s">
        <v>45</v>
      </c>
      <c r="O1204" t="s">
        <v>46</v>
      </c>
      <c r="P1204" t="s">
        <v>45</v>
      </c>
      <c r="Q1204" t="s">
        <v>47</v>
      </c>
      <c r="R1204" t="s">
        <v>44</v>
      </c>
      <c r="S1204">
        <v>0</v>
      </c>
      <c r="W1204" s="3">
        <v>3.5763888888888894E-3</v>
      </c>
      <c r="X1204" t="s">
        <v>2772</v>
      </c>
      <c r="Y1204">
        <v>8</v>
      </c>
      <c r="Z1204">
        <v>0</v>
      </c>
      <c r="AA1204" t="s">
        <v>49</v>
      </c>
      <c r="AB1204">
        <v>0</v>
      </c>
      <c r="AC1204" t="s">
        <v>49</v>
      </c>
      <c r="AD1204">
        <v>0</v>
      </c>
      <c r="AE1204">
        <v>-1</v>
      </c>
      <c r="AF1204" t="s">
        <v>50</v>
      </c>
      <c r="AG1204" t="s">
        <v>388</v>
      </c>
    </row>
    <row r="1205" spans="1:33" x14ac:dyDescent="0.35">
      <c r="A1205" s="1">
        <v>44875.486111111109</v>
      </c>
      <c r="B1205">
        <v>932449</v>
      </c>
      <c r="C1205" t="s">
        <v>2773</v>
      </c>
      <c r="D1205" t="s">
        <v>507</v>
      </c>
      <c r="E1205" s="2">
        <v>39407</v>
      </c>
      <c r="F1205" t="str">
        <f>"9780748631346"</f>
        <v>9780748631346</v>
      </c>
      <c r="G1205" t="str">
        <f>"9780748626052"</f>
        <v>9780748626052</v>
      </c>
      <c r="H1205" t="s">
        <v>162</v>
      </c>
      <c r="I1205">
        <v>297.41000000000003</v>
      </c>
      <c r="J1205" t="s">
        <v>2774</v>
      </c>
      <c r="K1205" t="s">
        <v>44</v>
      </c>
      <c r="N1205" t="s">
        <v>45</v>
      </c>
      <c r="O1205" t="s">
        <v>46</v>
      </c>
      <c r="P1205" t="s">
        <v>45</v>
      </c>
      <c r="Q1205" t="s">
        <v>47</v>
      </c>
      <c r="R1205" t="s">
        <v>44</v>
      </c>
      <c r="S1205">
        <v>0</v>
      </c>
      <c r="W1205" s="3">
        <v>6.2500000000000001E-4</v>
      </c>
      <c r="X1205" t="s">
        <v>942</v>
      </c>
      <c r="Y1205">
        <v>5</v>
      </c>
      <c r="Z1205">
        <v>0</v>
      </c>
      <c r="AA1205" t="s">
        <v>49</v>
      </c>
      <c r="AB1205">
        <v>0</v>
      </c>
      <c r="AC1205" t="s">
        <v>49</v>
      </c>
      <c r="AD1205">
        <v>0</v>
      </c>
      <c r="AE1205">
        <v>10569454</v>
      </c>
      <c r="AF1205" t="s">
        <v>50</v>
      </c>
      <c r="AG1205" t="s">
        <v>388</v>
      </c>
    </row>
    <row r="1206" spans="1:33" x14ac:dyDescent="0.35">
      <c r="A1206" s="1">
        <v>44875.482638888891</v>
      </c>
      <c r="B1206">
        <v>279494</v>
      </c>
      <c r="C1206" t="s">
        <v>1333</v>
      </c>
      <c r="D1206" t="s">
        <v>125</v>
      </c>
      <c r="E1206" s="2">
        <v>37280</v>
      </c>
      <c r="F1206" t="str">
        <f>"9780198032953"</f>
        <v>9780198032953</v>
      </c>
      <c r="G1206" t="str">
        <f>"9780195144208"</f>
        <v>9780195144208</v>
      </c>
      <c r="H1206" t="s">
        <v>667</v>
      </c>
      <c r="I1206" t="s">
        <v>1334</v>
      </c>
      <c r="J1206" t="s">
        <v>1335</v>
      </c>
      <c r="K1206" t="s">
        <v>44</v>
      </c>
      <c r="N1206" t="s">
        <v>45</v>
      </c>
      <c r="O1206" t="s">
        <v>46</v>
      </c>
      <c r="P1206" t="s">
        <v>45</v>
      </c>
      <c r="Q1206" t="s">
        <v>47</v>
      </c>
      <c r="R1206" t="s">
        <v>44</v>
      </c>
      <c r="S1206">
        <v>0</v>
      </c>
      <c r="W1206" s="3">
        <v>5.6712962962962956E-4</v>
      </c>
      <c r="X1206" t="s">
        <v>2775</v>
      </c>
      <c r="Y1206">
        <v>7</v>
      </c>
      <c r="Z1206">
        <v>0</v>
      </c>
      <c r="AA1206" t="s">
        <v>49</v>
      </c>
      <c r="AB1206">
        <v>0</v>
      </c>
      <c r="AC1206" t="s">
        <v>49</v>
      </c>
      <c r="AD1206">
        <v>0</v>
      </c>
      <c r="AE1206">
        <v>11303309</v>
      </c>
      <c r="AF1206" t="s">
        <v>50</v>
      </c>
      <c r="AG1206" t="s">
        <v>670</v>
      </c>
    </row>
    <row r="1207" spans="1:33" x14ac:dyDescent="0.35">
      <c r="A1207" s="1">
        <v>44875.475694444445</v>
      </c>
      <c r="B1207">
        <v>6728997</v>
      </c>
      <c r="C1207" t="s">
        <v>2518</v>
      </c>
      <c r="D1207" t="s">
        <v>213</v>
      </c>
      <c r="E1207" s="2">
        <v>44461</v>
      </c>
      <c r="F1207" t="str">
        <f>"9780128192436"</f>
        <v>9780128192436</v>
      </c>
      <c r="G1207" t="str">
        <f>"9780128192429"</f>
        <v>9780128192429</v>
      </c>
      <c r="H1207" t="s">
        <v>1112</v>
      </c>
      <c r="I1207">
        <v>662.88</v>
      </c>
      <c r="J1207" t="s">
        <v>2519</v>
      </c>
      <c r="K1207" t="s">
        <v>55</v>
      </c>
      <c r="Q1207" t="s">
        <v>47</v>
      </c>
      <c r="R1207" t="s">
        <v>44</v>
      </c>
      <c r="S1207">
        <v>0</v>
      </c>
      <c r="W1207" s="3">
        <v>3.1134259259259257E-3</v>
      </c>
      <c r="X1207" t="s">
        <v>2776</v>
      </c>
      <c r="Y1207">
        <v>20</v>
      </c>
      <c r="Z1207">
        <v>0</v>
      </c>
      <c r="AA1207" t="s">
        <v>49</v>
      </c>
      <c r="AB1207">
        <v>0</v>
      </c>
      <c r="AC1207" t="s">
        <v>49</v>
      </c>
      <c r="AD1207">
        <v>0</v>
      </c>
      <c r="AE1207">
        <v>-1</v>
      </c>
      <c r="AF1207" t="s">
        <v>50</v>
      </c>
      <c r="AG1207" t="s">
        <v>741</v>
      </c>
    </row>
    <row r="1208" spans="1:33" x14ac:dyDescent="0.35">
      <c r="A1208" s="1">
        <v>44875.472916666666</v>
      </c>
      <c r="B1208">
        <v>668821</v>
      </c>
      <c r="C1208" t="s">
        <v>2731</v>
      </c>
      <c r="D1208" t="s">
        <v>76</v>
      </c>
      <c r="E1208" s="2">
        <v>40661</v>
      </c>
      <c r="F1208" t="str">
        <f>"9780203835043"</f>
        <v>9780203835043</v>
      </c>
      <c r="G1208" t="str">
        <f>"9780415548229"</f>
        <v>9780415548229</v>
      </c>
      <c r="H1208" t="s">
        <v>162</v>
      </c>
      <c r="I1208">
        <v>297.4092</v>
      </c>
      <c r="J1208" t="s">
        <v>2732</v>
      </c>
      <c r="K1208" t="s">
        <v>44</v>
      </c>
      <c r="N1208" t="s">
        <v>45</v>
      </c>
      <c r="O1208" t="s">
        <v>46</v>
      </c>
      <c r="P1208" t="s">
        <v>45</v>
      </c>
      <c r="Q1208" t="s">
        <v>47</v>
      </c>
      <c r="R1208" t="s">
        <v>44</v>
      </c>
      <c r="S1208">
        <v>0</v>
      </c>
      <c r="W1208" s="3">
        <v>1.247685185185185E-2</v>
      </c>
      <c r="X1208" t="s">
        <v>2777</v>
      </c>
      <c r="Y1208">
        <v>96</v>
      </c>
      <c r="Z1208">
        <v>0</v>
      </c>
      <c r="AA1208" t="s">
        <v>49</v>
      </c>
      <c r="AB1208">
        <v>0</v>
      </c>
      <c r="AC1208" t="s">
        <v>49</v>
      </c>
      <c r="AD1208">
        <v>0</v>
      </c>
      <c r="AE1208">
        <v>10522474</v>
      </c>
      <c r="AF1208" t="s">
        <v>50</v>
      </c>
      <c r="AG1208" t="s">
        <v>388</v>
      </c>
    </row>
    <row r="1209" spans="1:33" x14ac:dyDescent="0.35">
      <c r="A1209" s="1">
        <v>44875.464583333334</v>
      </c>
      <c r="B1209">
        <v>848526</v>
      </c>
      <c r="C1209" t="s">
        <v>2541</v>
      </c>
      <c r="D1209" t="s">
        <v>59</v>
      </c>
      <c r="E1209" s="2">
        <v>41212</v>
      </c>
      <c r="F1209" t="str">
        <f>"9781118310069"</f>
        <v>9781118310069</v>
      </c>
      <c r="G1209" t="str">
        <f>"9780470566671"</f>
        <v>9780470566671</v>
      </c>
      <c r="H1209" t="s">
        <v>2542</v>
      </c>
      <c r="I1209">
        <v>610.28</v>
      </c>
      <c r="J1209" t="s">
        <v>2543</v>
      </c>
      <c r="K1209" t="s">
        <v>44</v>
      </c>
      <c r="N1209" t="s">
        <v>45</v>
      </c>
      <c r="O1209" t="s">
        <v>46</v>
      </c>
      <c r="P1209" t="s">
        <v>45</v>
      </c>
      <c r="Q1209" t="s">
        <v>47</v>
      </c>
      <c r="R1209" t="s">
        <v>44</v>
      </c>
      <c r="S1209">
        <v>0</v>
      </c>
      <c r="W1209" s="3">
        <v>3.7499999999999999E-2</v>
      </c>
      <c r="X1209" t="s">
        <v>2778</v>
      </c>
      <c r="Y1209">
        <v>21</v>
      </c>
      <c r="Z1209">
        <v>0</v>
      </c>
      <c r="AA1209" t="s">
        <v>49</v>
      </c>
      <c r="AB1209">
        <v>0</v>
      </c>
      <c r="AC1209" t="s">
        <v>2779</v>
      </c>
      <c r="AD1209">
        <v>5</v>
      </c>
      <c r="AE1209">
        <v>10615085</v>
      </c>
      <c r="AF1209" t="s">
        <v>50</v>
      </c>
      <c r="AG1209" t="s">
        <v>2780</v>
      </c>
    </row>
    <row r="1210" spans="1:33" x14ac:dyDescent="0.35">
      <c r="A1210" s="1">
        <v>44875.463888888888</v>
      </c>
      <c r="B1210">
        <v>848526</v>
      </c>
      <c r="C1210" t="s">
        <v>2541</v>
      </c>
      <c r="D1210" t="s">
        <v>59</v>
      </c>
      <c r="E1210" s="2">
        <v>41212</v>
      </c>
      <c r="F1210" t="str">
        <f>"9781118310069"</f>
        <v>9781118310069</v>
      </c>
      <c r="G1210" t="str">
        <f>"9780470566671"</f>
        <v>9780470566671</v>
      </c>
      <c r="H1210" t="s">
        <v>2542</v>
      </c>
      <c r="I1210">
        <v>610.28</v>
      </c>
      <c r="J1210" t="s">
        <v>2543</v>
      </c>
      <c r="K1210" t="s">
        <v>44</v>
      </c>
      <c r="N1210" t="s">
        <v>45</v>
      </c>
      <c r="O1210" t="s">
        <v>46</v>
      </c>
      <c r="P1210" t="s">
        <v>45</v>
      </c>
      <c r="Q1210" t="s">
        <v>47</v>
      </c>
      <c r="R1210" t="s">
        <v>44</v>
      </c>
      <c r="S1210">
        <v>0</v>
      </c>
      <c r="W1210" s="3">
        <v>0</v>
      </c>
      <c r="X1210" t="s">
        <v>49</v>
      </c>
      <c r="Y1210">
        <v>0</v>
      </c>
      <c r="Z1210">
        <v>0</v>
      </c>
      <c r="AA1210" t="s">
        <v>49</v>
      </c>
      <c r="AB1210">
        <v>0</v>
      </c>
      <c r="AC1210" t="s">
        <v>49</v>
      </c>
      <c r="AD1210">
        <v>0</v>
      </c>
      <c r="AE1210">
        <v>10615085</v>
      </c>
      <c r="AF1210" t="s">
        <v>50</v>
      </c>
      <c r="AG1210" t="s">
        <v>2780</v>
      </c>
    </row>
    <row r="1211" spans="1:33" x14ac:dyDescent="0.35">
      <c r="A1211" s="1">
        <v>44875.461111111108</v>
      </c>
      <c r="B1211">
        <v>5945867</v>
      </c>
      <c r="C1211" t="s">
        <v>991</v>
      </c>
      <c r="D1211" t="s">
        <v>992</v>
      </c>
      <c r="E1211" s="2">
        <v>43800</v>
      </c>
      <c r="F1211" t="str">
        <f>"9781640122796"</f>
        <v>9781640122796</v>
      </c>
      <c r="G1211" t="str">
        <f>"9781640122208"</f>
        <v>9781640122208</v>
      </c>
      <c r="H1211" t="s">
        <v>667</v>
      </c>
      <c r="I1211">
        <v>940.5412</v>
      </c>
      <c r="J1211" t="s">
        <v>993</v>
      </c>
      <c r="K1211" t="s">
        <v>44</v>
      </c>
      <c r="N1211" t="s">
        <v>45</v>
      </c>
      <c r="O1211" t="s">
        <v>46</v>
      </c>
      <c r="P1211" t="s">
        <v>177</v>
      </c>
      <c r="Q1211" t="s">
        <v>47</v>
      </c>
      <c r="R1211" t="s">
        <v>55</v>
      </c>
      <c r="S1211">
        <v>0</v>
      </c>
      <c r="W1211" s="3">
        <v>1.7361111111111112E-4</v>
      </c>
      <c r="X1211" t="s">
        <v>1258</v>
      </c>
      <c r="Y1211">
        <v>2</v>
      </c>
      <c r="Z1211">
        <v>0</v>
      </c>
      <c r="AA1211" t="s">
        <v>49</v>
      </c>
      <c r="AB1211">
        <v>0</v>
      </c>
      <c r="AC1211" t="s">
        <v>49</v>
      </c>
      <c r="AD1211">
        <v>0</v>
      </c>
      <c r="AE1211">
        <v>-1</v>
      </c>
      <c r="AF1211" t="s">
        <v>50</v>
      </c>
      <c r="AG1211" t="s">
        <v>388</v>
      </c>
    </row>
    <row r="1212" spans="1:33" x14ac:dyDescent="0.35">
      <c r="A1212" s="1">
        <v>44875.45416666667</v>
      </c>
      <c r="B1212">
        <v>279494</v>
      </c>
      <c r="C1212" t="s">
        <v>1333</v>
      </c>
      <c r="D1212" t="s">
        <v>125</v>
      </c>
      <c r="E1212" s="2">
        <v>37280</v>
      </c>
      <c r="F1212" t="str">
        <f>"9780198032953"</f>
        <v>9780198032953</v>
      </c>
      <c r="G1212" t="str">
        <f>"9780195144208"</f>
        <v>9780195144208</v>
      </c>
      <c r="H1212" t="s">
        <v>667</v>
      </c>
      <c r="I1212" t="s">
        <v>1334</v>
      </c>
      <c r="J1212" t="s">
        <v>1335</v>
      </c>
      <c r="K1212" t="s">
        <v>44</v>
      </c>
      <c r="N1212" t="s">
        <v>45</v>
      </c>
      <c r="O1212" t="s">
        <v>46</v>
      </c>
      <c r="P1212" t="s">
        <v>45</v>
      </c>
      <c r="Q1212" t="s">
        <v>47</v>
      </c>
      <c r="R1212" t="s">
        <v>44</v>
      </c>
      <c r="S1212">
        <v>0</v>
      </c>
      <c r="W1212" s="3">
        <v>0</v>
      </c>
      <c r="X1212" t="s">
        <v>49</v>
      </c>
      <c r="Y1212">
        <v>0</v>
      </c>
      <c r="Z1212">
        <v>1</v>
      </c>
      <c r="AA1212" t="s">
        <v>2630</v>
      </c>
      <c r="AB1212">
        <v>14</v>
      </c>
      <c r="AC1212" t="s">
        <v>49</v>
      </c>
      <c r="AD1212">
        <v>0</v>
      </c>
      <c r="AE1212">
        <v>11303309</v>
      </c>
      <c r="AF1212" t="s">
        <v>50</v>
      </c>
      <c r="AG1212" t="s">
        <v>388</v>
      </c>
    </row>
    <row r="1213" spans="1:33" x14ac:dyDescent="0.35">
      <c r="A1213" s="1">
        <v>44875.450694444444</v>
      </c>
      <c r="B1213">
        <v>6728997</v>
      </c>
      <c r="C1213" t="s">
        <v>2518</v>
      </c>
      <c r="D1213" t="s">
        <v>213</v>
      </c>
      <c r="E1213" s="2">
        <v>44461</v>
      </c>
      <c r="F1213" t="str">
        <f>"9780128192436"</f>
        <v>9780128192436</v>
      </c>
      <c r="G1213" t="str">
        <f>"9780128192429"</f>
        <v>9780128192429</v>
      </c>
      <c r="H1213" t="s">
        <v>1112</v>
      </c>
      <c r="I1213">
        <v>662.88</v>
      </c>
      <c r="J1213" t="s">
        <v>2519</v>
      </c>
      <c r="K1213" t="s">
        <v>55</v>
      </c>
      <c r="Q1213" t="s">
        <v>47</v>
      </c>
      <c r="R1213" t="s">
        <v>44</v>
      </c>
      <c r="S1213">
        <v>0</v>
      </c>
      <c r="W1213" s="3">
        <v>8.0555555555555554E-3</v>
      </c>
      <c r="X1213" t="s">
        <v>2781</v>
      </c>
      <c r="Y1213">
        <v>11</v>
      </c>
      <c r="Z1213">
        <v>0</v>
      </c>
      <c r="AA1213" t="s">
        <v>49</v>
      </c>
      <c r="AB1213">
        <v>0</v>
      </c>
      <c r="AC1213" t="s">
        <v>49</v>
      </c>
      <c r="AD1213">
        <v>0</v>
      </c>
      <c r="AE1213">
        <v>-1</v>
      </c>
      <c r="AF1213" t="s">
        <v>63</v>
      </c>
      <c r="AG1213" t="s">
        <v>2782</v>
      </c>
    </row>
    <row r="1214" spans="1:33" x14ac:dyDescent="0.35">
      <c r="A1214" s="1">
        <v>44875.447916666664</v>
      </c>
      <c r="B1214">
        <v>273215</v>
      </c>
      <c r="C1214" t="s">
        <v>2727</v>
      </c>
      <c r="D1214" t="s">
        <v>2728</v>
      </c>
      <c r="E1214" s="2">
        <v>35992</v>
      </c>
      <c r="F1214" t="str">
        <f>"9780198028239"</f>
        <v>9780198028239</v>
      </c>
      <c r="G1214" t="str">
        <f>"9780195120585"</f>
        <v>9780195120585</v>
      </c>
      <c r="H1214" t="s">
        <v>162</v>
      </c>
      <c r="I1214">
        <v>297.48090000000002</v>
      </c>
      <c r="J1214" t="s">
        <v>2729</v>
      </c>
      <c r="K1214" t="s">
        <v>44</v>
      </c>
      <c r="N1214" t="s">
        <v>45</v>
      </c>
      <c r="O1214" t="s">
        <v>46</v>
      </c>
      <c r="P1214" t="s">
        <v>45</v>
      </c>
      <c r="Q1214" t="s">
        <v>47</v>
      </c>
      <c r="R1214" t="s">
        <v>44</v>
      </c>
      <c r="S1214">
        <v>0</v>
      </c>
      <c r="W1214" s="3">
        <v>1.8750000000000001E-3</v>
      </c>
      <c r="X1214" t="s">
        <v>2783</v>
      </c>
      <c r="Y1214">
        <v>22</v>
      </c>
      <c r="Z1214">
        <v>0</v>
      </c>
      <c r="AA1214" t="s">
        <v>49</v>
      </c>
      <c r="AB1214">
        <v>0</v>
      </c>
      <c r="AC1214" t="s">
        <v>49</v>
      </c>
      <c r="AD1214">
        <v>0</v>
      </c>
      <c r="AE1214">
        <v>10279397</v>
      </c>
      <c r="AF1214" t="s">
        <v>50</v>
      </c>
      <c r="AG1214" t="s">
        <v>388</v>
      </c>
    </row>
    <row r="1215" spans="1:33" x14ac:dyDescent="0.35">
      <c r="A1215" s="1">
        <v>44875.413194444445</v>
      </c>
      <c r="B1215">
        <v>469749</v>
      </c>
      <c r="C1215" t="s">
        <v>2784</v>
      </c>
      <c r="D1215" t="s">
        <v>1458</v>
      </c>
      <c r="E1215" s="2">
        <v>39693</v>
      </c>
      <c r="F1215" t="str">
        <f>"9780470282069"</f>
        <v>9780470282069</v>
      </c>
      <c r="G1215" t="str">
        <f>"9780470105252"</f>
        <v>9780470105252</v>
      </c>
      <c r="H1215" t="s">
        <v>1112</v>
      </c>
      <c r="I1215">
        <v>660.28319999999997</v>
      </c>
      <c r="J1215" t="s">
        <v>2785</v>
      </c>
      <c r="K1215" t="s">
        <v>44</v>
      </c>
      <c r="N1215" t="s">
        <v>45</v>
      </c>
      <c r="O1215" t="s">
        <v>46</v>
      </c>
      <c r="P1215" t="s">
        <v>45</v>
      </c>
      <c r="Q1215" t="s">
        <v>47</v>
      </c>
      <c r="R1215" t="s">
        <v>44</v>
      </c>
      <c r="S1215">
        <v>0</v>
      </c>
      <c r="W1215" s="3">
        <v>4.6296296296296294E-5</v>
      </c>
      <c r="X1215" t="s">
        <v>121</v>
      </c>
      <c r="Y1215">
        <v>1</v>
      </c>
      <c r="Z1215">
        <v>0</v>
      </c>
      <c r="AA1215" t="s">
        <v>49</v>
      </c>
      <c r="AB1215">
        <v>0</v>
      </c>
      <c r="AC1215" t="s">
        <v>49</v>
      </c>
      <c r="AD1215">
        <v>0</v>
      </c>
      <c r="AE1215">
        <v>10296771</v>
      </c>
      <c r="AF1215" t="s">
        <v>50</v>
      </c>
      <c r="AG1215" t="s">
        <v>2786</v>
      </c>
    </row>
    <row r="1216" spans="1:33" x14ac:dyDescent="0.35">
      <c r="A1216" s="1">
        <v>44875.348611111112</v>
      </c>
      <c r="B1216">
        <v>3338641</v>
      </c>
      <c r="C1216" t="s">
        <v>302</v>
      </c>
      <c r="D1216" t="s">
        <v>303</v>
      </c>
      <c r="E1216" s="2">
        <v>39143</v>
      </c>
      <c r="F1216" t="str">
        <f>"9780262282888"</f>
        <v>9780262282888</v>
      </c>
      <c r="G1216" t="str">
        <f>"9780262195577"</f>
        <v>9780262195577</v>
      </c>
      <c r="H1216" t="s">
        <v>304</v>
      </c>
      <c r="I1216" t="s">
        <v>305</v>
      </c>
      <c r="K1216" t="s">
        <v>44</v>
      </c>
      <c r="N1216" t="s">
        <v>45</v>
      </c>
      <c r="O1216" t="s">
        <v>46</v>
      </c>
      <c r="P1216" t="s">
        <v>45</v>
      </c>
      <c r="Q1216" t="s">
        <v>47</v>
      </c>
      <c r="R1216" t="s">
        <v>44</v>
      </c>
      <c r="S1216">
        <v>0</v>
      </c>
      <c r="W1216" s="3">
        <v>3.0092592592592595E-4</v>
      </c>
      <c r="X1216" t="s">
        <v>2787</v>
      </c>
      <c r="Y1216">
        <v>11</v>
      </c>
      <c r="Z1216">
        <v>0</v>
      </c>
      <c r="AA1216" t="s">
        <v>49</v>
      </c>
      <c r="AB1216">
        <v>0</v>
      </c>
      <c r="AC1216" t="s">
        <v>49</v>
      </c>
      <c r="AD1216">
        <v>0</v>
      </c>
      <c r="AE1216">
        <v>10173702</v>
      </c>
      <c r="AF1216" t="s">
        <v>50</v>
      </c>
      <c r="AG1216" t="s">
        <v>1235</v>
      </c>
    </row>
    <row r="1217" spans="1:33" x14ac:dyDescent="0.35">
      <c r="A1217" s="1">
        <v>44875.313194444447</v>
      </c>
      <c r="B1217">
        <v>3338641</v>
      </c>
      <c r="C1217" t="s">
        <v>302</v>
      </c>
      <c r="D1217" t="s">
        <v>303</v>
      </c>
      <c r="E1217" s="2">
        <v>39143</v>
      </c>
      <c r="F1217" t="str">
        <f>"9780262282888"</f>
        <v>9780262282888</v>
      </c>
      <c r="G1217" t="str">
        <f>"9780262195577"</f>
        <v>9780262195577</v>
      </c>
      <c r="H1217" t="s">
        <v>304</v>
      </c>
      <c r="I1217" t="s">
        <v>305</v>
      </c>
      <c r="K1217" t="s">
        <v>44</v>
      </c>
      <c r="N1217" t="s">
        <v>45</v>
      </c>
      <c r="O1217" t="s">
        <v>46</v>
      </c>
      <c r="P1217" t="s">
        <v>45</v>
      </c>
      <c r="Q1217" t="s">
        <v>47</v>
      </c>
      <c r="R1217" t="s">
        <v>44</v>
      </c>
      <c r="S1217">
        <v>0</v>
      </c>
      <c r="W1217" s="3">
        <v>8.1018518518518516E-4</v>
      </c>
      <c r="X1217" t="s">
        <v>2788</v>
      </c>
      <c r="Y1217">
        <v>13</v>
      </c>
      <c r="Z1217">
        <v>0</v>
      </c>
      <c r="AA1217" t="s">
        <v>49</v>
      </c>
      <c r="AB1217">
        <v>0</v>
      </c>
      <c r="AC1217" t="s">
        <v>49</v>
      </c>
      <c r="AD1217">
        <v>0</v>
      </c>
      <c r="AE1217">
        <v>10173702</v>
      </c>
      <c r="AF1217" t="s">
        <v>50</v>
      </c>
      <c r="AG1217" t="s">
        <v>1235</v>
      </c>
    </row>
    <row r="1218" spans="1:33" x14ac:dyDescent="0.35">
      <c r="A1218" s="1">
        <v>44875.253472222219</v>
      </c>
      <c r="B1218">
        <v>536977</v>
      </c>
      <c r="C1218" t="s">
        <v>1900</v>
      </c>
      <c r="D1218" t="s">
        <v>507</v>
      </c>
      <c r="E1218" s="2">
        <v>40043</v>
      </c>
      <c r="F1218" t="str">
        <f>"9780748637942"</f>
        <v>9780748637942</v>
      </c>
      <c r="G1218" t="str">
        <f>"9780748637928"</f>
        <v>9780748637928</v>
      </c>
      <c r="H1218" t="s">
        <v>162</v>
      </c>
      <c r="I1218">
        <v>297</v>
      </c>
      <c r="J1218" t="s">
        <v>1901</v>
      </c>
      <c r="K1218" t="s">
        <v>44</v>
      </c>
      <c r="N1218" t="s">
        <v>45</v>
      </c>
      <c r="O1218" t="s">
        <v>46</v>
      </c>
      <c r="P1218" t="s">
        <v>45</v>
      </c>
      <c r="Q1218" t="s">
        <v>47</v>
      </c>
      <c r="R1218" t="s">
        <v>44</v>
      </c>
      <c r="S1218">
        <v>0</v>
      </c>
      <c r="W1218" s="3">
        <v>5.7870370370370366E-5</v>
      </c>
      <c r="X1218" t="s">
        <v>121</v>
      </c>
      <c r="Y1218">
        <v>1</v>
      </c>
      <c r="Z1218">
        <v>0</v>
      </c>
      <c r="AA1218" t="s">
        <v>49</v>
      </c>
      <c r="AB1218">
        <v>0</v>
      </c>
      <c r="AC1218" t="s">
        <v>49</v>
      </c>
      <c r="AD1218">
        <v>0</v>
      </c>
      <c r="AE1218">
        <v>10391780</v>
      </c>
      <c r="AF1218" t="s">
        <v>50</v>
      </c>
      <c r="AG1218" t="s">
        <v>670</v>
      </c>
    </row>
    <row r="1219" spans="1:33" x14ac:dyDescent="0.35">
      <c r="A1219" s="1">
        <v>44875.201388888891</v>
      </c>
      <c r="B1219">
        <v>1956703</v>
      </c>
      <c r="C1219" t="s">
        <v>2789</v>
      </c>
      <c r="D1219" t="s">
        <v>473</v>
      </c>
      <c r="E1219" s="2">
        <v>42047</v>
      </c>
      <c r="F1219" t="str">
        <f>"9789004289468"</f>
        <v>9789004289468</v>
      </c>
      <c r="G1219" t="str">
        <f>"9789004288072"</f>
        <v>9789004288072</v>
      </c>
      <c r="H1219" t="s">
        <v>162</v>
      </c>
      <c r="I1219" t="s">
        <v>2790</v>
      </c>
      <c r="J1219" t="s">
        <v>2791</v>
      </c>
      <c r="K1219" t="s">
        <v>44</v>
      </c>
      <c r="N1219" t="s">
        <v>45</v>
      </c>
      <c r="O1219" t="s">
        <v>46</v>
      </c>
      <c r="P1219" t="s">
        <v>45</v>
      </c>
      <c r="Q1219" t="s">
        <v>47</v>
      </c>
      <c r="R1219" t="s">
        <v>44</v>
      </c>
      <c r="S1219">
        <v>0</v>
      </c>
      <c r="W1219" s="3">
        <v>2.0833333333333333E-3</v>
      </c>
      <c r="X1219" t="s">
        <v>2792</v>
      </c>
      <c r="Y1219">
        <v>3</v>
      </c>
      <c r="Z1219">
        <v>0</v>
      </c>
      <c r="AA1219" t="s">
        <v>49</v>
      </c>
      <c r="AB1219">
        <v>0</v>
      </c>
      <c r="AC1219" t="s">
        <v>49</v>
      </c>
      <c r="AD1219">
        <v>0</v>
      </c>
      <c r="AE1219">
        <v>11021012</v>
      </c>
      <c r="AF1219" t="s">
        <v>50</v>
      </c>
      <c r="AG1219" t="s">
        <v>2241</v>
      </c>
    </row>
    <row r="1220" spans="1:33" x14ac:dyDescent="0.35">
      <c r="A1220" s="1">
        <v>44875.200694444444</v>
      </c>
      <c r="B1220">
        <v>1028099</v>
      </c>
      <c r="C1220" t="s">
        <v>2793</v>
      </c>
      <c r="D1220" t="s">
        <v>666</v>
      </c>
      <c r="E1220" s="2">
        <v>41282</v>
      </c>
      <c r="F1220" t="str">
        <f>"9780231530897"</f>
        <v>9780231530897</v>
      </c>
      <c r="G1220" t="str">
        <f>"9780231162630"</f>
        <v>9780231162630</v>
      </c>
      <c r="H1220" t="s">
        <v>425</v>
      </c>
      <c r="I1220">
        <v>320.96629999999999</v>
      </c>
      <c r="J1220" t="s">
        <v>2794</v>
      </c>
      <c r="K1220" t="s">
        <v>44</v>
      </c>
      <c r="N1220" t="s">
        <v>45</v>
      </c>
      <c r="O1220" t="s">
        <v>46</v>
      </c>
      <c r="P1220" t="s">
        <v>45</v>
      </c>
      <c r="Q1220" t="s">
        <v>47</v>
      </c>
      <c r="R1220" t="s">
        <v>44</v>
      </c>
      <c r="S1220">
        <v>0</v>
      </c>
      <c r="W1220" s="3">
        <v>5.7870370370370366E-5</v>
      </c>
      <c r="X1220" t="s">
        <v>121</v>
      </c>
      <c r="Y1220">
        <v>1</v>
      </c>
      <c r="Z1220">
        <v>0</v>
      </c>
      <c r="AA1220" t="s">
        <v>49</v>
      </c>
      <c r="AB1220">
        <v>0</v>
      </c>
      <c r="AC1220" t="s">
        <v>49</v>
      </c>
      <c r="AD1220">
        <v>0</v>
      </c>
      <c r="AE1220">
        <v>10766059</v>
      </c>
      <c r="AF1220" t="s">
        <v>50</v>
      </c>
      <c r="AG1220" t="s">
        <v>388</v>
      </c>
    </row>
    <row r="1221" spans="1:33" x14ac:dyDescent="0.35">
      <c r="A1221" s="1">
        <v>44875.199999999997</v>
      </c>
      <c r="B1221">
        <v>1028099</v>
      </c>
      <c r="C1221" t="s">
        <v>2793</v>
      </c>
      <c r="D1221" t="s">
        <v>666</v>
      </c>
      <c r="E1221" s="2">
        <v>41282</v>
      </c>
      <c r="F1221" t="str">
        <f>"9780231530897"</f>
        <v>9780231530897</v>
      </c>
      <c r="G1221" t="str">
        <f>"9780231162630"</f>
        <v>9780231162630</v>
      </c>
      <c r="H1221" t="s">
        <v>425</v>
      </c>
      <c r="I1221">
        <v>320.96629999999999</v>
      </c>
      <c r="J1221" t="s">
        <v>2794</v>
      </c>
      <c r="K1221" t="s">
        <v>44</v>
      </c>
      <c r="N1221" t="s">
        <v>45</v>
      </c>
      <c r="O1221" t="s">
        <v>46</v>
      </c>
      <c r="P1221" t="s">
        <v>45</v>
      </c>
      <c r="Q1221" t="s">
        <v>47</v>
      </c>
      <c r="R1221" t="s">
        <v>44</v>
      </c>
      <c r="S1221">
        <v>0</v>
      </c>
      <c r="W1221" s="3">
        <v>5.7870370370370366E-5</v>
      </c>
      <c r="X1221" t="s">
        <v>121</v>
      </c>
      <c r="Y1221">
        <v>1</v>
      </c>
      <c r="Z1221">
        <v>0</v>
      </c>
      <c r="AA1221" t="s">
        <v>49</v>
      </c>
      <c r="AB1221">
        <v>0</v>
      </c>
      <c r="AC1221" t="s">
        <v>49</v>
      </c>
      <c r="AD1221">
        <v>0</v>
      </c>
      <c r="AE1221">
        <v>10766059</v>
      </c>
      <c r="AF1221" t="s">
        <v>50</v>
      </c>
      <c r="AG1221" t="s">
        <v>2241</v>
      </c>
    </row>
    <row r="1222" spans="1:33" x14ac:dyDescent="0.35">
      <c r="A1222" s="1">
        <v>44875.124305555553</v>
      </c>
      <c r="B1222">
        <v>1028099</v>
      </c>
      <c r="C1222" t="s">
        <v>2793</v>
      </c>
      <c r="D1222" t="s">
        <v>666</v>
      </c>
      <c r="E1222" s="2">
        <v>41282</v>
      </c>
      <c r="F1222" t="str">
        <f>"9780231530897"</f>
        <v>9780231530897</v>
      </c>
      <c r="G1222" t="str">
        <f>"9780231162630"</f>
        <v>9780231162630</v>
      </c>
      <c r="H1222" t="s">
        <v>425</v>
      </c>
      <c r="I1222">
        <v>320.96629999999999</v>
      </c>
      <c r="J1222" t="s">
        <v>2794</v>
      </c>
      <c r="K1222" t="s">
        <v>44</v>
      </c>
      <c r="N1222" t="s">
        <v>45</v>
      </c>
      <c r="O1222" t="s">
        <v>46</v>
      </c>
      <c r="P1222" t="s">
        <v>45</v>
      </c>
      <c r="Q1222" t="s">
        <v>47</v>
      </c>
      <c r="R1222" t="s">
        <v>44</v>
      </c>
      <c r="S1222">
        <v>0</v>
      </c>
      <c r="W1222" s="3">
        <v>3.5879629629629629E-2</v>
      </c>
      <c r="X1222" t="s">
        <v>1283</v>
      </c>
      <c r="Y1222">
        <v>3</v>
      </c>
      <c r="Z1222">
        <v>0</v>
      </c>
      <c r="AA1222" t="s">
        <v>49</v>
      </c>
      <c r="AB1222">
        <v>0</v>
      </c>
      <c r="AC1222" t="s">
        <v>49</v>
      </c>
      <c r="AD1222">
        <v>0</v>
      </c>
      <c r="AE1222">
        <v>10766059</v>
      </c>
      <c r="AF1222" t="s">
        <v>50</v>
      </c>
      <c r="AG1222" t="s">
        <v>388</v>
      </c>
    </row>
    <row r="1223" spans="1:33" x14ac:dyDescent="0.35">
      <c r="A1223" s="1">
        <v>44875.037499999999</v>
      </c>
      <c r="B1223">
        <v>1706977</v>
      </c>
      <c r="C1223" t="s">
        <v>2719</v>
      </c>
      <c r="D1223" t="s">
        <v>473</v>
      </c>
      <c r="E1223" s="2">
        <v>41782</v>
      </c>
      <c r="F1223" t="str">
        <f>"9789004271494"</f>
        <v>9789004271494</v>
      </c>
      <c r="G1223" t="str">
        <f>"9789004271258"</f>
        <v>9789004271258</v>
      </c>
      <c r="H1223" t="s">
        <v>162</v>
      </c>
      <c r="K1223" t="s">
        <v>44</v>
      </c>
      <c r="N1223" t="s">
        <v>45</v>
      </c>
      <c r="O1223" t="s">
        <v>46</v>
      </c>
      <c r="P1223" t="s">
        <v>45</v>
      </c>
      <c r="Q1223" t="s">
        <v>47</v>
      </c>
      <c r="R1223" t="s">
        <v>44</v>
      </c>
      <c r="S1223">
        <v>0</v>
      </c>
      <c r="W1223" s="3">
        <v>1.4780092592592595E-2</v>
      </c>
      <c r="X1223" t="s">
        <v>2795</v>
      </c>
      <c r="Y1223">
        <v>34</v>
      </c>
      <c r="Z1223">
        <v>0</v>
      </c>
      <c r="AA1223" t="s">
        <v>49</v>
      </c>
      <c r="AB1223">
        <v>0</v>
      </c>
      <c r="AC1223" t="s">
        <v>2796</v>
      </c>
      <c r="AD1223">
        <v>4</v>
      </c>
      <c r="AE1223">
        <v>10879375</v>
      </c>
      <c r="AF1223" t="s">
        <v>50</v>
      </c>
      <c r="AG1223" t="s">
        <v>670</v>
      </c>
    </row>
    <row r="1224" spans="1:33" x14ac:dyDescent="0.35">
      <c r="A1224" s="1">
        <v>44874.979861111111</v>
      </c>
      <c r="B1224">
        <v>4183127</v>
      </c>
      <c r="C1224" t="s">
        <v>190</v>
      </c>
      <c r="D1224" t="s">
        <v>59</v>
      </c>
      <c r="E1224" s="2">
        <v>42310</v>
      </c>
      <c r="F1224" t="str">
        <f>"9783527684649"</f>
        <v>9783527684649</v>
      </c>
      <c r="G1224" t="str">
        <f>"9783527331659"</f>
        <v>9783527331659</v>
      </c>
      <c r="H1224" t="s">
        <v>191</v>
      </c>
      <c r="I1224" t="s">
        <v>192</v>
      </c>
      <c r="J1224" t="s">
        <v>193</v>
      </c>
      <c r="K1224" t="s">
        <v>44</v>
      </c>
      <c r="N1224" t="s">
        <v>45</v>
      </c>
      <c r="O1224" t="s">
        <v>46</v>
      </c>
      <c r="P1224" t="s">
        <v>45</v>
      </c>
      <c r="Q1224" t="s">
        <v>47</v>
      </c>
      <c r="R1224" t="s">
        <v>44</v>
      </c>
      <c r="S1224">
        <v>0</v>
      </c>
      <c r="W1224" s="3">
        <v>3.0844907407407404E-2</v>
      </c>
      <c r="X1224" t="s">
        <v>2797</v>
      </c>
      <c r="Y1224">
        <v>34</v>
      </c>
      <c r="Z1224">
        <v>0</v>
      </c>
      <c r="AA1224" t="s">
        <v>49</v>
      </c>
      <c r="AB1224">
        <v>0</v>
      </c>
      <c r="AC1224" t="s">
        <v>49</v>
      </c>
      <c r="AD1224">
        <v>0</v>
      </c>
      <c r="AE1224">
        <v>11125579</v>
      </c>
      <c r="AF1224" t="s">
        <v>50</v>
      </c>
      <c r="AG1224" t="s">
        <v>1699</v>
      </c>
    </row>
    <row r="1225" spans="1:33" x14ac:dyDescent="0.35">
      <c r="A1225" s="1">
        <v>44874.962500000001</v>
      </c>
      <c r="B1225">
        <v>180072</v>
      </c>
      <c r="C1225" t="s">
        <v>2798</v>
      </c>
      <c r="D1225" t="s">
        <v>76</v>
      </c>
      <c r="E1225" s="2">
        <v>35194</v>
      </c>
      <c r="F1225" t="str">
        <f>"9780203403600"</f>
        <v>9780203403600</v>
      </c>
      <c r="G1225" t="str">
        <f>"9780415020633"</f>
        <v>9780415020633</v>
      </c>
      <c r="H1225" t="s">
        <v>2799</v>
      </c>
      <c r="I1225" t="s">
        <v>2800</v>
      </c>
      <c r="J1225" t="s">
        <v>2801</v>
      </c>
      <c r="K1225" t="s">
        <v>44</v>
      </c>
      <c r="N1225" t="s">
        <v>45</v>
      </c>
      <c r="O1225" t="s">
        <v>46</v>
      </c>
      <c r="P1225" t="s">
        <v>45</v>
      </c>
      <c r="Q1225" t="s">
        <v>47</v>
      </c>
      <c r="R1225" t="s">
        <v>44</v>
      </c>
      <c r="S1225">
        <v>0</v>
      </c>
      <c r="W1225" s="3">
        <v>4.1666666666666669E-4</v>
      </c>
      <c r="X1225" t="s">
        <v>121</v>
      </c>
      <c r="Y1225">
        <v>1</v>
      </c>
      <c r="Z1225">
        <v>0</v>
      </c>
      <c r="AA1225" t="s">
        <v>49</v>
      </c>
      <c r="AB1225">
        <v>0</v>
      </c>
      <c r="AC1225" t="s">
        <v>49</v>
      </c>
      <c r="AD1225">
        <v>0</v>
      </c>
      <c r="AE1225">
        <v>11163958</v>
      </c>
      <c r="AF1225" t="s">
        <v>50</v>
      </c>
      <c r="AG1225" t="s">
        <v>1235</v>
      </c>
    </row>
    <row r="1226" spans="1:33" x14ac:dyDescent="0.35">
      <c r="A1226" s="1">
        <v>44874.915277777778</v>
      </c>
      <c r="B1226">
        <v>3338641</v>
      </c>
      <c r="C1226" t="s">
        <v>302</v>
      </c>
      <c r="D1226" t="s">
        <v>303</v>
      </c>
      <c r="E1226" s="2">
        <v>39143</v>
      </c>
      <c r="F1226" t="str">
        <f>"9780262282888"</f>
        <v>9780262282888</v>
      </c>
      <c r="G1226" t="str">
        <f>"9780262195577"</f>
        <v>9780262195577</v>
      </c>
      <c r="H1226" t="s">
        <v>304</v>
      </c>
      <c r="I1226" t="s">
        <v>305</v>
      </c>
      <c r="K1226" t="s">
        <v>44</v>
      </c>
      <c r="N1226" t="s">
        <v>45</v>
      </c>
      <c r="O1226" t="s">
        <v>46</v>
      </c>
      <c r="P1226" t="s">
        <v>45</v>
      </c>
      <c r="Q1226" t="s">
        <v>47</v>
      </c>
      <c r="R1226" t="s">
        <v>44</v>
      </c>
      <c r="S1226">
        <v>0</v>
      </c>
      <c r="W1226" s="3">
        <v>3.4953703703703705E-3</v>
      </c>
      <c r="X1226" t="s">
        <v>2802</v>
      </c>
      <c r="Y1226">
        <v>7</v>
      </c>
      <c r="Z1226">
        <v>0</v>
      </c>
      <c r="AA1226" t="s">
        <v>49</v>
      </c>
      <c r="AB1226">
        <v>0</v>
      </c>
      <c r="AC1226" t="s">
        <v>49</v>
      </c>
      <c r="AD1226">
        <v>0</v>
      </c>
      <c r="AE1226">
        <v>10173702</v>
      </c>
      <c r="AF1226" t="s">
        <v>50</v>
      </c>
      <c r="AG1226" t="s">
        <v>388</v>
      </c>
    </row>
    <row r="1227" spans="1:33" x14ac:dyDescent="0.35">
      <c r="A1227" s="1">
        <v>44874.913194444445</v>
      </c>
      <c r="B1227">
        <v>1772669</v>
      </c>
      <c r="C1227" t="s">
        <v>2803</v>
      </c>
      <c r="D1227" t="s">
        <v>497</v>
      </c>
      <c r="E1227" s="2">
        <v>40571</v>
      </c>
      <c r="F1227" t="str">
        <f>"9781847316264"</f>
        <v>9781847316264</v>
      </c>
      <c r="G1227" t="str">
        <f>"9781849460842"</f>
        <v>9781849460842</v>
      </c>
      <c r="H1227" t="s">
        <v>2804</v>
      </c>
      <c r="I1227">
        <v>323.44799999999998</v>
      </c>
      <c r="J1227" t="s">
        <v>2805</v>
      </c>
      <c r="K1227" t="s">
        <v>44</v>
      </c>
      <c r="N1227" t="s">
        <v>45</v>
      </c>
      <c r="O1227" t="s">
        <v>46</v>
      </c>
      <c r="P1227" t="s">
        <v>45</v>
      </c>
      <c r="Q1227" t="s">
        <v>47</v>
      </c>
      <c r="R1227" t="s">
        <v>44</v>
      </c>
      <c r="S1227">
        <v>0</v>
      </c>
      <c r="W1227" s="3">
        <v>1.8877314814814816E-2</v>
      </c>
      <c r="X1227" t="s">
        <v>2806</v>
      </c>
      <c r="Y1227">
        <v>20</v>
      </c>
      <c r="Z1227">
        <v>0</v>
      </c>
      <c r="AA1227" t="s">
        <v>49</v>
      </c>
      <c r="AB1227">
        <v>0</v>
      </c>
      <c r="AC1227" t="s">
        <v>49</v>
      </c>
      <c r="AD1227">
        <v>0</v>
      </c>
      <c r="AE1227">
        <v>10480913</v>
      </c>
      <c r="AF1227" t="s">
        <v>50</v>
      </c>
      <c r="AG1227" t="s">
        <v>2241</v>
      </c>
    </row>
    <row r="1228" spans="1:33" x14ac:dyDescent="0.35">
      <c r="A1228" s="1">
        <v>44874.90902777778</v>
      </c>
      <c r="B1228">
        <v>288950</v>
      </c>
      <c r="C1228" t="s">
        <v>2807</v>
      </c>
      <c r="D1228" t="s">
        <v>65</v>
      </c>
      <c r="E1228" s="2">
        <v>38568</v>
      </c>
      <c r="F1228" t="str">
        <f>"9780080472195"</f>
        <v>9780080472195</v>
      </c>
      <c r="G1228" t="str">
        <f>"9780750678001"</f>
        <v>9780750678001</v>
      </c>
      <c r="H1228" t="s">
        <v>546</v>
      </c>
      <c r="I1228">
        <v>621.38800000000003</v>
      </c>
      <c r="J1228" t="s">
        <v>2808</v>
      </c>
      <c r="K1228" t="s">
        <v>44</v>
      </c>
      <c r="N1228" t="s">
        <v>45</v>
      </c>
      <c r="O1228" t="s">
        <v>46</v>
      </c>
      <c r="P1228" t="s">
        <v>45</v>
      </c>
      <c r="Q1228" t="s">
        <v>47</v>
      </c>
      <c r="R1228" t="s">
        <v>44</v>
      </c>
      <c r="S1228">
        <v>0</v>
      </c>
      <c r="W1228" s="3">
        <v>3.9467592592592592E-3</v>
      </c>
      <c r="X1228" t="s">
        <v>2809</v>
      </c>
      <c r="Y1228">
        <v>13</v>
      </c>
      <c r="Z1228">
        <v>0</v>
      </c>
      <c r="AA1228" t="s">
        <v>49</v>
      </c>
      <c r="AB1228">
        <v>0</v>
      </c>
      <c r="AC1228" t="s">
        <v>49</v>
      </c>
      <c r="AD1228">
        <v>0</v>
      </c>
      <c r="AE1228">
        <v>10169724</v>
      </c>
      <c r="AF1228" t="s">
        <v>50</v>
      </c>
      <c r="AG1228" t="s">
        <v>2241</v>
      </c>
    </row>
    <row r="1229" spans="1:33" x14ac:dyDescent="0.35">
      <c r="A1229" s="1">
        <v>44874.888888888891</v>
      </c>
      <c r="B1229">
        <v>5984421</v>
      </c>
      <c r="C1229" t="s">
        <v>2810</v>
      </c>
      <c r="D1229" t="s">
        <v>530</v>
      </c>
      <c r="E1229" s="2">
        <v>43728</v>
      </c>
      <c r="F1229" t="str">
        <f>"9789814881128"</f>
        <v>9789814881128</v>
      </c>
      <c r="G1229" t="str">
        <f>"9789814881111"</f>
        <v>9789814881111</v>
      </c>
      <c r="H1229" t="s">
        <v>162</v>
      </c>
      <c r="I1229">
        <v>297.19770959800002</v>
      </c>
      <c r="J1229" t="s">
        <v>2811</v>
      </c>
      <c r="K1229" t="s">
        <v>44</v>
      </c>
      <c r="N1229" t="s">
        <v>45</v>
      </c>
      <c r="O1229" t="s">
        <v>46</v>
      </c>
      <c r="P1229" t="s">
        <v>177</v>
      </c>
      <c r="Q1229" t="s">
        <v>47</v>
      </c>
      <c r="R1229" t="s">
        <v>55</v>
      </c>
      <c r="S1229">
        <v>0</v>
      </c>
      <c r="W1229" s="3">
        <v>8.2175925925925917E-4</v>
      </c>
      <c r="X1229" t="s">
        <v>2812</v>
      </c>
      <c r="Y1229">
        <v>10</v>
      </c>
      <c r="Z1229">
        <v>0</v>
      </c>
      <c r="AA1229" t="s">
        <v>49</v>
      </c>
      <c r="AB1229">
        <v>0</v>
      </c>
      <c r="AC1229" t="s">
        <v>49</v>
      </c>
      <c r="AD1229">
        <v>0</v>
      </c>
      <c r="AE1229">
        <v>-1</v>
      </c>
      <c r="AF1229" t="s">
        <v>50</v>
      </c>
      <c r="AG1229" t="s">
        <v>388</v>
      </c>
    </row>
    <row r="1230" spans="1:33" x14ac:dyDescent="0.35">
      <c r="A1230" s="1">
        <v>44874.888888888891</v>
      </c>
      <c r="B1230">
        <v>281061</v>
      </c>
      <c r="C1230" t="s">
        <v>2813</v>
      </c>
      <c r="D1230" t="s">
        <v>125</v>
      </c>
      <c r="E1230" s="2">
        <v>37133</v>
      </c>
      <c r="F1230" t="str">
        <f>"9780195343939"</f>
        <v>9780195343939</v>
      </c>
      <c r="G1230" t="str">
        <f>"9780195137996"</f>
        <v>9780195137996</v>
      </c>
      <c r="H1230" t="s">
        <v>162</v>
      </c>
      <c r="I1230" t="s">
        <v>2814</v>
      </c>
      <c r="J1230" t="s">
        <v>2815</v>
      </c>
      <c r="K1230" t="s">
        <v>44</v>
      </c>
      <c r="N1230" t="s">
        <v>45</v>
      </c>
      <c r="O1230" t="s">
        <v>46</v>
      </c>
      <c r="P1230" t="s">
        <v>45</v>
      </c>
      <c r="Q1230" t="s">
        <v>47</v>
      </c>
      <c r="R1230" t="s">
        <v>44</v>
      </c>
      <c r="S1230">
        <v>0</v>
      </c>
      <c r="W1230" s="3">
        <v>1.8518518518518518E-4</v>
      </c>
      <c r="X1230" t="s">
        <v>1346</v>
      </c>
      <c r="Y1230">
        <v>4</v>
      </c>
      <c r="Z1230">
        <v>0</v>
      </c>
      <c r="AA1230" t="s">
        <v>49</v>
      </c>
      <c r="AB1230">
        <v>0</v>
      </c>
      <c r="AC1230" t="s">
        <v>49</v>
      </c>
      <c r="AD1230">
        <v>0</v>
      </c>
      <c r="AE1230">
        <v>10086807</v>
      </c>
      <c r="AF1230" t="s">
        <v>50</v>
      </c>
      <c r="AG1230" t="s">
        <v>388</v>
      </c>
    </row>
    <row r="1231" spans="1:33" x14ac:dyDescent="0.35">
      <c r="A1231" s="1">
        <v>44874.871527777781</v>
      </c>
      <c r="B1231">
        <v>3410118</v>
      </c>
      <c r="C1231" t="s">
        <v>2816</v>
      </c>
      <c r="D1231" t="s">
        <v>2817</v>
      </c>
      <c r="E1231" s="2">
        <v>41256</v>
      </c>
      <c r="F1231" t="str">
        <f>"9780815651918"</f>
        <v>9780815651918</v>
      </c>
      <c r="G1231" t="str">
        <f>"9780815633006"</f>
        <v>9780815633006</v>
      </c>
      <c r="H1231" t="s">
        <v>162</v>
      </c>
      <c r="I1231" t="s">
        <v>2818</v>
      </c>
      <c r="J1231" t="s">
        <v>2819</v>
      </c>
      <c r="K1231" t="s">
        <v>44</v>
      </c>
      <c r="N1231" t="s">
        <v>45</v>
      </c>
      <c r="O1231" t="s">
        <v>46</v>
      </c>
      <c r="P1231" t="s">
        <v>45</v>
      </c>
      <c r="Q1231" t="s">
        <v>47</v>
      </c>
      <c r="R1231" t="s">
        <v>44</v>
      </c>
      <c r="S1231">
        <v>0</v>
      </c>
      <c r="W1231" s="3">
        <v>3.3449074074074071E-3</v>
      </c>
      <c r="X1231" t="s">
        <v>2820</v>
      </c>
      <c r="Y1231">
        <v>40</v>
      </c>
      <c r="Z1231">
        <v>0</v>
      </c>
      <c r="AA1231" t="s">
        <v>49</v>
      </c>
      <c r="AB1231">
        <v>0</v>
      </c>
      <c r="AC1231" t="s">
        <v>49</v>
      </c>
      <c r="AD1231">
        <v>0</v>
      </c>
      <c r="AE1231">
        <v>10645494</v>
      </c>
      <c r="AF1231" t="s">
        <v>50</v>
      </c>
      <c r="AG1231" t="s">
        <v>388</v>
      </c>
    </row>
    <row r="1232" spans="1:33" x14ac:dyDescent="0.35">
      <c r="A1232" s="1">
        <v>44874.869444444441</v>
      </c>
      <c r="B1232">
        <v>668821</v>
      </c>
      <c r="C1232" t="s">
        <v>2731</v>
      </c>
      <c r="D1232" t="s">
        <v>76</v>
      </c>
      <c r="E1232" s="2">
        <v>40661</v>
      </c>
      <c r="F1232" t="str">
        <f>"9780203835043"</f>
        <v>9780203835043</v>
      </c>
      <c r="G1232" t="str">
        <f>"9780415548229"</f>
        <v>9780415548229</v>
      </c>
      <c r="H1232" t="s">
        <v>162</v>
      </c>
      <c r="I1232">
        <v>297.4092</v>
      </c>
      <c r="J1232" t="s">
        <v>2732</v>
      </c>
      <c r="K1232" t="s">
        <v>44</v>
      </c>
      <c r="N1232" t="s">
        <v>45</v>
      </c>
      <c r="O1232" t="s">
        <v>46</v>
      </c>
      <c r="P1232" t="s">
        <v>45</v>
      </c>
      <c r="Q1232" t="s">
        <v>47</v>
      </c>
      <c r="R1232" t="s">
        <v>44</v>
      </c>
      <c r="S1232">
        <v>0</v>
      </c>
      <c r="W1232" s="3">
        <v>3.7037037037037035E-4</v>
      </c>
      <c r="X1232" t="s">
        <v>56</v>
      </c>
      <c r="Y1232">
        <v>3</v>
      </c>
      <c r="Z1232">
        <v>0</v>
      </c>
      <c r="AA1232" t="s">
        <v>49</v>
      </c>
      <c r="AB1232">
        <v>0</v>
      </c>
      <c r="AC1232" t="s">
        <v>49</v>
      </c>
      <c r="AD1232">
        <v>0</v>
      </c>
      <c r="AE1232">
        <v>10522474</v>
      </c>
      <c r="AF1232" t="s">
        <v>50</v>
      </c>
      <c r="AG1232" t="s">
        <v>388</v>
      </c>
    </row>
    <row r="1233" spans="1:33" x14ac:dyDescent="0.35">
      <c r="A1233" s="1">
        <v>44874.866666666669</v>
      </c>
      <c r="B1233">
        <v>6224193</v>
      </c>
      <c r="C1233" t="s">
        <v>2821</v>
      </c>
      <c r="D1233" t="s">
        <v>2709</v>
      </c>
      <c r="E1233" s="2">
        <v>41582</v>
      </c>
      <c r="F1233" t="str">
        <f>"9780271062563"</f>
        <v>9780271062563</v>
      </c>
      <c r="G1233" t="str">
        <f>"9780271061566"</f>
        <v>9780271061566</v>
      </c>
      <c r="H1233" t="s">
        <v>162</v>
      </c>
      <c r="J1233" t="s">
        <v>2822</v>
      </c>
      <c r="K1233" t="s">
        <v>44</v>
      </c>
      <c r="N1233" t="s">
        <v>45</v>
      </c>
      <c r="O1233" t="s">
        <v>46</v>
      </c>
      <c r="P1233" t="s">
        <v>177</v>
      </c>
      <c r="Q1233" t="s">
        <v>47</v>
      </c>
      <c r="R1233" t="s">
        <v>55</v>
      </c>
      <c r="S1233">
        <v>0</v>
      </c>
      <c r="W1233" s="3">
        <v>5.0925925925925921E-4</v>
      </c>
      <c r="X1233" t="s">
        <v>2823</v>
      </c>
      <c r="Y1233">
        <v>8</v>
      </c>
      <c r="Z1233">
        <v>0</v>
      </c>
      <c r="AA1233" t="s">
        <v>49</v>
      </c>
      <c r="AB1233">
        <v>0</v>
      </c>
      <c r="AC1233" t="s">
        <v>49</v>
      </c>
      <c r="AD1233">
        <v>0</v>
      </c>
      <c r="AE1233">
        <v>-1</v>
      </c>
      <c r="AF1233" t="s">
        <v>50</v>
      </c>
      <c r="AG1233" t="s">
        <v>388</v>
      </c>
    </row>
    <row r="1234" spans="1:33" x14ac:dyDescent="0.35">
      <c r="A1234" s="1">
        <v>44874.853472222225</v>
      </c>
      <c r="B1234">
        <v>361916</v>
      </c>
      <c r="C1234" t="s">
        <v>2824</v>
      </c>
      <c r="D1234" t="s">
        <v>2825</v>
      </c>
      <c r="E1234" s="2">
        <v>38723</v>
      </c>
      <c r="F1234" t="str">
        <f>"9781593394912"</f>
        <v>9781593394912</v>
      </c>
      <c r="G1234" t="str">
        <f>"9781593392666"</f>
        <v>9781593392666</v>
      </c>
      <c r="H1234" t="s">
        <v>162</v>
      </c>
      <c r="I1234">
        <v>200.3</v>
      </c>
      <c r="J1234" t="s">
        <v>2826</v>
      </c>
      <c r="K1234" t="s">
        <v>44</v>
      </c>
      <c r="N1234" t="s">
        <v>45</v>
      </c>
      <c r="O1234" t="s">
        <v>46</v>
      </c>
      <c r="P1234" t="s">
        <v>45</v>
      </c>
      <c r="Q1234" t="s">
        <v>47</v>
      </c>
      <c r="R1234" t="s">
        <v>44</v>
      </c>
      <c r="S1234">
        <v>0</v>
      </c>
      <c r="W1234" s="3">
        <v>2.1851851851851848E-2</v>
      </c>
      <c r="X1234" t="s">
        <v>2827</v>
      </c>
      <c r="Y1234">
        <v>29</v>
      </c>
      <c r="Z1234">
        <v>0</v>
      </c>
      <c r="AA1234" t="s">
        <v>49</v>
      </c>
      <c r="AB1234">
        <v>0</v>
      </c>
      <c r="AC1234" t="s">
        <v>49</v>
      </c>
      <c r="AD1234">
        <v>0</v>
      </c>
      <c r="AE1234">
        <v>10270741</v>
      </c>
      <c r="AF1234" t="s">
        <v>50</v>
      </c>
      <c r="AG1234" t="s">
        <v>388</v>
      </c>
    </row>
    <row r="1235" spans="1:33" x14ac:dyDescent="0.35">
      <c r="A1235" s="1">
        <v>44874.847222222219</v>
      </c>
      <c r="B1235">
        <v>3338641</v>
      </c>
      <c r="C1235" t="s">
        <v>302</v>
      </c>
      <c r="D1235" t="s">
        <v>303</v>
      </c>
      <c r="E1235" s="2">
        <v>39143</v>
      </c>
      <c r="F1235" t="str">
        <f>"9780262282888"</f>
        <v>9780262282888</v>
      </c>
      <c r="G1235" t="str">
        <f>"9780262195577"</f>
        <v>9780262195577</v>
      </c>
      <c r="H1235" t="s">
        <v>304</v>
      </c>
      <c r="I1235" t="s">
        <v>305</v>
      </c>
      <c r="K1235" t="s">
        <v>44</v>
      </c>
      <c r="N1235" t="s">
        <v>45</v>
      </c>
      <c r="O1235" t="s">
        <v>46</v>
      </c>
      <c r="P1235" t="s">
        <v>45</v>
      </c>
      <c r="Q1235" t="s">
        <v>47</v>
      </c>
      <c r="R1235" t="s">
        <v>44</v>
      </c>
      <c r="S1235">
        <v>0</v>
      </c>
      <c r="W1235" s="3">
        <v>4.9189814814814816E-3</v>
      </c>
      <c r="X1235" t="s">
        <v>2828</v>
      </c>
      <c r="Y1235">
        <v>5</v>
      </c>
      <c r="Z1235">
        <v>0</v>
      </c>
      <c r="AA1235" t="s">
        <v>49</v>
      </c>
      <c r="AB1235">
        <v>0</v>
      </c>
      <c r="AC1235" t="s">
        <v>49</v>
      </c>
      <c r="AD1235">
        <v>0</v>
      </c>
      <c r="AE1235">
        <v>10173702</v>
      </c>
      <c r="AF1235" t="s">
        <v>50</v>
      </c>
      <c r="AG1235" t="s">
        <v>388</v>
      </c>
    </row>
    <row r="1236" spans="1:33" x14ac:dyDescent="0.35">
      <c r="A1236" s="1">
        <v>44874.834722222222</v>
      </c>
      <c r="B1236">
        <v>6846171</v>
      </c>
      <c r="C1236" t="s">
        <v>2305</v>
      </c>
      <c r="D1236" t="s">
        <v>76</v>
      </c>
      <c r="E1236" s="2">
        <v>44531</v>
      </c>
      <c r="F1236" t="str">
        <f>"9781000513400"</f>
        <v>9781000513400</v>
      </c>
      <c r="G1236" t="str">
        <f>"9780367139377"</f>
        <v>9780367139377</v>
      </c>
      <c r="H1236" t="s">
        <v>171</v>
      </c>
      <c r="I1236" t="s">
        <v>2306</v>
      </c>
      <c r="J1236" t="s">
        <v>2307</v>
      </c>
      <c r="K1236" t="s">
        <v>55</v>
      </c>
      <c r="Q1236" t="s">
        <v>47</v>
      </c>
      <c r="R1236" t="s">
        <v>44</v>
      </c>
      <c r="S1236">
        <v>0</v>
      </c>
      <c r="W1236" s="3">
        <v>5.2893518518518515E-3</v>
      </c>
      <c r="X1236" t="s">
        <v>2829</v>
      </c>
      <c r="Y1236">
        <v>11</v>
      </c>
      <c r="Z1236">
        <v>0</v>
      </c>
      <c r="AA1236" t="s">
        <v>49</v>
      </c>
      <c r="AB1236">
        <v>0</v>
      </c>
      <c r="AC1236" t="s">
        <v>49</v>
      </c>
      <c r="AD1236">
        <v>0</v>
      </c>
      <c r="AE1236">
        <v>-1</v>
      </c>
      <c r="AF1236" t="s">
        <v>50</v>
      </c>
      <c r="AG1236" t="s">
        <v>388</v>
      </c>
    </row>
    <row r="1237" spans="1:33" x14ac:dyDescent="0.35">
      <c r="A1237" s="1">
        <v>44874.820138888892</v>
      </c>
      <c r="B1237">
        <v>5842531</v>
      </c>
      <c r="C1237" t="s">
        <v>2830</v>
      </c>
      <c r="D1237" t="s">
        <v>473</v>
      </c>
      <c r="E1237" s="2">
        <v>43664</v>
      </c>
      <c r="F1237" t="str">
        <f>"9789004398665"</f>
        <v>9789004398665</v>
      </c>
      <c r="G1237" t="str">
        <f>"9789004398658"</f>
        <v>9789004398658</v>
      </c>
      <c r="H1237" t="s">
        <v>2717</v>
      </c>
      <c r="K1237" t="s">
        <v>55</v>
      </c>
      <c r="Q1237" t="s">
        <v>47</v>
      </c>
      <c r="R1237" t="s">
        <v>44</v>
      </c>
      <c r="S1237">
        <v>0</v>
      </c>
      <c r="W1237" s="3">
        <v>4.0509259259259258E-4</v>
      </c>
      <c r="X1237" t="s">
        <v>2831</v>
      </c>
      <c r="Y1237">
        <v>9</v>
      </c>
      <c r="Z1237">
        <v>0</v>
      </c>
      <c r="AA1237" t="s">
        <v>49</v>
      </c>
      <c r="AB1237">
        <v>0</v>
      </c>
      <c r="AC1237" t="s">
        <v>49</v>
      </c>
      <c r="AD1237">
        <v>0</v>
      </c>
      <c r="AE1237">
        <v>-1</v>
      </c>
      <c r="AF1237" t="s">
        <v>50</v>
      </c>
      <c r="AG1237" t="s">
        <v>2241</v>
      </c>
    </row>
    <row r="1238" spans="1:33" x14ac:dyDescent="0.35">
      <c r="A1238" s="1">
        <v>44874.818749999999</v>
      </c>
      <c r="B1238">
        <v>4183127</v>
      </c>
      <c r="C1238" t="s">
        <v>190</v>
      </c>
      <c r="D1238" t="s">
        <v>59</v>
      </c>
      <c r="E1238" s="2">
        <v>42310</v>
      </c>
      <c r="F1238" t="str">
        <f>"9783527684649"</f>
        <v>9783527684649</v>
      </c>
      <c r="G1238" t="str">
        <f>"9783527331659"</f>
        <v>9783527331659</v>
      </c>
      <c r="H1238" t="s">
        <v>191</v>
      </c>
      <c r="I1238" t="s">
        <v>192</v>
      </c>
      <c r="J1238" t="s">
        <v>193</v>
      </c>
      <c r="K1238" t="s">
        <v>44</v>
      </c>
      <c r="N1238" t="s">
        <v>45</v>
      </c>
      <c r="O1238" t="s">
        <v>46</v>
      </c>
      <c r="P1238" t="s">
        <v>45</v>
      </c>
      <c r="Q1238" t="s">
        <v>47</v>
      </c>
      <c r="R1238" t="s">
        <v>44</v>
      </c>
      <c r="S1238">
        <v>0</v>
      </c>
      <c r="W1238" s="3">
        <v>2.0717592592592593E-3</v>
      </c>
      <c r="X1238" t="s">
        <v>2832</v>
      </c>
      <c r="Y1238">
        <v>5</v>
      </c>
      <c r="Z1238">
        <v>0</v>
      </c>
      <c r="AA1238" t="s">
        <v>2833</v>
      </c>
      <c r="AB1238">
        <v>123</v>
      </c>
      <c r="AC1238" t="s">
        <v>49</v>
      </c>
      <c r="AD1238">
        <v>0</v>
      </c>
      <c r="AE1238">
        <v>11125579</v>
      </c>
      <c r="AF1238" t="s">
        <v>63</v>
      </c>
      <c r="AG1238" t="s">
        <v>388</v>
      </c>
    </row>
    <row r="1239" spans="1:33" x14ac:dyDescent="0.35">
      <c r="A1239" s="1">
        <v>44874.799305555556</v>
      </c>
      <c r="B1239">
        <v>7103474</v>
      </c>
      <c r="C1239" t="s">
        <v>2834</v>
      </c>
      <c r="D1239" t="s">
        <v>59</v>
      </c>
      <c r="E1239" s="2">
        <v>41337</v>
      </c>
      <c r="F1239" t="str">
        <f>"9781118273913"</f>
        <v>9781118273913</v>
      </c>
      <c r="G1239" t="str">
        <f>"9781405193603"</f>
        <v>9781405193603</v>
      </c>
      <c r="H1239" t="s">
        <v>162</v>
      </c>
      <c r="K1239" t="s">
        <v>44</v>
      </c>
      <c r="N1239" t="s">
        <v>45</v>
      </c>
      <c r="O1239" t="s">
        <v>46</v>
      </c>
      <c r="P1239" t="s">
        <v>45</v>
      </c>
      <c r="Q1239" t="s">
        <v>47</v>
      </c>
      <c r="R1239" t="s">
        <v>44</v>
      </c>
      <c r="S1239">
        <v>0</v>
      </c>
      <c r="W1239" s="3">
        <v>1.6782407407407409E-2</v>
      </c>
      <c r="X1239" t="s">
        <v>2835</v>
      </c>
      <c r="Y1239">
        <v>13</v>
      </c>
      <c r="Z1239">
        <v>0</v>
      </c>
      <c r="AA1239" t="s">
        <v>49</v>
      </c>
      <c r="AB1239">
        <v>0</v>
      </c>
      <c r="AC1239" t="s">
        <v>49</v>
      </c>
      <c r="AD1239">
        <v>0</v>
      </c>
      <c r="AE1239">
        <v>-1</v>
      </c>
      <c r="AF1239" t="s">
        <v>50</v>
      </c>
      <c r="AG1239" t="s">
        <v>2241</v>
      </c>
    </row>
    <row r="1240" spans="1:33" x14ac:dyDescent="0.35">
      <c r="A1240" s="1">
        <v>44874.712500000001</v>
      </c>
      <c r="B1240">
        <v>1016094</v>
      </c>
      <c r="C1240" t="s">
        <v>2836</v>
      </c>
      <c r="D1240" t="s">
        <v>76</v>
      </c>
      <c r="E1240" s="2">
        <v>41038</v>
      </c>
      <c r="F1240" t="str">
        <f>"9781136251795"</f>
        <v>9781136251795</v>
      </c>
      <c r="G1240" t="str">
        <f>"9780415622868"</f>
        <v>9780415622868</v>
      </c>
      <c r="H1240" t="s">
        <v>1396</v>
      </c>
      <c r="I1240">
        <v>909.09749269999998</v>
      </c>
      <c r="J1240" t="s">
        <v>2837</v>
      </c>
      <c r="K1240" t="s">
        <v>44</v>
      </c>
      <c r="N1240" t="s">
        <v>45</v>
      </c>
      <c r="O1240" t="s">
        <v>46</v>
      </c>
      <c r="P1240" t="s">
        <v>45</v>
      </c>
      <c r="Q1240" t="s">
        <v>47</v>
      </c>
      <c r="R1240" t="s">
        <v>44</v>
      </c>
      <c r="S1240">
        <v>0</v>
      </c>
      <c r="W1240" s="3">
        <v>3.0671296296296297E-3</v>
      </c>
      <c r="X1240" t="s">
        <v>2838</v>
      </c>
      <c r="Y1240">
        <v>15</v>
      </c>
      <c r="Z1240">
        <v>0</v>
      </c>
      <c r="AA1240" t="s">
        <v>49</v>
      </c>
      <c r="AB1240">
        <v>0</v>
      </c>
      <c r="AC1240" t="s">
        <v>49</v>
      </c>
      <c r="AD1240">
        <v>0</v>
      </c>
      <c r="AE1240">
        <v>10596326</v>
      </c>
      <c r="AF1240" t="s">
        <v>50</v>
      </c>
      <c r="AG1240" t="s">
        <v>2241</v>
      </c>
    </row>
    <row r="1241" spans="1:33" x14ac:dyDescent="0.35">
      <c r="A1241" s="1">
        <v>44874.678472222222</v>
      </c>
      <c r="B1241">
        <v>180072</v>
      </c>
      <c r="C1241" t="s">
        <v>2798</v>
      </c>
      <c r="D1241" t="s">
        <v>76</v>
      </c>
      <c r="E1241" s="2">
        <v>35194</v>
      </c>
      <c r="F1241" t="str">
        <f>"9780203403600"</f>
        <v>9780203403600</v>
      </c>
      <c r="G1241" t="str">
        <f>"9780415020633"</f>
        <v>9780415020633</v>
      </c>
      <c r="H1241" t="s">
        <v>2799</v>
      </c>
      <c r="I1241" t="s">
        <v>2800</v>
      </c>
      <c r="J1241" t="s">
        <v>2801</v>
      </c>
      <c r="K1241" t="s">
        <v>44</v>
      </c>
      <c r="N1241" t="s">
        <v>45</v>
      </c>
      <c r="O1241" t="s">
        <v>46</v>
      </c>
      <c r="P1241" t="s">
        <v>45</v>
      </c>
      <c r="Q1241" t="s">
        <v>47</v>
      </c>
      <c r="R1241" t="s">
        <v>44</v>
      </c>
      <c r="S1241">
        <v>0</v>
      </c>
      <c r="W1241" s="3">
        <v>1.0543981481481481E-2</v>
      </c>
      <c r="X1241" t="s">
        <v>2839</v>
      </c>
      <c r="Y1241">
        <v>15</v>
      </c>
      <c r="Z1241">
        <v>0</v>
      </c>
      <c r="AA1241" t="s">
        <v>49</v>
      </c>
      <c r="AB1241">
        <v>0</v>
      </c>
      <c r="AC1241" t="s">
        <v>2625</v>
      </c>
      <c r="AD1241">
        <v>1</v>
      </c>
      <c r="AE1241">
        <v>11163958</v>
      </c>
      <c r="AF1241" t="s">
        <v>63</v>
      </c>
      <c r="AG1241" t="s">
        <v>670</v>
      </c>
    </row>
    <row r="1242" spans="1:33" x14ac:dyDescent="0.35">
      <c r="A1242" s="1">
        <v>44874.670138888891</v>
      </c>
      <c r="B1242">
        <v>536977</v>
      </c>
      <c r="C1242" t="s">
        <v>1900</v>
      </c>
      <c r="D1242" t="s">
        <v>507</v>
      </c>
      <c r="E1242" s="2">
        <v>40043</v>
      </c>
      <c r="F1242" t="str">
        <f>"9780748637942"</f>
        <v>9780748637942</v>
      </c>
      <c r="G1242" t="str">
        <f>"9780748637928"</f>
        <v>9780748637928</v>
      </c>
      <c r="H1242" t="s">
        <v>162</v>
      </c>
      <c r="I1242">
        <v>297</v>
      </c>
      <c r="J1242" t="s">
        <v>1901</v>
      </c>
      <c r="K1242" t="s">
        <v>44</v>
      </c>
      <c r="N1242" t="s">
        <v>45</v>
      </c>
      <c r="O1242" t="s">
        <v>46</v>
      </c>
      <c r="P1242" t="s">
        <v>45</v>
      </c>
      <c r="Q1242" t="s">
        <v>47</v>
      </c>
      <c r="R1242" t="s">
        <v>44</v>
      </c>
      <c r="S1242">
        <v>1</v>
      </c>
      <c r="W1242" s="3">
        <v>1.861111111111111E-2</v>
      </c>
      <c r="X1242" t="s">
        <v>2840</v>
      </c>
      <c r="Y1242">
        <v>30</v>
      </c>
      <c r="Z1242">
        <v>1</v>
      </c>
      <c r="AA1242" t="s">
        <v>1346</v>
      </c>
      <c r="AB1242">
        <v>4</v>
      </c>
      <c r="AC1242" t="s">
        <v>49</v>
      </c>
      <c r="AD1242">
        <v>0</v>
      </c>
      <c r="AE1242">
        <v>10391780</v>
      </c>
      <c r="AF1242" t="s">
        <v>63</v>
      </c>
      <c r="AG1242" t="s">
        <v>670</v>
      </c>
    </row>
    <row r="1243" spans="1:33" x14ac:dyDescent="0.35">
      <c r="A1243" s="1">
        <v>44874.668749999997</v>
      </c>
      <c r="B1243">
        <v>3338641</v>
      </c>
      <c r="C1243" t="s">
        <v>302</v>
      </c>
      <c r="D1243" t="s">
        <v>303</v>
      </c>
      <c r="E1243" s="2">
        <v>39143</v>
      </c>
      <c r="F1243" t="str">
        <f>"9780262282888"</f>
        <v>9780262282888</v>
      </c>
      <c r="G1243" t="str">
        <f>"9780262195577"</f>
        <v>9780262195577</v>
      </c>
      <c r="H1243" t="s">
        <v>304</v>
      </c>
      <c r="I1243" t="s">
        <v>305</v>
      </c>
      <c r="K1243" t="s">
        <v>44</v>
      </c>
      <c r="N1243" t="s">
        <v>45</v>
      </c>
      <c r="O1243" t="s">
        <v>46</v>
      </c>
      <c r="P1243" t="s">
        <v>45</v>
      </c>
      <c r="Q1243" t="s">
        <v>47</v>
      </c>
      <c r="R1243" t="s">
        <v>44</v>
      </c>
      <c r="S1243">
        <v>0</v>
      </c>
      <c r="W1243" s="3">
        <v>1.273148148148148E-4</v>
      </c>
      <c r="X1243" t="s">
        <v>205</v>
      </c>
      <c r="Y1243">
        <v>2</v>
      </c>
      <c r="Z1243">
        <v>0</v>
      </c>
      <c r="AA1243" t="s">
        <v>49</v>
      </c>
      <c r="AB1243">
        <v>0</v>
      </c>
      <c r="AC1243" t="s">
        <v>49</v>
      </c>
      <c r="AD1243">
        <v>0</v>
      </c>
      <c r="AE1243">
        <v>10173702</v>
      </c>
      <c r="AF1243" t="s">
        <v>50</v>
      </c>
      <c r="AG1243" t="s">
        <v>1235</v>
      </c>
    </row>
    <row r="1244" spans="1:33" x14ac:dyDescent="0.35">
      <c r="A1244" s="1">
        <v>44874.621527777781</v>
      </c>
      <c r="B1244">
        <v>6748444</v>
      </c>
      <c r="C1244" t="s">
        <v>2841</v>
      </c>
      <c r="D1244" t="s">
        <v>769</v>
      </c>
      <c r="E1244" s="2">
        <v>44501</v>
      </c>
      <c r="F1244" t="str">
        <f>"9781000399615"</f>
        <v>9781000399615</v>
      </c>
      <c r="G1244" t="str">
        <f>"9781032011585"</f>
        <v>9781032011585</v>
      </c>
      <c r="H1244" t="s">
        <v>116</v>
      </c>
      <c r="I1244">
        <v>662.88</v>
      </c>
      <c r="J1244" t="s">
        <v>2842</v>
      </c>
      <c r="K1244" t="s">
        <v>55</v>
      </c>
      <c r="Q1244" t="s">
        <v>47</v>
      </c>
      <c r="R1244" t="s">
        <v>44</v>
      </c>
      <c r="S1244">
        <v>0</v>
      </c>
      <c r="W1244" s="3">
        <v>9.2592592592592585E-4</v>
      </c>
      <c r="X1244" t="s">
        <v>205</v>
      </c>
      <c r="Y1244">
        <v>2</v>
      </c>
      <c r="Z1244">
        <v>0</v>
      </c>
      <c r="AA1244" t="s">
        <v>49</v>
      </c>
      <c r="AB1244">
        <v>0</v>
      </c>
      <c r="AC1244" t="s">
        <v>49</v>
      </c>
      <c r="AD1244">
        <v>0</v>
      </c>
      <c r="AE1244">
        <v>-1</v>
      </c>
      <c r="AF1244" t="s">
        <v>50</v>
      </c>
      <c r="AG1244" t="s">
        <v>1309</v>
      </c>
    </row>
    <row r="1245" spans="1:33" x14ac:dyDescent="0.35">
      <c r="A1245" s="1">
        <v>44874.619444444441</v>
      </c>
      <c r="B1245">
        <v>1910683</v>
      </c>
      <c r="C1245" t="s">
        <v>2843</v>
      </c>
      <c r="D1245" t="s">
        <v>371</v>
      </c>
      <c r="E1245" s="2">
        <v>41724</v>
      </c>
      <c r="F1245" t="str">
        <f>"9783038263630"</f>
        <v>9783038263630</v>
      </c>
      <c r="G1245" t="str">
        <f>"9783037859827"</f>
        <v>9783037859827</v>
      </c>
      <c r="H1245" t="s">
        <v>639</v>
      </c>
      <c r="K1245" t="s">
        <v>44</v>
      </c>
      <c r="N1245" t="s">
        <v>45</v>
      </c>
      <c r="O1245" t="s">
        <v>46</v>
      </c>
      <c r="P1245" t="s">
        <v>45</v>
      </c>
      <c r="Q1245" t="s">
        <v>47</v>
      </c>
      <c r="R1245" t="s">
        <v>44</v>
      </c>
      <c r="S1245">
        <v>0</v>
      </c>
      <c r="W1245" s="3">
        <v>1.3888888888888889E-3</v>
      </c>
      <c r="X1245" t="s">
        <v>2844</v>
      </c>
      <c r="Y1245">
        <v>7</v>
      </c>
      <c r="Z1245">
        <v>0</v>
      </c>
      <c r="AA1245" t="s">
        <v>49</v>
      </c>
      <c r="AB1245">
        <v>0</v>
      </c>
      <c r="AC1245" t="s">
        <v>49</v>
      </c>
      <c r="AD1245">
        <v>0</v>
      </c>
      <c r="AE1245">
        <v>10846241</v>
      </c>
      <c r="AF1245" t="s">
        <v>50</v>
      </c>
      <c r="AG1245" t="s">
        <v>1309</v>
      </c>
    </row>
    <row r="1246" spans="1:33" x14ac:dyDescent="0.35">
      <c r="A1246" s="1">
        <v>44874.616666666669</v>
      </c>
      <c r="B1246">
        <v>5159641</v>
      </c>
      <c r="C1246" t="s">
        <v>2845</v>
      </c>
      <c r="D1246" t="s">
        <v>115</v>
      </c>
      <c r="E1246" s="2">
        <v>43913</v>
      </c>
      <c r="F1246" t="str">
        <f>"9783110538151"</f>
        <v>9783110538151</v>
      </c>
      <c r="G1246" t="str">
        <f>"9783110537789"</f>
        <v>9783110537789</v>
      </c>
      <c r="H1246" t="s">
        <v>1112</v>
      </c>
      <c r="I1246" t="s">
        <v>2846</v>
      </c>
      <c r="J1246" t="s">
        <v>2847</v>
      </c>
      <c r="K1246" t="s">
        <v>55</v>
      </c>
      <c r="Q1246" t="s">
        <v>47</v>
      </c>
      <c r="R1246" t="s">
        <v>44</v>
      </c>
      <c r="S1246">
        <v>0</v>
      </c>
      <c r="W1246" s="3">
        <v>1.9328703703703704E-3</v>
      </c>
      <c r="X1246" t="s">
        <v>2848</v>
      </c>
      <c r="Y1246">
        <v>9</v>
      </c>
      <c r="Z1246">
        <v>0</v>
      </c>
      <c r="AA1246" t="s">
        <v>49</v>
      </c>
      <c r="AB1246">
        <v>0</v>
      </c>
      <c r="AC1246" t="s">
        <v>49</v>
      </c>
      <c r="AD1246">
        <v>0</v>
      </c>
      <c r="AE1246">
        <v>-1</v>
      </c>
      <c r="AF1246" t="s">
        <v>50</v>
      </c>
      <c r="AG1246" t="s">
        <v>1309</v>
      </c>
    </row>
    <row r="1247" spans="1:33" x14ac:dyDescent="0.35">
      <c r="A1247" s="1">
        <v>44874.614583333336</v>
      </c>
      <c r="B1247">
        <v>989095</v>
      </c>
      <c r="C1247" t="s">
        <v>2849</v>
      </c>
      <c r="D1247" t="s">
        <v>502</v>
      </c>
      <c r="E1247" s="2">
        <v>41235</v>
      </c>
      <c r="F1247" t="str">
        <f>"9781139554084"</f>
        <v>9781139554084</v>
      </c>
      <c r="G1247" t="str">
        <f>"9780521855983"</f>
        <v>9780521855983</v>
      </c>
      <c r="H1247" t="s">
        <v>2850</v>
      </c>
      <c r="I1247">
        <v>561.19988999999998</v>
      </c>
      <c r="J1247" t="s">
        <v>2851</v>
      </c>
      <c r="K1247" t="s">
        <v>44</v>
      </c>
      <c r="N1247" t="s">
        <v>45</v>
      </c>
      <c r="O1247" t="s">
        <v>46</v>
      </c>
      <c r="P1247" t="s">
        <v>45</v>
      </c>
      <c r="Q1247" t="s">
        <v>47</v>
      </c>
      <c r="R1247" t="s">
        <v>44</v>
      </c>
      <c r="S1247">
        <v>0</v>
      </c>
      <c r="W1247" s="3">
        <v>1.0069444444444444E-3</v>
      </c>
      <c r="X1247" t="s">
        <v>2852</v>
      </c>
      <c r="Y1247">
        <v>21</v>
      </c>
      <c r="Z1247">
        <v>0</v>
      </c>
      <c r="AA1247" t="s">
        <v>49</v>
      </c>
      <c r="AB1247">
        <v>0</v>
      </c>
      <c r="AC1247" t="s">
        <v>49</v>
      </c>
      <c r="AD1247">
        <v>0</v>
      </c>
      <c r="AE1247">
        <v>10621743</v>
      </c>
      <c r="AF1247" t="s">
        <v>50</v>
      </c>
      <c r="AG1247" t="s">
        <v>670</v>
      </c>
    </row>
    <row r="1248" spans="1:33" x14ac:dyDescent="0.35">
      <c r="A1248" s="1">
        <v>44874.606249999997</v>
      </c>
      <c r="B1248">
        <v>4180287</v>
      </c>
      <c r="C1248" t="s">
        <v>2643</v>
      </c>
      <c r="D1248" t="s">
        <v>59</v>
      </c>
      <c r="E1248" s="2">
        <v>42150</v>
      </c>
      <c r="F1248" t="str">
        <f>"9781118825730"</f>
        <v>9781118825730</v>
      </c>
      <c r="G1248" t="str">
        <f>"9781118825686"</f>
        <v>9781118825686</v>
      </c>
      <c r="H1248" t="s">
        <v>90</v>
      </c>
      <c r="I1248">
        <v>378.1662</v>
      </c>
      <c r="J1248" t="s">
        <v>2644</v>
      </c>
      <c r="K1248" t="s">
        <v>44</v>
      </c>
      <c r="N1248" t="s">
        <v>45</v>
      </c>
      <c r="O1248" t="s">
        <v>46</v>
      </c>
      <c r="P1248" t="s">
        <v>45</v>
      </c>
      <c r="Q1248" t="s">
        <v>47</v>
      </c>
      <c r="R1248" t="s">
        <v>44</v>
      </c>
      <c r="S1248">
        <v>0</v>
      </c>
      <c r="W1248" s="3">
        <v>3.4722222222222222E-5</v>
      </c>
      <c r="X1248" t="s">
        <v>121</v>
      </c>
      <c r="Y1248">
        <v>1</v>
      </c>
      <c r="Z1248">
        <v>0</v>
      </c>
      <c r="AA1248" t="s">
        <v>49</v>
      </c>
      <c r="AB1248">
        <v>0</v>
      </c>
      <c r="AC1248" t="s">
        <v>49</v>
      </c>
      <c r="AD1248">
        <v>0</v>
      </c>
      <c r="AE1248">
        <v>11270066</v>
      </c>
      <c r="AF1248" t="s">
        <v>50</v>
      </c>
      <c r="AG1248" t="s">
        <v>388</v>
      </c>
    </row>
    <row r="1249" spans="1:33" x14ac:dyDescent="0.35">
      <c r="A1249" s="1">
        <v>44874.604166666664</v>
      </c>
      <c r="B1249">
        <v>589949</v>
      </c>
      <c r="C1249" t="s">
        <v>2388</v>
      </c>
      <c r="D1249" t="s">
        <v>76</v>
      </c>
      <c r="E1249" s="2">
        <v>40402</v>
      </c>
      <c r="F1249" t="str">
        <f>"9781420086034"</f>
        <v>9781420086034</v>
      </c>
      <c r="G1249" t="str">
        <f>"9781420086027"</f>
        <v>9781420086027</v>
      </c>
      <c r="H1249" t="s">
        <v>60</v>
      </c>
      <c r="I1249">
        <v>658.5</v>
      </c>
      <c r="J1249" t="s">
        <v>2389</v>
      </c>
      <c r="K1249" t="s">
        <v>44</v>
      </c>
      <c r="N1249" t="s">
        <v>45</v>
      </c>
      <c r="O1249" t="s">
        <v>46</v>
      </c>
      <c r="P1249" t="s">
        <v>45</v>
      </c>
      <c r="Q1249" t="s">
        <v>47</v>
      </c>
      <c r="R1249" t="s">
        <v>44</v>
      </c>
      <c r="S1249">
        <v>0</v>
      </c>
      <c r="W1249" s="3">
        <v>3.4722222222222222E-5</v>
      </c>
      <c r="X1249" t="s">
        <v>2390</v>
      </c>
      <c r="Y1249">
        <v>1</v>
      </c>
      <c r="Z1249">
        <v>0</v>
      </c>
      <c r="AA1249" t="s">
        <v>49</v>
      </c>
      <c r="AB1249">
        <v>0</v>
      </c>
      <c r="AC1249" t="s">
        <v>49</v>
      </c>
      <c r="AD1249">
        <v>0</v>
      </c>
      <c r="AE1249">
        <v>10419911</v>
      </c>
      <c r="AF1249" t="s">
        <v>50</v>
      </c>
      <c r="AG1249" t="s">
        <v>2612</v>
      </c>
    </row>
    <row r="1250" spans="1:33" x14ac:dyDescent="0.35">
      <c r="A1250" s="1">
        <v>44874.59375</v>
      </c>
      <c r="B1250">
        <v>469749</v>
      </c>
      <c r="C1250" t="s">
        <v>2784</v>
      </c>
      <c r="D1250" t="s">
        <v>1458</v>
      </c>
      <c r="E1250" s="2">
        <v>39693</v>
      </c>
      <c r="F1250" t="str">
        <f>"9780470282069"</f>
        <v>9780470282069</v>
      </c>
      <c r="G1250" t="str">
        <f>"9780470105252"</f>
        <v>9780470105252</v>
      </c>
      <c r="H1250" t="s">
        <v>1112</v>
      </c>
      <c r="I1250">
        <v>660.28319999999997</v>
      </c>
      <c r="J1250" t="s">
        <v>2785</v>
      </c>
      <c r="K1250" t="s">
        <v>44</v>
      </c>
      <c r="N1250" t="s">
        <v>45</v>
      </c>
      <c r="O1250" t="s">
        <v>46</v>
      </c>
      <c r="P1250" t="s">
        <v>45</v>
      </c>
      <c r="Q1250" t="s">
        <v>47</v>
      </c>
      <c r="R1250" t="s">
        <v>44</v>
      </c>
      <c r="S1250">
        <v>0</v>
      </c>
      <c r="W1250" s="3">
        <v>3.4722222222222222E-5</v>
      </c>
      <c r="X1250" t="s">
        <v>121</v>
      </c>
      <c r="Y1250">
        <v>1</v>
      </c>
      <c r="Z1250">
        <v>0</v>
      </c>
      <c r="AA1250" t="s">
        <v>49</v>
      </c>
      <c r="AB1250">
        <v>0</v>
      </c>
      <c r="AC1250" t="s">
        <v>49</v>
      </c>
      <c r="AD1250">
        <v>0</v>
      </c>
      <c r="AE1250">
        <v>10296771</v>
      </c>
      <c r="AF1250" t="s">
        <v>50</v>
      </c>
      <c r="AG1250" t="s">
        <v>2786</v>
      </c>
    </row>
    <row r="1251" spans="1:33" x14ac:dyDescent="0.35">
      <c r="A1251" s="1">
        <v>44874.577777777777</v>
      </c>
      <c r="B1251">
        <v>848526</v>
      </c>
      <c r="C1251" t="s">
        <v>2541</v>
      </c>
      <c r="D1251" t="s">
        <v>59</v>
      </c>
      <c r="E1251" s="2">
        <v>41212</v>
      </c>
      <c r="F1251" t="str">
        <f>"9781118310069"</f>
        <v>9781118310069</v>
      </c>
      <c r="G1251" t="str">
        <f>"9780470566671"</f>
        <v>9780470566671</v>
      </c>
      <c r="H1251" t="s">
        <v>2542</v>
      </c>
      <c r="I1251">
        <v>610.28</v>
      </c>
      <c r="J1251" t="s">
        <v>2543</v>
      </c>
      <c r="K1251" t="s">
        <v>44</v>
      </c>
      <c r="N1251" t="s">
        <v>45</v>
      </c>
      <c r="O1251" t="s">
        <v>46</v>
      </c>
      <c r="P1251" t="s">
        <v>45</v>
      </c>
      <c r="Q1251" t="s">
        <v>47</v>
      </c>
      <c r="R1251" t="s">
        <v>44</v>
      </c>
      <c r="S1251">
        <v>0</v>
      </c>
      <c r="W1251" s="3">
        <v>3.1678240740740743E-2</v>
      </c>
      <c r="X1251" t="s">
        <v>2853</v>
      </c>
      <c r="Y1251">
        <v>26</v>
      </c>
      <c r="Z1251">
        <v>0</v>
      </c>
      <c r="AA1251" t="s">
        <v>49</v>
      </c>
      <c r="AB1251">
        <v>0</v>
      </c>
      <c r="AC1251" t="s">
        <v>49</v>
      </c>
      <c r="AD1251">
        <v>0</v>
      </c>
      <c r="AE1251">
        <v>10615085</v>
      </c>
      <c r="AF1251" t="s">
        <v>63</v>
      </c>
      <c r="AG1251" t="s">
        <v>1536</v>
      </c>
    </row>
    <row r="1252" spans="1:33" x14ac:dyDescent="0.35">
      <c r="A1252" s="1">
        <v>44874.522222222222</v>
      </c>
      <c r="B1252">
        <v>279494</v>
      </c>
      <c r="C1252" t="s">
        <v>1333</v>
      </c>
      <c r="D1252" t="s">
        <v>125</v>
      </c>
      <c r="E1252" s="2">
        <v>37280</v>
      </c>
      <c r="F1252" t="str">
        <f>"9780198032953"</f>
        <v>9780198032953</v>
      </c>
      <c r="G1252" t="str">
        <f>"9780195144208"</f>
        <v>9780195144208</v>
      </c>
      <c r="H1252" t="s">
        <v>667</v>
      </c>
      <c r="I1252" t="s">
        <v>1334</v>
      </c>
      <c r="J1252" t="s">
        <v>1335</v>
      </c>
      <c r="K1252" t="s">
        <v>44</v>
      </c>
      <c r="N1252" t="s">
        <v>45</v>
      </c>
      <c r="O1252" t="s">
        <v>46</v>
      </c>
      <c r="P1252" t="s">
        <v>45</v>
      </c>
      <c r="Q1252" t="s">
        <v>47</v>
      </c>
      <c r="R1252" t="s">
        <v>44</v>
      </c>
      <c r="S1252">
        <v>0</v>
      </c>
      <c r="W1252" s="3">
        <v>6.9444444444444444E-5</v>
      </c>
      <c r="X1252" t="s">
        <v>196</v>
      </c>
      <c r="Y1252">
        <v>2</v>
      </c>
      <c r="Z1252">
        <v>0</v>
      </c>
      <c r="AA1252" t="s">
        <v>49</v>
      </c>
      <c r="AB1252">
        <v>0</v>
      </c>
      <c r="AC1252" t="s">
        <v>49</v>
      </c>
      <c r="AD1252">
        <v>0</v>
      </c>
      <c r="AE1252">
        <v>11303309</v>
      </c>
      <c r="AF1252" t="s">
        <v>50</v>
      </c>
      <c r="AG1252" t="s">
        <v>2854</v>
      </c>
    </row>
    <row r="1253" spans="1:33" x14ac:dyDescent="0.35">
      <c r="A1253" s="1">
        <v>44874.501388888886</v>
      </c>
      <c r="B1253">
        <v>668821</v>
      </c>
      <c r="C1253" t="s">
        <v>2731</v>
      </c>
      <c r="D1253" t="s">
        <v>76</v>
      </c>
      <c r="E1253" s="2">
        <v>40661</v>
      </c>
      <c r="F1253" t="str">
        <f>"9780203835043"</f>
        <v>9780203835043</v>
      </c>
      <c r="G1253" t="str">
        <f>"9780415548229"</f>
        <v>9780415548229</v>
      </c>
      <c r="H1253" t="s">
        <v>162</v>
      </c>
      <c r="I1253">
        <v>297.4092</v>
      </c>
      <c r="J1253" t="s">
        <v>2732</v>
      </c>
      <c r="K1253" t="s">
        <v>44</v>
      </c>
      <c r="N1253" t="s">
        <v>45</v>
      </c>
      <c r="O1253" t="s">
        <v>46</v>
      </c>
      <c r="P1253" t="s">
        <v>45</v>
      </c>
      <c r="Q1253" t="s">
        <v>47</v>
      </c>
      <c r="R1253" t="s">
        <v>44</v>
      </c>
      <c r="S1253">
        <v>1</v>
      </c>
      <c r="W1253" s="3">
        <v>1.5046296296296294E-3</v>
      </c>
      <c r="X1253" t="s">
        <v>2855</v>
      </c>
      <c r="Y1253">
        <v>14</v>
      </c>
      <c r="Z1253">
        <v>0</v>
      </c>
      <c r="AA1253" t="s">
        <v>49</v>
      </c>
      <c r="AB1253">
        <v>0</v>
      </c>
      <c r="AC1253" t="s">
        <v>49</v>
      </c>
      <c r="AD1253">
        <v>0</v>
      </c>
      <c r="AE1253">
        <v>10522474</v>
      </c>
      <c r="AF1253" t="s">
        <v>63</v>
      </c>
      <c r="AG1253" t="s">
        <v>388</v>
      </c>
    </row>
    <row r="1254" spans="1:33" x14ac:dyDescent="0.35">
      <c r="A1254" s="1">
        <v>44874.49722222222</v>
      </c>
      <c r="B1254">
        <v>668821</v>
      </c>
      <c r="C1254" t="s">
        <v>2731</v>
      </c>
      <c r="D1254" t="s">
        <v>76</v>
      </c>
      <c r="E1254" s="2">
        <v>40661</v>
      </c>
      <c r="F1254" t="str">
        <f>"9780203835043"</f>
        <v>9780203835043</v>
      </c>
      <c r="G1254" t="str">
        <f>"9780415548229"</f>
        <v>9780415548229</v>
      </c>
      <c r="H1254" t="s">
        <v>162</v>
      </c>
      <c r="I1254">
        <v>297.4092</v>
      </c>
      <c r="J1254" t="s">
        <v>2732</v>
      </c>
      <c r="K1254" t="s">
        <v>44</v>
      </c>
      <c r="N1254" t="s">
        <v>45</v>
      </c>
      <c r="O1254" t="s">
        <v>46</v>
      </c>
      <c r="P1254" t="s">
        <v>45</v>
      </c>
      <c r="Q1254" t="s">
        <v>47</v>
      </c>
      <c r="R1254" t="s">
        <v>44</v>
      </c>
      <c r="S1254">
        <v>0</v>
      </c>
      <c r="W1254" s="3">
        <v>4.4791666666666669E-3</v>
      </c>
      <c r="X1254" t="s">
        <v>2856</v>
      </c>
      <c r="Y1254">
        <v>20</v>
      </c>
      <c r="Z1254">
        <v>1</v>
      </c>
      <c r="AA1254" t="s">
        <v>2857</v>
      </c>
      <c r="AB1254">
        <v>45</v>
      </c>
      <c r="AC1254" t="s">
        <v>49</v>
      </c>
      <c r="AD1254">
        <v>0</v>
      </c>
      <c r="AE1254">
        <v>10522474</v>
      </c>
      <c r="AF1254" t="s">
        <v>63</v>
      </c>
      <c r="AG1254" t="s">
        <v>388</v>
      </c>
    </row>
    <row r="1255" spans="1:33" x14ac:dyDescent="0.35">
      <c r="A1255" s="1">
        <v>44874.466666666667</v>
      </c>
      <c r="B1255">
        <v>4180287</v>
      </c>
      <c r="C1255" t="s">
        <v>2643</v>
      </c>
      <c r="D1255" t="s">
        <v>59</v>
      </c>
      <c r="E1255" s="2">
        <v>42150</v>
      </c>
      <c r="F1255" t="str">
        <f>"9781118825730"</f>
        <v>9781118825730</v>
      </c>
      <c r="G1255" t="str">
        <f>"9781118825686"</f>
        <v>9781118825686</v>
      </c>
      <c r="H1255" t="s">
        <v>90</v>
      </c>
      <c r="I1255">
        <v>378.1662</v>
      </c>
      <c r="J1255" t="s">
        <v>2644</v>
      </c>
      <c r="K1255" t="s">
        <v>44</v>
      </c>
      <c r="N1255" t="s">
        <v>45</v>
      </c>
      <c r="O1255" t="s">
        <v>46</v>
      </c>
      <c r="P1255" t="s">
        <v>45</v>
      </c>
      <c r="Q1255" t="s">
        <v>47</v>
      </c>
      <c r="R1255" t="s">
        <v>44</v>
      </c>
      <c r="S1255">
        <v>0</v>
      </c>
      <c r="W1255" s="3">
        <v>2.1921296296296296E-2</v>
      </c>
      <c r="X1255" t="s">
        <v>2858</v>
      </c>
      <c r="Y1255">
        <v>32</v>
      </c>
      <c r="Z1255">
        <v>0</v>
      </c>
      <c r="AA1255" t="s">
        <v>49</v>
      </c>
      <c r="AB1255">
        <v>0</v>
      </c>
      <c r="AC1255" t="s">
        <v>49</v>
      </c>
      <c r="AD1255">
        <v>0</v>
      </c>
      <c r="AE1255">
        <v>11270066</v>
      </c>
      <c r="AF1255" t="s">
        <v>50</v>
      </c>
      <c r="AG1255" t="s">
        <v>388</v>
      </c>
    </row>
    <row r="1256" spans="1:33" x14ac:dyDescent="0.35">
      <c r="A1256" s="1">
        <v>44874.436805555553</v>
      </c>
      <c r="B1256">
        <v>536977</v>
      </c>
      <c r="C1256" t="s">
        <v>1900</v>
      </c>
      <c r="D1256" t="s">
        <v>507</v>
      </c>
      <c r="E1256" s="2">
        <v>40043</v>
      </c>
      <c r="F1256" t="str">
        <f>"9780748637942"</f>
        <v>9780748637942</v>
      </c>
      <c r="G1256" t="str">
        <f>"9780748637928"</f>
        <v>9780748637928</v>
      </c>
      <c r="H1256" t="s">
        <v>162</v>
      </c>
      <c r="I1256">
        <v>297</v>
      </c>
      <c r="J1256" t="s">
        <v>1901</v>
      </c>
      <c r="K1256" t="s">
        <v>44</v>
      </c>
      <c r="N1256" t="s">
        <v>45</v>
      </c>
      <c r="O1256" t="s">
        <v>46</v>
      </c>
      <c r="P1256" t="s">
        <v>45</v>
      </c>
      <c r="Q1256" t="s">
        <v>47</v>
      </c>
      <c r="R1256" t="s">
        <v>44</v>
      </c>
      <c r="S1256">
        <v>1</v>
      </c>
      <c r="W1256" s="3">
        <v>0</v>
      </c>
      <c r="X1256" t="s">
        <v>49</v>
      </c>
      <c r="Y1256">
        <v>0</v>
      </c>
      <c r="Z1256">
        <v>0</v>
      </c>
      <c r="AA1256" t="s">
        <v>49</v>
      </c>
      <c r="AB1256">
        <v>0</v>
      </c>
      <c r="AC1256" t="s">
        <v>49</v>
      </c>
      <c r="AD1256">
        <v>0</v>
      </c>
      <c r="AE1256">
        <v>10391780</v>
      </c>
      <c r="AF1256" t="s">
        <v>63</v>
      </c>
      <c r="AG1256" t="s">
        <v>1309</v>
      </c>
    </row>
    <row r="1257" spans="1:33" x14ac:dyDescent="0.35">
      <c r="A1257" s="1">
        <v>44874.419444444444</v>
      </c>
      <c r="B1257">
        <v>226052</v>
      </c>
      <c r="C1257" t="s">
        <v>2859</v>
      </c>
      <c r="D1257" t="s">
        <v>1139</v>
      </c>
      <c r="E1257" s="2">
        <v>38260</v>
      </c>
      <c r="F1257" t="str">
        <f>"9781402021060"</f>
        <v>9781402021060</v>
      </c>
      <c r="G1257" t="str">
        <f>"9781402020391"</f>
        <v>9781402020391</v>
      </c>
      <c r="H1257" t="s">
        <v>100</v>
      </c>
      <c r="I1257">
        <v>629.13235999999995</v>
      </c>
      <c r="J1257" t="s">
        <v>1994</v>
      </c>
      <c r="K1257" t="s">
        <v>55</v>
      </c>
      <c r="N1257" t="s">
        <v>79</v>
      </c>
      <c r="P1257" t="s">
        <v>80</v>
      </c>
      <c r="Q1257" t="s">
        <v>47</v>
      </c>
      <c r="R1257" t="s">
        <v>44</v>
      </c>
      <c r="S1257">
        <v>1</v>
      </c>
      <c r="T1257">
        <v>90</v>
      </c>
      <c r="U1257" s="1">
        <v>44874.419444444444</v>
      </c>
      <c r="V1257" s="1">
        <v>44964.419444444444</v>
      </c>
      <c r="W1257" s="3">
        <v>0</v>
      </c>
      <c r="X1257" t="s">
        <v>49</v>
      </c>
      <c r="Y1257">
        <v>0</v>
      </c>
      <c r="Z1257">
        <v>0</v>
      </c>
      <c r="AA1257" t="s">
        <v>49</v>
      </c>
      <c r="AB1257">
        <v>0</v>
      </c>
      <c r="AC1257" t="s">
        <v>49</v>
      </c>
      <c r="AD1257">
        <v>0</v>
      </c>
      <c r="AE1257">
        <v>10129349</v>
      </c>
      <c r="AF1257" t="s">
        <v>63</v>
      </c>
      <c r="AG1257" t="s">
        <v>388</v>
      </c>
    </row>
    <row r="1258" spans="1:33" x14ac:dyDescent="0.35">
      <c r="A1258" s="1">
        <v>44874.413194444445</v>
      </c>
      <c r="B1258">
        <v>4744344</v>
      </c>
      <c r="C1258" t="s">
        <v>2860</v>
      </c>
      <c r="D1258" t="s">
        <v>76</v>
      </c>
      <c r="E1258" s="2">
        <v>41211</v>
      </c>
      <c r="F1258" t="str">
        <f>"9781439867662"</f>
        <v>9781439867662</v>
      </c>
      <c r="G1258" t="str">
        <f>"9781439867655"</f>
        <v>9781439867655</v>
      </c>
      <c r="H1258" t="s">
        <v>2861</v>
      </c>
      <c r="I1258">
        <v>543.57000000000005</v>
      </c>
      <c r="J1258" t="s">
        <v>2862</v>
      </c>
      <c r="K1258" t="s">
        <v>44</v>
      </c>
      <c r="N1258" t="s">
        <v>45</v>
      </c>
      <c r="O1258" t="s">
        <v>46</v>
      </c>
      <c r="P1258" t="s">
        <v>45</v>
      </c>
      <c r="Q1258" t="s">
        <v>47</v>
      </c>
      <c r="R1258" t="s">
        <v>44</v>
      </c>
      <c r="S1258">
        <v>0</v>
      </c>
      <c r="W1258" s="3">
        <v>1.8518518518518518E-4</v>
      </c>
      <c r="X1258" t="s">
        <v>2863</v>
      </c>
      <c r="Y1258">
        <v>2</v>
      </c>
      <c r="Z1258">
        <v>0</v>
      </c>
      <c r="AA1258" t="s">
        <v>49</v>
      </c>
      <c r="AB1258">
        <v>0</v>
      </c>
      <c r="AC1258" t="s">
        <v>49</v>
      </c>
      <c r="AD1258">
        <v>0</v>
      </c>
      <c r="AE1258">
        <v>11317677</v>
      </c>
      <c r="AF1258" t="s">
        <v>50</v>
      </c>
      <c r="AG1258" t="s">
        <v>388</v>
      </c>
    </row>
    <row r="1259" spans="1:33" x14ac:dyDescent="0.35">
      <c r="A1259" s="1">
        <v>44874.406944444447</v>
      </c>
      <c r="B1259">
        <v>848526</v>
      </c>
      <c r="C1259" t="s">
        <v>2541</v>
      </c>
      <c r="D1259" t="s">
        <v>59</v>
      </c>
      <c r="E1259" s="2">
        <v>41212</v>
      </c>
      <c r="F1259" t="str">
        <f>"9781118310069"</f>
        <v>9781118310069</v>
      </c>
      <c r="G1259" t="str">
        <f>"9780470566671"</f>
        <v>9780470566671</v>
      </c>
      <c r="H1259" t="s">
        <v>2542</v>
      </c>
      <c r="I1259">
        <v>610.28</v>
      </c>
      <c r="J1259" t="s">
        <v>2543</v>
      </c>
      <c r="K1259" t="s">
        <v>44</v>
      </c>
      <c r="N1259" t="s">
        <v>45</v>
      </c>
      <c r="O1259" t="s">
        <v>46</v>
      </c>
      <c r="P1259" t="s">
        <v>45</v>
      </c>
      <c r="Q1259" t="s">
        <v>47</v>
      </c>
      <c r="R1259" t="s">
        <v>44</v>
      </c>
      <c r="S1259">
        <v>0</v>
      </c>
      <c r="W1259" s="3">
        <v>4.1319444444444442E-3</v>
      </c>
      <c r="X1259" t="s">
        <v>2864</v>
      </c>
      <c r="Y1259">
        <v>23</v>
      </c>
      <c r="Z1259">
        <v>0</v>
      </c>
      <c r="AA1259" t="s">
        <v>49</v>
      </c>
      <c r="AB1259">
        <v>0</v>
      </c>
      <c r="AC1259" t="s">
        <v>49</v>
      </c>
      <c r="AD1259">
        <v>0</v>
      </c>
      <c r="AE1259">
        <v>10615085</v>
      </c>
      <c r="AF1259" t="s">
        <v>50</v>
      </c>
      <c r="AG1259" t="s">
        <v>388</v>
      </c>
    </row>
    <row r="1260" spans="1:33" x14ac:dyDescent="0.35">
      <c r="A1260" s="1">
        <v>44874.40347222222</v>
      </c>
      <c r="B1260">
        <v>3019517</v>
      </c>
      <c r="C1260" t="s">
        <v>2865</v>
      </c>
      <c r="D1260" t="s">
        <v>137</v>
      </c>
      <c r="E1260" s="2">
        <v>40513</v>
      </c>
      <c r="F1260" t="str">
        <f>"9781613243831"</f>
        <v>9781613243831</v>
      </c>
      <c r="G1260" t="str">
        <f>"9781616688356"</f>
        <v>9781616688356</v>
      </c>
      <c r="H1260" t="s">
        <v>2866</v>
      </c>
      <c r="I1260" t="s">
        <v>2867</v>
      </c>
      <c r="J1260" t="s">
        <v>2868</v>
      </c>
      <c r="K1260" t="s">
        <v>44</v>
      </c>
      <c r="N1260" t="s">
        <v>45</v>
      </c>
      <c r="O1260" t="s">
        <v>46</v>
      </c>
      <c r="P1260" t="s">
        <v>177</v>
      </c>
      <c r="Q1260" t="s">
        <v>47</v>
      </c>
      <c r="R1260" t="s">
        <v>55</v>
      </c>
      <c r="S1260">
        <v>0</v>
      </c>
      <c r="W1260" s="3">
        <v>1.5046296296296294E-3</v>
      </c>
      <c r="X1260" t="s">
        <v>2869</v>
      </c>
      <c r="Y1260">
        <v>26</v>
      </c>
      <c r="Z1260">
        <v>0</v>
      </c>
      <c r="AA1260" t="s">
        <v>49</v>
      </c>
      <c r="AB1260">
        <v>0</v>
      </c>
      <c r="AC1260" t="s">
        <v>49</v>
      </c>
      <c r="AD1260">
        <v>0</v>
      </c>
      <c r="AE1260">
        <v>10671082</v>
      </c>
      <c r="AF1260" t="s">
        <v>50</v>
      </c>
      <c r="AG1260" t="s">
        <v>388</v>
      </c>
    </row>
    <row r="1261" spans="1:33" x14ac:dyDescent="0.35">
      <c r="A1261" s="1">
        <v>44874.369444444441</v>
      </c>
      <c r="B1261">
        <v>3443125</v>
      </c>
      <c r="C1261" t="s">
        <v>2870</v>
      </c>
      <c r="D1261" t="s">
        <v>2871</v>
      </c>
      <c r="E1261" s="2">
        <v>38078</v>
      </c>
      <c r="F1261" t="str">
        <f>"9780292797406"</f>
        <v>9780292797406</v>
      </c>
      <c r="G1261" t="str">
        <f>"9780292701601"</f>
        <v>9780292701601</v>
      </c>
      <c r="H1261" t="s">
        <v>667</v>
      </c>
      <c r="I1261" t="s">
        <v>2872</v>
      </c>
      <c r="J1261" t="s">
        <v>2873</v>
      </c>
      <c r="K1261" t="s">
        <v>44</v>
      </c>
      <c r="N1261" t="s">
        <v>45</v>
      </c>
      <c r="O1261" t="s">
        <v>46</v>
      </c>
      <c r="P1261" t="s">
        <v>45</v>
      </c>
      <c r="Q1261" t="s">
        <v>47</v>
      </c>
      <c r="R1261" t="s">
        <v>44</v>
      </c>
      <c r="S1261">
        <v>0</v>
      </c>
      <c r="W1261" s="3">
        <v>4.836805555555556E-2</v>
      </c>
      <c r="X1261" t="s">
        <v>2874</v>
      </c>
      <c r="Y1261">
        <v>47</v>
      </c>
      <c r="Z1261">
        <v>0</v>
      </c>
      <c r="AA1261" t="s">
        <v>49</v>
      </c>
      <c r="AB1261">
        <v>0</v>
      </c>
      <c r="AC1261" t="s">
        <v>49</v>
      </c>
      <c r="AD1261">
        <v>0</v>
      </c>
      <c r="AE1261">
        <v>10194803</v>
      </c>
      <c r="AF1261" t="s">
        <v>50</v>
      </c>
      <c r="AG1261" t="s">
        <v>670</v>
      </c>
    </row>
    <row r="1262" spans="1:33" x14ac:dyDescent="0.35">
      <c r="A1262" s="1">
        <v>44874.36041666667</v>
      </c>
      <c r="B1262">
        <v>430459</v>
      </c>
      <c r="C1262" t="s">
        <v>2875</v>
      </c>
      <c r="D1262" t="s">
        <v>125</v>
      </c>
      <c r="E1262" s="2">
        <v>35551</v>
      </c>
      <c r="F1262" t="str">
        <f>"9780195348774"</f>
        <v>9780195348774</v>
      </c>
      <c r="G1262" t="str">
        <f>"9780195149791"</f>
        <v>9780195149791</v>
      </c>
      <c r="H1262" t="s">
        <v>667</v>
      </c>
      <c r="I1262">
        <v>956.70442000000003</v>
      </c>
      <c r="J1262" t="s">
        <v>2876</v>
      </c>
      <c r="K1262" t="s">
        <v>44</v>
      </c>
      <c r="N1262" t="s">
        <v>45</v>
      </c>
      <c r="O1262" t="s">
        <v>46</v>
      </c>
      <c r="P1262" t="s">
        <v>45</v>
      </c>
      <c r="Q1262" t="s">
        <v>47</v>
      </c>
      <c r="R1262" t="s">
        <v>44</v>
      </c>
      <c r="S1262">
        <v>0</v>
      </c>
      <c r="W1262" s="3">
        <v>4.7708333333333332E-2</v>
      </c>
      <c r="X1262" t="s">
        <v>2877</v>
      </c>
      <c r="Y1262">
        <v>45</v>
      </c>
      <c r="Z1262">
        <v>0</v>
      </c>
      <c r="AA1262" t="s">
        <v>49</v>
      </c>
      <c r="AB1262">
        <v>0</v>
      </c>
      <c r="AC1262" t="s">
        <v>2878</v>
      </c>
      <c r="AD1262">
        <v>1</v>
      </c>
      <c r="AE1262">
        <v>10358361</v>
      </c>
      <c r="AF1262" t="s">
        <v>50</v>
      </c>
      <c r="AG1262" t="s">
        <v>670</v>
      </c>
    </row>
    <row r="1263" spans="1:33" x14ac:dyDescent="0.35">
      <c r="A1263" s="1">
        <v>44874.337500000001</v>
      </c>
      <c r="B1263">
        <v>989158</v>
      </c>
      <c r="C1263" t="s">
        <v>2879</v>
      </c>
      <c r="D1263" t="s">
        <v>502</v>
      </c>
      <c r="E1263" s="2">
        <v>41148</v>
      </c>
      <c r="F1263" t="str">
        <f>"9781139553940"</f>
        <v>9781139553940</v>
      </c>
      <c r="G1263" t="str">
        <f>"9780521119825"</f>
        <v>9780521119825</v>
      </c>
      <c r="H1263" t="s">
        <v>90</v>
      </c>
      <c r="I1263" t="s">
        <v>2880</v>
      </c>
      <c r="J1263" t="s">
        <v>2881</v>
      </c>
      <c r="K1263" t="s">
        <v>44</v>
      </c>
      <c r="N1263" t="s">
        <v>45</v>
      </c>
      <c r="O1263" t="s">
        <v>46</v>
      </c>
      <c r="P1263" t="s">
        <v>45</v>
      </c>
      <c r="Q1263" t="s">
        <v>47</v>
      </c>
      <c r="R1263" t="s">
        <v>44</v>
      </c>
      <c r="S1263">
        <v>0</v>
      </c>
      <c r="W1263" s="3">
        <v>3.1250000000000001E-4</v>
      </c>
      <c r="X1263" t="s">
        <v>2882</v>
      </c>
      <c r="Y1263">
        <v>10</v>
      </c>
      <c r="Z1263">
        <v>0</v>
      </c>
      <c r="AA1263" t="s">
        <v>49</v>
      </c>
      <c r="AB1263">
        <v>0</v>
      </c>
      <c r="AC1263" t="s">
        <v>49</v>
      </c>
      <c r="AD1263">
        <v>0</v>
      </c>
      <c r="AE1263">
        <v>10602819</v>
      </c>
      <c r="AF1263" t="s">
        <v>50</v>
      </c>
      <c r="AG1263" t="s">
        <v>118</v>
      </c>
    </row>
    <row r="1264" spans="1:33" x14ac:dyDescent="0.35">
      <c r="A1264" s="1">
        <v>44874.336805555555</v>
      </c>
      <c r="B1264">
        <v>279494</v>
      </c>
      <c r="C1264" t="s">
        <v>1333</v>
      </c>
      <c r="D1264" t="s">
        <v>125</v>
      </c>
      <c r="E1264" s="2">
        <v>37280</v>
      </c>
      <c r="F1264" t="str">
        <f>"9780198032953"</f>
        <v>9780198032953</v>
      </c>
      <c r="G1264" t="str">
        <f>"9780195144208"</f>
        <v>9780195144208</v>
      </c>
      <c r="H1264" t="s">
        <v>667</v>
      </c>
      <c r="I1264" t="s">
        <v>1334</v>
      </c>
      <c r="J1264" t="s">
        <v>1335</v>
      </c>
      <c r="K1264" t="s">
        <v>44</v>
      </c>
      <c r="N1264" t="s">
        <v>45</v>
      </c>
      <c r="O1264" t="s">
        <v>46</v>
      </c>
      <c r="P1264" t="s">
        <v>45</v>
      </c>
      <c r="Q1264" t="s">
        <v>47</v>
      </c>
      <c r="R1264" t="s">
        <v>44</v>
      </c>
      <c r="S1264">
        <v>0</v>
      </c>
      <c r="W1264" s="3">
        <v>1.861111111111111E-2</v>
      </c>
      <c r="X1264" t="s">
        <v>2883</v>
      </c>
      <c r="Y1264">
        <v>4</v>
      </c>
      <c r="Z1264">
        <v>0</v>
      </c>
      <c r="AA1264" t="s">
        <v>49</v>
      </c>
      <c r="AB1264">
        <v>0</v>
      </c>
      <c r="AC1264" t="s">
        <v>49</v>
      </c>
      <c r="AD1264">
        <v>0</v>
      </c>
      <c r="AE1264">
        <v>11303309</v>
      </c>
      <c r="AF1264" t="s">
        <v>50</v>
      </c>
      <c r="AG1264" t="s">
        <v>670</v>
      </c>
    </row>
    <row r="1265" spans="1:33" x14ac:dyDescent="0.35">
      <c r="A1265" s="1">
        <v>44874.162499999999</v>
      </c>
      <c r="B1265">
        <v>319160</v>
      </c>
      <c r="C1265" t="s">
        <v>2884</v>
      </c>
      <c r="D1265" t="s">
        <v>65</v>
      </c>
      <c r="E1265" s="2">
        <v>37242</v>
      </c>
      <c r="F1265" t="str">
        <f>"9780080523842"</f>
        <v>9780080523842</v>
      </c>
      <c r="G1265" t="str">
        <f>"9780750674980"</f>
        <v>9780750674980</v>
      </c>
      <c r="H1265" t="s">
        <v>290</v>
      </c>
      <c r="I1265" t="s">
        <v>2885</v>
      </c>
      <c r="J1265" t="s">
        <v>2886</v>
      </c>
      <c r="K1265" t="s">
        <v>44</v>
      </c>
      <c r="N1265" t="s">
        <v>45</v>
      </c>
      <c r="O1265" t="s">
        <v>46</v>
      </c>
      <c r="P1265" t="s">
        <v>45</v>
      </c>
      <c r="Q1265" t="s">
        <v>47</v>
      </c>
      <c r="R1265" t="s">
        <v>44</v>
      </c>
      <c r="S1265">
        <v>0</v>
      </c>
      <c r="W1265" s="3">
        <v>6.7129629629629625E-4</v>
      </c>
      <c r="X1265" t="s">
        <v>2887</v>
      </c>
      <c r="Y1265">
        <v>13</v>
      </c>
      <c r="Z1265">
        <v>0</v>
      </c>
      <c r="AA1265" t="s">
        <v>49</v>
      </c>
      <c r="AB1265">
        <v>0</v>
      </c>
      <c r="AC1265" t="s">
        <v>49</v>
      </c>
      <c r="AD1265">
        <v>0</v>
      </c>
      <c r="AE1265">
        <v>10206099</v>
      </c>
      <c r="AF1265" t="s">
        <v>63</v>
      </c>
      <c r="AG1265" t="s">
        <v>2241</v>
      </c>
    </row>
    <row r="1266" spans="1:33" x14ac:dyDescent="0.35">
      <c r="A1266" s="1">
        <v>44874.145833333336</v>
      </c>
      <c r="B1266">
        <v>6478244</v>
      </c>
      <c r="C1266" t="s">
        <v>2694</v>
      </c>
      <c r="D1266" t="s">
        <v>59</v>
      </c>
      <c r="E1266" s="2">
        <v>44250</v>
      </c>
      <c r="F1266" t="str">
        <f>"9781119765240"</f>
        <v>9781119765240</v>
      </c>
      <c r="G1266" t="str">
        <f>"9781119765226"</f>
        <v>9781119765226</v>
      </c>
      <c r="H1266" t="s">
        <v>261</v>
      </c>
      <c r="I1266">
        <v>628.29999999999995</v>
      </c>
      <c r="J1266" t="s">
        <v>2695</v>
      </c>
      <c r="K1266" t="s">
        <v>55</v>
      </c>
      <c r="Q1266" t="s">
        <v>47</v>
      </c>
      <c r="R1266" t="s">
        <v>44</v>
      </c>
      <c r="S1266">
        <v>0</v>
      </c>
      <c r="W1266" s="3">
        <v>8.611111111111111E-3</v>
      </c>
      <c r="X1266" t="s">
        <v>2888</v>
      </c>
      <c r="Y1266">
        <v>18</v>
      </c>
      <c r="Z1266">
        <v>0</v>
      </c>
      <c r="AA1266" t="s">
        <v>49</v>
      </c>
      <c r="AB1266">
        <v>0</v>
      </c>
      <c r="AC1266" t="s">
        <v>49</v>
      </c>
      <c r="AD1266">
        <v>0</v>
      </c>
      <c r="AE1266">
        <v>-1</v>
      </c>
      <c r="AF1266" t="s">
        <v>63</v>
      </c>
      <c r="AG1266" t="s">
        <v>2241</v>
      </c>
    </row>
    <row r="1267" spans="1:33" x14ac:dyDescent="0.35">
      <c r="A1267" s="1">
        <v>44874.144444444442</v>
      </c>
      <c r="B1267">
        <v>5598515</v>
      </c>
      <c r="C1267" t="s">
        <v>2889</v>
      </c>
      <c r="D1267" t="s">
        <v>614</v>
      </c>
      <c r="E1267" s="2">
        <v>43419</v>
      </c>
      <c r="F1267" t="str">
        <f>"9789811332593"</f>
        <v>9789811332593</v>
      </c>
      <c r="G1267" t="str">
        <f>"9789811332586"</f>
        <v>9789811332586</v>
      </c>
      <c r="H1267" t="s">
        <v>261</v>
      </c>
      <c r="I1267">
        <v>628.29999999999995</v>
      </c>
      <c r="J1267" t="s">
        <v>2890</v>
      </c>
      <c r="K1267" t="s">
        <v>55</v>
      </c>
      <c r="Q1267" t="s">
        <v>47</v>
      </c>
      <c r="R1267" t="s">
        <v>44</v>
      </c>
      <c r="S1267">
        <v>0</v>
      </c>
      <c r="W1267" s="3">
        <v>1.1226851851851851E-3</v>
      </c>
      <c r="X1267" t="s">
        <v>2245</v>
      </c>
      <c r="Y1267">
        <v>4</v>
      </c>
      <c r="Z1267">
        <v>0</v>
      </c>
      <c r="AA1267" t="s">
        <v>49</v>
      </c>
      <c r="AB1267">
        <v>0</v>
      </c>
      <c r="AC1267" t="s">
        <v>49</v>
      </c>
      <c r="AD1267">
        <v>0</v>
      </c>
      <c r="AE1267">
        <v>-1</v>
      </c>
      <c r="AF1267" t="s">
        <v>50</v>
      </c>
      <c r="AG1267" t="s">
        <v>2241</v>
      </c>
    </row>
    <row r="1268" spans="1:33" x14ac:dyDescent="0.35">
      <c r="A1268" s="1">
        <v>44874.037499999999</v>
      </c>
      <c r="B1268">
        <v>1956703</v>
      </c>
      <c r="C1268" t="s">
        <v>2789</v>
      </c>
      <c r="D1268" t="s">
        <v>473</v>
      </c>
      <c r="E1268" s="2">
        <v>42047</v>
      </c>
      <c r="F1268" t="str">
        <f>"9789004289468"</f>
        <v>9789004289468</v>
      </c>
      <c r="G1268" t="str">
        <f>"9789004288072"</f>
        <v>9789004288072</v>
      </c>
      <c r="H1268" t="s">
        <v>162</v>
      </c>
      <c r="I1268" t="s">
        <v>2790</v>
      </c>
      <c r="J1268" t="s">
        <v>2791</v>
      </c>
      <c r="K1268" t="s">
        <v>44</v>
      </c>
      <c r="N1268" t="s">
        <v>45</v>
      </c>
      <c r="O1268" t="s">
        <v>46</v>
      </c>
      <c r="P1268" t="s">
        <v>45</v>
      </c>
      <c r="Q1268" t="s">
        <v>47</v>
      </c>
      <c r="R1268" t="s">
        <v>44</v>
      </c>
      <c r="S1268">
        <v>0</v>
      </c>
      <c r="W1268" s="3">
        <v>1.6087962962962963E-3</v>
      </c>
      <c r="X1268" t="s">
        <v>2891</v>
      </c>
      <c r="Y1268">
        <v>18</v>
      </c>
      <c r="Z1268">
        <v>0</v>
      </c>
      <c r="AA1268" t="s">
        <v>49</v>
      </c>
      <c r="AB1268">
        <v>0</v>
      </c>
      <c r="AC1268" t="s">
        <v>49</v>
      </c>
      <c r="AD1268">
        <v>0</v>
      </c>
      <c r="AE1268">
        <v>11021012</v>
      </c>
      <c r="AF1268" t="s">
        <v>50</v>
      </c>
      <c r="AG1268" t="s">
        <v>388</v>
      </c>
    </row>
    <row r="1269" spans="1:33" x14ac:dyDescent="0.35">
      <c r="A1269" s="1">
        <v>44873.982638888891</v>
      </c>
      <c r="B1269">
        <v>3108909</v>
      </c>
      <c r="C1269" t="s">
        <v>2892</v>
      </c>
      <c r="D1269" t="s">
        <v>1139</v>
      </c>
      <c r="E1269" s="2">
        <v>34303</v>
      </c>
      <c r="F1269" t="str">
        <f>"9789401106917"</f>
        <v>9789401106917</v>
      </c>
      <c r="G1269" t="str">
        <f>"9789401042987"</f>
        <v>9789401042987</v>
      </c>
      <c r="H1269" t="s">
        <v>214</v>
      </c>
      <c r="I1269">
        <v>541.37</v>
      </c>
      <c r="J1269" t="s">
        <v>2893</v>
      </c>
      <c r="K1269" t="s">
        <v>44</v>
      </c>
      <c r="N1269" t="s">
        <v>45</v>
      </c>
      <c r="O1269" t="s">
        <v>46</v>
      </c>
      <c r="P1269" t="s">
        <v>45</v>
      </c>
      <c r="Q1269" t="s">
        <v>47</v>
      </c>
      <c r="R1269" t="s">
        <v>44</v>
      </c>
      <c r="S1269">
        <v>1</v>
      </c>
      <c r="W1269" s="3">
        <v>0</v>
      </c>
      <c r="X1269" t="s">
        <v>49</v>
      </c>
      <c r="Y1269">
        <v>0</v>
      </c>
      <c r="Z1269">
        <v>0</v>
      </c>
      <c r="AA1269" t="s">
        <v>49</v>
      </c>
      <c r="AB1269">
        <v>0</v>
      </c>
      <c r="AC1269" t="s">
        <v>49</v>
      </c>
      <c r="AD1269">
        <v>0</v>
      </c>
      <c r="AE1269">
        <v>11039313</v>
      </c>
      <c r="AF1269" t="s">
        <v>63</v>
      </c>
      <c r="AG1269" t="s">
        <v>2433</v>
      </c>
    </row>
    <row r="1270" spans="1:33" x14ac:dyDescent="0.35">
      <c r="A1270" s="1">
        <v>44873.915277777778</v>
      </c>
      <c r="B1270">
        <v>6404826</v>
      </c>
      <c r="C1270" t="s">
        <v>2894</v>
      </c>
      <c r="D1270" t="s">
        <v>65</v>
      </c>
      <c r="E1270" s="2">
        <v>44160</v>
      </c>
      <c r="F1270" t="str">
        <f>"9780128185049"</f>
        <v>9780128185049</v>
      </c>
      <c r="G1270" t="str">
        <f>"9780128185032"</f>
        <v>9780128185032</v>
      </c>
      <c r="H1270" t="s">
        <v>857</v>
      </c>
      <c r="I1270">
        <v>621.40219999999999</v>
      </c>
      <c r="J1270" t="s">
        <v>2895</v>
      </c>
      <c r="K1270" t="s">
        <v>55</v>
      </c>
      <c r="Q1270" t="s">
        <v>47</v>
      </c>
      <c r="R1270" t="s">
        <v>44</v>
      </c>
      <c r="S1270">
        <v>0</v>
      </c>
      <c r="W1270" s="3">
        <v>1.1226851851851851E-3</v>
      </c>
      <c r="X1270" t="s">
        <v>2896</v>
      </c>
      <c r="Y1270">
        <v>2</v>
      </c>
      <c r="Z1270">
        <v>0</v>
      </c>
      <c r="AA1270" t="s">
        <v>49</v>
      </c>
      <c r="AB1270">
        <v>0</v>
      </c>
      <c r="AC1270" t="s">
        <v>49</v>
      </c>
      <c r="AD1270">
        <v>0</v>
      </c>
      <c r="AE1270">
        <v>-1</v>
      </c>
      <c r="AF1270" t="s">
        <v>63</v>
      </c>
      <c r="AG1270" t="s">
        <v>388</v>
      </c>
    </row>
    <row r="1271" spans="1:33" x14ac:dyDescent="0.35">
      <c r="A1271" s="1">
        <v>44873.895138888889</v>
      </c>
      <c r="B1271">
        <v>1810308</v>
      </c>
      <c r="C1271" t="s">
        <v>2021</v>
      </c>
      <c r="D1271" t="s">
        <v>2022</v>
      </c>
      <c r="E1271" s="2">
        <v>41458</v>
      </c>
      <c r="F1271" t="str">
        <f>"9781443868747"</f>
        <v>9781443868747</v>
      </c>
      <c r="G1271" t="str">
        <f>"9781443847148"</f>
        <v>9781443847148</v>
      </c>
      <c r="H1271" t="s">
        <v>337</v>
      </c>
      <c r="I1271" t="s">
        <v>2023</v>
      </c>
      <c r="J1271" t="s">
        <v>2024</v>
      </c>
      <c r="K1271" t="s">
        <v>44</v>
      </c>
      <c r="N1271" t="s">
        <v>45</v>
      </c>
      <c r="O1271" t="s">
        <v>46</v>
      </c>
      <c r="P1271" t="s">
        <v>45</v>
      </c>
      <c r="Q1271" t="s">
        <v>47</v>
      </c>
      <c r="R1271" t="s">
        <v>44</v>
      </c>
      <c r="S1271">
        <v>0</v>
      </c>
      <c r="W1271" s="3">
        <v>3.3564814814814811E-3</v>
      </c>
      <c r="X1271" t="s">
        <v>2897</v>
      </c>
      <c r="Y1271">
        <v>15</v>
      </c>
      <c r="Z1271">
        <v>0</v>
      </c>
      <c r="AA1271" t="s">
        <v>49</v>
      </c>
      <c r="AB1271">
        <v>0</v>
      </c>
      <c r="AC1271" t="s">
        <v>49</v>
      </c>
      <c r="AD1271">
        <v>0</v>
      </c>
      <c r="AE1271">
        <v>10949396</v>
      </c>
      <c r="AF1271" t="s">
        <v>50</v>
      </c>
      <c r="AG1271" t="s">
        <v>388</v>
      </c>
    </row>
    <row r="1272" spans="1:33" x14ac:dyDescent="0.35">
      <c r="A1272" s="1">
        <v>44873.878472222219</v>
      </c>
      <c r="B1272">
        <v>3420792</v>
      </c>
      <c r="C1272" t="s">
        <v>346</v>
      </c>
      <c r="D1272" t="s">
        <v>347</v>
      </c>
      <c r="E1272" s="2">
        <v>41058</v>
      </c>
      <c r="F1272" t="str">
        <f>"9780300184907"</f>
        <v>9780300184907</v>
      </c>
      <c r="G1272" t="str">
        <f>"9780300180862"</f>
        <v>9780300180862</v>
      </c>
      <c r="H1272" t="s">
        <v>348</v>
      </c>
      <c r="I1272" t="s">
        <v>343</v>
      </c>
      <c r="J1272" t="s">
        <v>349</v>
      </c>
      <c r="K1272" t="s">
        <v>44</v>
      </c>
      <c r="N1272" t="s">
        <v>45</v>
      </c>
      <c r="O1272" t="s">
        <v>46</v>
      </c>
      <c r="P1272" t="s">
        <v>45</v>
      </c>
      <c r="Q1272" t="s">
        <v>47</v>
      </c>
      <c r="R1272" t="s">
        <v>44</v>
      </c>
      <c r="S1272">
        <v>0</v>
      </c>
      <c r="W1272" s="3">
        <v>3.5925925925925924E-2</v>
      </c>
      <c r="X1272" t="s">
        <v>2898</v>
      </c>
      <c r="Y1272">
        <v>26</v>
      </c>
      <c r="Z1272">
        <v>0</v>
      </c>
      <c r="AA1272" t="s">
        <v>49</v>
      </c>
      <c r="AB1272">
        <v>0</v>
      </c>
      <c r="AC1272" t="s">
        <v>49</v>
      </c>
      <c r="AD1272">
        <v>0</v>
      </c>
      <c r="AE1272">
        <v>10539573</v>
      </c>
      <c r="AF1272" t="s">
        <v>50</v>
      </c>
      <c r="AG1272" t="s">
        <v>388</v>
      </c>
    </row>
    <row r="1273" spans="1:33" x14ac:dyDescent="0.35">
      <c r="A1273" s="1">
        <v>44873.87777777778</v>
      </c>
      <c r="B1273">
        <v>6404826</v>
      </c>
      <c r="C1273" t="s">
        <v>2894</v>
      </c>
      <c r="D1273" t="s">
        <v>65</v>
      </c>
      <c r="E1273" s="2">
        <v>44160</v>
      </c>
      <c r="F1273" t="str">
        <f>"9780128185049"</f>
        <v>9780128185049</v>
      </c>
      <c r="G1273" t="str">
        <f>"9780128185032"</f>
        <v>9780128185032</v>
      </c>
      <c r="H1273" t="s">
        <v>857</v>
      </c>
      <c r="I1273">
        <v>621.40219999999999</v>
      </c>
      <c r="J1273" t="s">
        <v>2895</v>
      </c>
      <c r="K1273" t="s">
        <v>55</v>
      </c>
      <c r="Q1273" t="s">
        <v>47</v>
      </c>
      <c r="R1273" t="s">
        <v>44</v>
      </c>
      <c r="S1273">
        <v>0</v>
      </c>
      <c r="W1273" s="3">
        <v>7.407407407407407E-4</v>
      </c>
      <c r="X1273" t="s">
        <v>2899</v>
      </c>
      <c r="Y1273">
        <v>7</v>
      </c>
      <c r="Z1273">
        <v>0</v>
      </c>
      <c r="AA1273" t="s">
        <v>49</v>
      </c>
      <c r="AB1273">
        <v>0</v>
      </c>
      <c r="AC1273" t="s">
        <v>49</v>
      </c>
      <c r="AD1273">
        <v>0</v>
      </c>
      <c r="AE1273">
        <v>-1</v>
      </c>
      <c r="AF1273" t="s">
        <v>50</v>
      </c>
      <c r="AG1273" t="s">
        <v>388</v>
      </c>
    </row>
    <row r="1274" spans="1:33" x14ac:dyDescent="0.35">
      <c r="A1274" s="1">
        <v>44873.855555555558</v>
      </c>
      <c r="B1274">
        <v>279494</v>
      </c>
      <c r="C1274" t="s">
        <v>1333</v>
      </c>
      <c r="D1274" t="s">
        <v>125</v>
      </c>
      <c r="E1274" s="2">
        <v>37280</v>
      </c>
      <c r="F1274" t="str">
        <f>"9780198032953"</f>
        <v>9780198032953</v>
      </c>
      <c r="G1274" t="str">
        <f>"9780195144208"</f>
        <v>9780195144208</v>
      </c>
      <c r="H1274" t="s">
        <v>667</v>
      </c>
      <c r="I1274" t="s">
        <v>1334</v>
      </c>
      <c r="J1274" t="s">
        <v>1335</v>
      </c>
      <c r="K1274" t="s">
        <v>44</v>
      </c>
      <c r="N1274" t="s">
        <v>45</v>
      </c>
      <c r="O1274" t="s">
        <v>46</v>
      </c>
      <c r="P1274" t="s">
        <v>45</v>
      </c>
      <c r="Q1274" t="s">
        <v>47</v>
      </c>
      <c r="R1274" t="s">
        <v>44</v>
      </c>
      <c r="S1274">
        <v>0</v>
      </c>
      <c r="W1274" s="3">
        <v>1.8750000000000001E-3</v>
      </c>
      <c r="X1274" t="s">
        <v>2900</v>
      </c>
      <c r="Y1274">
        <v>6</v>
      </c>
      <c r="Z1274">
        <v>3</v>
      </c>
      <c r="AA1274" t="s">
        <v>2901</v>
      </c>
      <c r="AB1274">
        <v>49</v>
      </c>
      <c r="AC1274" t="s">
        <v>49</v>
      </c>
      <c r="AD1274">
        <v>0</v>
      </c>
      <c r="AE1274">
        <v>11303309</v>
      </c>
      <c r="AF1274" t="s">
        <v>50</v>
      </c>
      <c r="AG1274" t="s">
        <v>670</v>
      </c>
    </row>
    <row r="1275" spans="1:33" x14ac:dyDescent="0.35">
      <c r="A1275" s="1">
        <v>44873.84375</v>
      </c>
      <c r="B1275">
        <v>3420792</v>
      </c>
      <c r="C1275" t="s">
        <v>346</v>
      </c>
      <c r="D1275" t="s">
        <v>347</v>
      </c>
      <c r="E1275" s="2">
        <v>41058</v>
      </c>
      <c r="F1275" t="str">
        <f>"9780300184907"</f>
        <v>9780300184907</v>
      </c>
      <c r="G1275" t="str">
        <f>"9780300180862"</f>
        <v>9780300180862</v>
      </c>
      <c r="H1275" t="s">
        <v>348</v>
      </c>
      <c r="I1275" t="s">
        <v>343</v>
      </c>
      <c r="J1275" t="s">
        <v>349</v>
      </c>
      <c r="K1275" t="s">
        <v>44</v>
      </c>
      <c r="N1275" t="s">
        <v>45</v>
      </c>
      <c r="O1275" t="s">
        <v>46</v>
      </c>
      <c r="P1275" t="s">
        <v>45</v>
      </c>
      <c r="Q1275" t="s">
        <v>47</v>
      </c>
      <c r="R1275" t="s">
        <v>44</v>
      </c>
      <c r="S1275">
        <v>0</v>
      </c>
      <c r="W1275" s="3">
        <v>1.7824074074074072E-3</v>
      </c>
      <c r="X1275" t="s">
        <v>2902</v>
      </c>
      <c r="Y1275">
        <v>12</v>
      </c>
      <c r="Z1275">
        <v>0</v>
      </c>
      <c r="AA1275" t="s">
        <v>49</v>
      </c>
      <c r="AB1275">
        <v>0</v>
      </c>
      <c r="AC1275" t="s">
        <v>49</v>
      </c>
      <c r="AD1275">
        <v>0</v>
      </c>
      <c r="AE1275">
        <v>10539573</v>
      </c>
      <c r="AF1275" t="s">
        <v>50</v>
      </c>
      <c r="AG1275" t="s">
        <v>388</v>
      </c>
    </row>
    <row r="1276" spans="1:33" x14ac:dyDescent="0.35">
      <c r="A1276" s="1">
        <v>44873.837500000001</v>
      </c>
      <c r="B1276">
        <v>180072</v>
      </c>
      <c r="C1276" t="s">
        <v>2798</v>
      </c>
      <c r="D1276" t="s">
        <v>76</v>
      </c>
      <c r="E1276" s="2">
        <v>35194</v>
      </c>
      <c r="F1276" t="str">
        <f>"9780203403600"</f>
        <v>9780203403600</v>
      </c>
      <c r="G1276" t="str">
        <f>"9780415020633"</f>
        <v>9780415020633</v>
      </c>
      <c r="H1276" t="s">
        <v>2799</v>
      </c>
      <c r="I1276" t="s">
        <v>2800</v>
      </c>
      <c r="J1276" t="s">
        <v>2801</v>
      </c>
      <c r="K1276" t="s">
        <v>44</v>
      </c>
      <c r="N1276" t="s">
        <v>45</v>
      </c>
      <c r="O1276" t="s">
        <v>46</v>
      </c>
      <c r="P1276" t="s">
        <v>45</v>
      </c>
      <c r="Q1276" t="s">
        <v>47</v>
      </c>
      <c r="R1276" t="s">
        <v>44</v>
      </c>
      <c r="S1276">
        <v>0</v>
      </c>
      <c r="W1276" s="3">
        <v>1.7696759259259259E-2</v>
      </c>
      <c r="X1276" t="s">
        <v>2903</v>
      </c>
      <c r="Y1276">
        <v>24</v>
      </c>
      <c r="Z1276">
        <v>0</v>
      </c>
      <c r="AA1276" t="s">
        <v>49</v>
      </c>
      <c r="AB1276">
        <v>0</v>
      </c>
      <c r="AC1276" t="s">
        <v>49</v>
      </c>
      <c r="AD1276">
        <v>0</v>
      </c>
      <c r="AE1276">
        <v>11163958</v>
      </c>
      <c r="AF1276" t="s">
        <v>50</v>
      </c>
      <c r="AG1276" t="s">
        <v>670</v>
      </c>
    </row>
    <row r="1277" spans="1:33" x14ac:dyDescent="0.35">
      <c r="A1277" s="1">
        <v>44873.834722222222</v>
      </c>
      <c r="B1277">
        <v>1810308</v>
      </c>
      <c r="C1277" t="s">
        <v>2021</v>
      </c>
      <c r="D1277" t="s">
        <v>2022</v>
      </c>
      <c r="E1277" s="2">
        <v>41458</v>
      </c>
      <c r="F1277" t="str">
        <f>"9781443868747"</f>
        <v>9781443868747</v>
      </c>
      <c r="G1277" t="str">
        <f>"9781443847148"</f>
        <v>9781443847148</v>
      </c>
      <c r="H1277" t="s">
        <v>337</v>
      </c>
      <c r="I1277" t="s">
        <v>2023</v>
      </c>
      <c r="J1277" t="s">
        <v>2024</v>
      </c>
      <c r="K1277" t="s">
        <v>44</v>
      </c>
      <c r="N1277" t="s">
        <v>45</v>
      </c>
      <c r="O1277" t="s">
        <v>46</v>
      </c>
      <c r="P1277" t="s">
        <v>45</v>
      </c>
      <c r="Q1277" t="s">
        <v>47</v>
      </c>
      <c r="R1277" t="s">
        <v>44</v>
      </c>
      <c r="S1277">
        <v>0</v>
      </c>
      <c r="W1277" s="3">
        <v>1.5046296296296297E-4</v>
      </c>
      <c r="X1277" t="s">
        <v>2904</v>
      </c>
      <c r="Y1277">
        <v>3</v>
      </c>
      <c r="Z1277">
        <v>0</v>
      </c>
      <c r="AA1277" t="s">
        <v>49</v>
      </c>
      <c r="AB1277">
        <v>0</v>
      </c>
      <c r="AC1277" t="s">
        <v>49</v>
      </c>
      <c r="AD1277">
        <v>0</v>
      </c>
      <c r="AE1277">
        <v>10949396</v>
      </c>
      <c r="AF1277" t="s">
        <v>50</v>
      </c>
      <c r="AG1277" t="s">
        <v>388</v>
      </c>
    </row>
    <row r="1278" spans="1:33" x14ac:dyDescent="0.35">
      <c r="A1278" s="1">
        <v>44873.834027777775</v>
      </c>
      <c r="B1278">
        <v>1016094</v>
      </c>
      <c r="C1278" t="s">
        <v>2836</v>
      </c>
      <c r="D1278" t="s">
        <v>76</v>
      </c>
      <c r="E1278" s="2">
        <v>41038</v>
      </c>
      <c r="F1278" t="str">
        <f>"9781136251795"</f>
        <v>9781136251795</v>
      </c>
      <c r="G1278" t="str">
        <f>"9780415622868"</f>
        <v>9780415622868</v>
      </c>
      <c r="H1278" t="s">
        <v>1396</v>
      </c>
      <c r="I1278">
        <v>909.09749269999998</v>
      </c>
      <c r="J1278" t="s">
        <v>2837</v>
      </c>
      <c r="K1278" t="s">
        <v>44</v>
      </c>
      <c r="N1278" t="s">
        <v>45</v>
      </c>
      <c r="O1278" t="s">
        <v>46</v>
      </c>
      <c r="P1278" t="s">
        <v>45</v>
      </c>
      <c r="Q1278" t="s">
        <v>47</v>
      </c>
      <c r="R1278" t="s">
        <v>44</v>
      </c>
      <c r="S1278">
        <v>0</v>
      </c>
      <c r="W1278" s="3">
        <v>1.9907407407407408E-3</v>
      </c>
      <c r="X1278" t="s">
        <v>2905</v>
      </c>
      <c r="Y1278">
        <v>7</v>
      </c>
      <c r="Z1278">
        <v>0</v>
      </c>
      <c r="AA1278" t="s">
        <v>49</v>
      </c>
      <c r="AB1278">
        <v>0</v>
      </c>
      <c r="AC1278" t="s">
        <v>49</v>
      </c>
      <c r="AD1278">
        <v>0</v>
      </c>
      <c r="AE1278">
        <v>10596326</v>
      </c>
      <c r="AF1278" t="s">
        <v>50</v>
      </c>
      <c r="AG1278" t="s">
        <v>670</v>
      </c>
    </row>
    <row r="1279" spans="1:33" x14ac:dyDescent="0.35">
      <c r="A1279" s="1">
        <v>44873.831944444442</v>
      </c>
      <c r="B1279">
        <v>3138280</v>
      </c>
      <c r="C1279" t="s">
        <v>2906</v>
      </c>
      <c r="D1279" t="s">
        <v>2234</v>
      </c>
      <c r="E1279" s="2">
        <v>40892</v>
      </c>
      <c r="F1279" t="str">
        <f>"9780801464836"</f>
        <v>9780801464836</v>
      </c>
      <c r="G1279" t="str">
        <f>"9780801445712"</f>
        <v>9780801445712</v>
      </c>
      <c r="H1279" t="s">
        <v>162</v>
      </c>
      <c r="I1279">
        <v>297</v>
      </c>
      <c r="J1279" t="s">
        <v>2907</v>
      </c>
      <c r="K1279" t="s">
        <v>44</v>
      </c>
      <c r="N1279" t="s">
        <v>45</v>
      </c>
      <c r="O1279" t="s">
        <v>46</v>
      </c>
      <c r="P1279" t="s">
        <v>177</v>
      </c>
      <c r="Q1279" t="s">
        <v>47</v>
      </c>
      <c r="R1279" t="s">
        <v>55</v>
      </c>
      <c r="S1279">
        <v>0</v>
      </c>
      <c r="W1279" s="3">
        <v>1.4930555555555556E-3</v>
      </c>
      <c r="X1279" t="s">
        <v>2908</v>
      </c>
      <c r="Y1279">
        <v>5</v>
      </c>
      <c r="Z1279">
        <v>0</v>
      </c>
      <c r="AA1279" t="s">
        <v>49</v>
      </c>
      <c r="AB1279">
        <v>0</v>
      </c>
      <c r="AC1279" t="s">
        <v>49</v>
      </c>
      <c r="AD1279">
        <v>0</v>
      </c>
      <c r="AE1279">
        <v>10516004</v>
      </c>
      <c r="AF1279" t="s">
        <v>50</v>
      </c>
      <c r="AG1279" t="s">
        <v>388</v>
      </c>
    </row>
    <row r="1280" spans="1:33" x14ac:dyDescent="0.35">
      <c r="A1280" s="1">
        <v>44873.830555555556</v>
      </c>
      <c r="B1280">
        <v>430923</v>
      </c>
      <c r="C1280" t="s">
        <v>2909</v>
      </c>
      <c r="D1280" t="s">
        <v>125</v>
      </c>
      <c r="E1280" s="2">
        <v>39911</v>
      </c>
      <c r="F1280" t="str">
        <f>"9780199717514"</f>
        <v>9780199717514</v>
      </c>
      <c r="G1280" t="str">
        <f>"9780195321241"</f>
        <v>9780195321241</v>
      </c>
      <c r="H1280" t="s">
        <v>162</v>
      </c>
      <c r="I1280" t="s">
        <v>2910</v>
      </c>
      <c r="J1280" t="s">
        <v>2911</v>
      </c>
      <c r="K1280" t="s">
        <v>44</v>
      </c>
      <c r="N1280" t="s">
        <v>45</v>
      </c>
      <c r="O1280" t="s">
        <v>46</v>
      </c>
      <c r="P1280" t="s">
        <v>45</v>
      </c>
      <c r="Q1280" t="s">
        <v>47</v>
      </c>
      <c r="R1280" t="s">
        <v>44</v>
      </c>
      <c r="S1280">
        <v>0</v>
      </c>
      <c r="W1280" s="3">
        <v>3.2638888888888891E-3</v>
      </c>
      <c r="X1280" t="s">
        <v>2912</v>
      </c>
      <c r="Y1280">
        <v>7</v>
      </c>
      <c r="Z1280">
        <v>0</v>
      </c>
      <c r="AA1280" t="s">
        <v>49</v>
      </c>
      <c r="AB1280">
        <v>0</v>
      </c>
      <c r="AC1280" t="s">
        <v>49</v>
      </c>
      <c r="AD1280">
        <v>0</v>
      </c>
      <c r="AE1280">
        <v>10288443</v>
      </c>
      <c r="AF1280" t="s">
        <v>50</v>
      </c>
      <c r="AG1280" t="s">
        <v>388</v>
      </c>
    </row>
    <row r="1281" spans="1:33" x14ac:dyDescent="0.35">
      <c r="A1281" s="1">
        <v>44873.82708333333</v>
      </c>
      <c r="B1281">
        <v>1028099</v>
      </c>
      <c r="C1281" t="s">
        <v>2793</v>
      </c>
      <c r="D1281" t="s">
        <v>666</v>
      </c>
      <c r="E1281" s="2">
        <v>41282</v>
      </c>
      <c r="F1281" t="str">
        <f>"9780231530897"</f>
        <v>9780231530897</v>
      </c>
      <c r="G1281" t="str">
        <f>"9780231162630"</f>
        <v>9780231162630</v>
      </c>
      <c r="H1281" t="s">
        <v>425</v>
      </c>
      <c r="I1281">
        <v>320.96629999999999</v>
      </c>
      <c r="J1281" t="s">
        <v>2794</v>
      </c>
      <c r="K1281" t="s">
        <v>44</v>
      </c>
      <c r="N1281" t="s">
        <v>45</v>
      </c>
      <c r="O1281" t="s">
        <v>46</v>
      </c>
      <c r="P1281" t="s">
        <v>45</v>
      </c>
      <c r="Q1281" t="s">
        <v>47</v>
      </c>
      <c r="R1281" t="s">
        <v>44</v>
      </c>
      <c r="S1281">
        <v>0</v>
      </c>
      <c r="W1281" s="3">
        <v>2.0833333333333335E-4</v>
      </c>
      <c r="X1281" t="s">
        <v>2913</v>
      </c>
      <c r="Y1281">
        <v>6</v>
      </c>
      <c r="Z1281">
        <v>0</v>
      </c>
      <c r="AA1281" t="s">
        <v>49</v>
      </c>
      <c r="AB1281">
        <v>0</v>
      </c>
      <c r="AC1281" t="s">
        <v>49</v>
      </c>
      <c r="AD1281">
        <v>0</v>
      </c>
      <c r="AE1281">
        <v>10766059</v>
      </c>
      <c r="AF1281" t="s">
        <v>50</v>
      </c>
      <c r="AG1281" t="s">
        <v>388</v>
      </c>
    </row>
    <row r="1282" spans="1:33" x14ac:dyDescent="0.35">
      <c r="A1282" s="1">
        <v>44873.825694444444</v>
      </c>
      <c r="B1282">
        <v>536966</v>
      </c>
      <c r="C1282" t="s">
        <v>2914</v>
      </c>
      <c r="D1282" t="s">
        <v>507</v>
      </c>
      <c r="E1282" s="2">
        <v>40086</v>
      </c>
      <c r="F1282" t="str">
        <f>"9780748642090"</f>
        <v>9780748642090</v>
      </c>
      <c r="G1282" t="str">
        <f>"9780748639694"</f>
        <v>9780748639694</v>
      </c>
      <c r="H1282" t="s">
        <v>2915</v>
      </c>
      <c r="I1282">
        <v>305.697</v>
      </c>
      <c r="J1282" t="s">
        <v>2916</v>
      </c>
      <c r="K1282" t="s">
        <v>44</v>
      </c>
      <c r="N1282" t="s">
        <v>45</v>
      </c>
      <c r="O1282" t="s">
        <v>46</v>
      </c>
      <c r="P1282" t="s">
        <v>45</v>
      </c>
      <c r="Q1282" t="s">
        <v>47</v>
      </c>
      <c r="R1282" t="s">
        <v>44</v>
      </c>
      <c r="S1282">
        <v>0</v>
      </c>
      <c r="W1282" s="3">
        <v>8.2291666666666659E-3</v>
      </c>
      <c r="X1282" t="s">
        <v>2917</v>
      </c>
      <c r="Y1282">
        <v>10</v>
      </c>
      <c r="Z1282">
        <v>0</v>
      </c>
      <c r="AA1282" t="s">
        <v>49</v>
      </c>
      <c r="AB1282">
        <v>0</v>
      </c>
      <c r="AC1282" t="s">
        <v>49</v>
      </c>
      <c r="AD1282">
        <v>0</v>
      </c>
      <c r="AE1282">
        <v>10391764</v>
      </c>
      <c r="AF1282" t="s">
        <v>50</v>
      </c>
      <c r="AG1282" t="s">
        <v>388</v>
      </c>
    </row>
    <row r="1283" spans="1:33" x14ac:dyDescent="0.35">
      <c r="A1283" s="1">
        <v>44873.790277777778</v>
      </c>
      <c r="B1283">
        <v>6785033</v>
      </c>
      <c r="C1283" t="s">
        <v>2918</v>
      </c>
      <c r="D1283" t="s">
        <v>2919</v>
      </c>
      <c r="E1283" s="2">
        <v>44684</v>
      </c>
      <c r="F1283" t="str">
        <f>"9781847741745"</f>
        <v>9781847741745</v>
      </c>
      <c r="G1283" t="str">
        <f>""</f>
        <v/>
      </c>
      <c r="H1283" t="s">
        <v>1396</v>
      </c>
      <c r="I1283">
        <v>909.09767099999999</v>
      </c>
      <c r="J1283" t="s">
        <v>2920</v>
      </c>
      <c r="K1283" t="s">
        <v>55</v>
      </c>
      <c r="Q1283" t="s">
        <v>47</v>
      </c>
      <c r="R1283" t="s">
        <v>44</v>
      </c>
      <c r="S1283">
        <v>0</v>
      </c>
      <c r="W1283" s="3">
        <v>3.0567129629629628E-2</v>
      </c>
      <c r="X1283" t="s">
        <v>2921</v>
      </c>
      <c r="Y1283">
        <v>5</v>
      </c>
      <c r="Z1283">
        <v>0</v>
      </c>
      <c r="AA1283" t="s">
        <v>49</v>
      </c>
      <c r="AB1283">
        <v>0</v>
      </c>
      <c r="AC1283" t="s">
        <v>49</v>
      </c>
      <c r="AD1283">
        <v>0</v>
      </c>
      <c r="AE1283">
        <v>-1</v>
      </c>
      <c r="AF1283" t="s">
        <v>50</v>
      </c>
      <c r="AG1283" t="s">
        <v>2241</v>
      </c>
    </row>
    <row r="1284" spans="1:33" x14ac:dyDescent="0.35">
      <c r="A1284" s="1">
        <v>44873.787499999999</v>
      </c>
      <c r="B1284">
        <v>279494</v>
      </c>
      <c r="C1284" t="s">
        <v>1333</v>
      </c>
      <c r="D1284" t="s">
        <v>125</v>
      </c>
      <c r="E1284" s="2">
        <v>37280</v>
      </c>
      <c r="F1284" t="str">
        <f>"9780198032953"</f>
        <v>9780198032953</v>
      </c>
      <c r="G1284" t="str">
        <f>"9780195144208"</f>
        <v>9780195144208</v>
      </c>
      <c r="H1284" t="s">
        <v>667</v>
      </c>
      <c r="I1284" t="s">
        <v>1334</v>
      </c>
      <c r="J1284" t="s">
        <v>1335</v>
      </c>
      <c r="K1284" t="s">
        <v>44</v>
      </c>
      <c r="N1284" t="s">
        <v>45</v>
      </c>
      <c r="O1284" t="s">
        <v>46</v>
      </c>
      <c r="P1284" t="s">
        <v>45</v>
      </c>
      <c r="Q1284" t="s">
        <v>47</v>
      </c>
      <c r="R1284" t="s">
        <v>44</v>
      </c>
      <c r="S1284">
        <v>0</v>
      </c>
      <c r="W1284" s="3">
        <v>3.0636574074074076E-2</v>
      </c>
      <c r="X1284" t="s">
        <v>2922</v>
      </c>
      <c r="Y1284">
        <v>15</v>
      </c>
      <c r="Z1284">
        <v>0</v>
      </c>
      <c r="AA1284" t="s">
        <v>49</v>
      </c>
      <c r="AB1284">
        <v>0</v>
      </c>
      <c r="AC1284" t="s">
        <v>49</v>
      </c>
      <c r="AD1284">
        <v>0</v>
      </c>
      <c r="AE1284">
        <v>11303309</v>
      </c>
      <c r="AF1284" t="s">
        <v>50</v>
      </c>
      <c r="AG1284" t="s">
        <v>388</v>
      </c>
    </row>
    <row r="1285" spans="1:33" x14ac:dyDescent="0.35">
      <c r="A1285" s="1">
        <v>44873.782638888886</v>
      </c>
      <c r="B1285">
        <v>5309559</v>
      </c>
      <c r="C1285" t="s">
        <v>2923</v>
      </c>
      <c r="D1285" t="s">
        <v>497</v>
      </c>
      <c r="E1285" s="2">
        <v>39964</v>
      </c>
      <c r="F1285" t="str">
        <f>"9781441164698"</f>
        <v>9781441164698</v>
      </c>
      <c r="G1285" t="str">
        <f>"9781847250407"</f>
        <v>9781847250407</v>
      </c>
      <c r="H1285" t="s">
        <v>667</v>
      </c>
      <c r="I1285">
        <v>956.94039999999995</v>
      </c>
      <c r="J1285" t="s">
        <v>2924</v>
      </c>
      <c r="K1285" t="s">
        <v>44</v>
      </c>
      <c r="N1285" t="s">
        <v>45</v>
      </c>
      <c r="O1285" t="s">
        <v>46</v>
      </c>
      <c r="P1285" t="s">
        <v>45</v>
      </c>
      <c r="Q1285" t="s">
        <v>47</v>
      </c>
      <c r="R1285" t="s">
        <v>44</v>
      </c>
      <c r="S1285">
        <v>0</v>
      </c>
      <c r="W1285" s="3">
        <v>1.3888888888888889E-4</v>
      </c>
      <c r="X1285" t="s">
        <v>2925</v>
      </c>
      <c r="Y1285">
        <v>2</v>
      </c>
      <c r="Z1285">
        <v>0</v>
      </c>
      <c r="AA1285" t="s">
        <v>49</v>
      </c>
      <c r="AB1285">
        <v>0</v>
      </c>
      <c r="AC1285" t="s">
        <v>49</v>
      </c>
      <c r="AD1285">
        <v>0</v>
      </c>
      <c r="AE1285">
        <v>11518527</v>
      </c>
      <c r="AF1285" t="s">
        <v>50</v>
      </c>
      <c r="AG1285" t="s">
        <v>388</v>
      </c>
    </row>
    <row r="1286" spans="1:33" x14ac:dyDescent="0.35">
      <c r="A1286" s="1">
        <v>44873.753472222219</v>
      </c>
      <c r="B1286">
        <v>6437644</v>
      </c>
      <c r="C1286" t="s">
        <v>605</v>
      </c>
      <c r="D1286" t="s">
        <v>105</v>
      </c>
      <c r="E1286" s="2">
        <v>44188</v>
      </c>
      <c r="F1286" t="str">
        <f>"9783030603151"</f>
        <v>9783030603151</v>
      </c>
      <c r="G1286" t="str">
        <f>"9783030603144"</f>
        <v>9783030603144</v>
      </c>
      <c r="H1286" t="s">
        <v>606</v>
      </c>
      <c r="I1286">
        <v>179.7</v>
      </c>
      <c r="J1286" t="s">
        <v>607</v>
      </c>
      <c r="K1286" t="s">
        <v>55</v>
      </c>
      <c r="Q1286" t="s">
        <v>47</v>
      </c>
      <c r="R1286" t="s">
        <v>44</v>
      </c>
      <c r="S1286">
        <v>0</v>
      </c>
      <c r="W1286" s="3">
        <v>9.2592592592592588E-5</v>
      </c>
      <c r="X1286" t="s">
        <v>121</v>
      </c>
      <c r="Y1286">
        <v>1</v>
      </c>
      <c r="Z1286">
        <v>0</v>
      </c>
      <c r="AA1286" t="s">
        <v>49</v>
      </c>
      <c r="AB1286">
        <v>0</v>
      </c>
      <c r="AC1286" t="s">
        <v>49</v>
      </c>
      <c r="AD1286">
        <v>0</v>
      </c>
      <c r="AE1286">
        <v>-1</v>
      </c>
      <c r="AF1286" t="s">
        <v>50</v>
      </c>
      <c r="AG1286" t="s">
        <v>1536</v>
      </c>
    </row>
    <row r="1287" spans="1:33" x14ac:dyDescent="0.35">
      <c r="A1287" s="1">
        <v>44873.706944444442</v>
      </c>
      <c r="B1287">
        <v>589949</v>
      </c>
      <c r="C1287" t="s">
        <v>2388</v>
      </c>
      <c r="D1287" t="s">
        <v>76</v>
      </c>
      <c r="E1287" s="2">
        <v>40402</v>
      </c>
      <c r="F1287" t="str">
        <f>"9781420086034"</f>
        <v>9781420086034</v>
      </c>
      <c r="G1287" t="str">
        <f>"9781420086027"</f>
        <v>9781420086027</v>
      </c>
      <c r="H1287" t="s">
        <v>60</v>
      </c>
      <c r="I1287">
        <v>658.5</v>
      </c>
      <c r="J1287" t="s">
        <v>2389</v>
      </c>
      <c r="K1287" t="s">
        <v>44</v>
      </c>
      <c r="N1287" t="s">
        <v>45</v>
      </c>
      <c r="O1287" t="s">
        <v>46</v>
      </c>
      <c r="P1287" t="s">
        <v>45</v>
      </c>
      <c r="Q1287" t="s">
        <v>47</v>
      </c>
      <c r="R1287" t="s">
        <v>44</v>
      </c>
      <c r="S1287">
        <v>0</v>
      </c>
      <c r="W1287" s="3">
        <v>4.7337962962962958E-3</v>
      </c>
      <c r="X1287" t="s">
        <v>2926</v>
      </c>
      <c r="Y1287">
        <v>3</v>
      </c>
      <c r="Z1287">
        <v>0</v>
      </c>
      <c r="AA1287" t="s">
        <v>49</v>
      </c>
      <c r="AB1287">
        <v>0</v>
      </c>
      <c r="AC1287" t="s">
        <v>49</v>
      </c>
      <c r="AD1287">
        <v>0</v>
      </c>
      <c r="AE1287">
        <v>10419911</v>
      </c>
      <c r="AF1287" t="s">
        <v>50</v>
      </c>
      <c r="AG1287" t="s">
        <v>2612</v>
      </c>
    </row>
    <row r="1288" spans="1:33" x14ac:dyDescent="0.35">
      <c r="A1288" s="1">
        <v>44873.620138888888</v>
      </c>
      <c r="B1288">
        <v>1363732</v>
      </c>
      <c r="C1288" t="s">
        <v>2927</v>
      </c>
      <c r="D1288" t="s">
        <v>2928</v>
      </c>
      <c r="E1288" s="2">
        <v>41365</v>
      </c>
      <c r="F1288" t="str">
        <f>"9780875869742"</f>
        <v>9780875869742</v>
      </c>
      <c r="G1288" t="str">
        <f>"9780875869728"</f>
        <v>9780875869728</v>
      </c>
      <c r="H1288" t="s">
        <v>353</v>
      </c>
      <c r="I1288">
        <v>973.93100000000004</v>
      </c>
      <c r="J1288" t="s">
        <v>2929</v>
      </c>
      <c r="K1288" t="s">
        <v>44</v>
      </c>
      <c r="N1288" t="s">
        <v>45</v>
      </c>
      <c r="O1288" t="s">
        <v>46</v>
      </c>
      <c r="P1288" t="s">
        <v>177</v>
      </c>
      <c r="Q1288" t="s">
        <v>47</v>
      </c>
      <c r="R1288" t="s">
        <v>55</v>
      </c>
      <c r="S1288">
        <v>0</v>
      </c>
      <c r="W1288" s="3">
        <v>1.6203703703703703E-4</v>
      </c>
      <c r="X1288" t="s">
        <v>2930</v>
      </c>
      <c r="Y1288">
        <v>3</v>
      </c>
      <c r="Z1288">
        <v>0</v>
      </c>
      <c r="AA1288" t="s">
        <v>49</v>
      </c>
      <c r="AB1288">
        <v>0</v>
      </c>
      <c r="AC1288" t="s">
        <v>49</v>
      </c>
      <c r="AD1288">
        <v>0</v>
      </c>
      <c r="AE1288">
        <v>10700166</v>
      </c>
      <c r="AF1288" t="s">
        <v>50</v>
      </c>
      <c r="AG1288" t="s">
        <v>388</v>
      </c>
    </row>
    <row r="1289" spans="1:33" x14ac:dyDescent="0.35">
      <c r="A1289" s="1">
        <v>44873.613888888889</v>
      </c>
      <c r="B1289">
        <v>6133746</v>
      </c>
      <c r="C1289" t="s">
        <v>2931</v>
      </c>
      <c r="D1289" t="s">
        <v>105</v>
      </c>
      <c r="E1289" s="2">
        <v>43902</v>
      </c>
      <c r="F1289" t="str">
        <f>"9783030407902"</f>
        <v>9783030407902</v>
      </c>
      <c r="G1289" t="str">
        <f>"9783030407896"</f>
        <v>9783030407896</v>
      </c>
      <c r="H1289" t="s">
        <v>2932</v>
      </c>
      <c r="I1289">
        <v>624.17100000000005</v>
      </c>
      <c r="J1289" t="s">
        <v>2933</v>
      </c>
      <c r="K1289" t="s">
        <v>55</v>
      </c>
      <c r="Q1289" t="s">
        <v>47</v>
      </c>
      <c r="R1289" t="s">
        <v>44</v>
      </c>
      <c r="S1289">
        <v>0</v>
      </c>
      <c r="W1289" s="3">
        <v>1.7013888888888892E-3</v>
      </c>
      <c r="X1289" t="s">
        <v>2934</v>
      </c>
      <c r="Y1289">
        <v>15</v>
      </c>
      <c r="Z1289">
        <v>0</v>
      </c>
      <c r="AA1289" t="s">
        <v>49</v>
      </c>
      <c r="AB1289">
        <v>0</v>
      </c>
      <c r="AC1289" t="s">
        <v>49</v>
      </c>
      <c r="AD1289">
        <v>0</v>
      </c>
      <c r="AE1289">
        <v>-1</v>
      </c>
      <c r="AF1289" t="s">
        <v>63</v>
      </c>
      <c r="AG1289" t="s">
        <v>1536</v>
      </c>
    </row>
    <row r="1290" spans="1:33" x14ac:dyDescent="0.35">
      <c r="A1290" s="1">
        <v>44873.609027777777</v>
      </c>
      <c r="B1290">
        <v>4714615</v>
      </c>
      <c r="C1290" t="s">
        <v>2935</v>
      </c>
      <c r="D1290" t="s">
        <v>59</v>
      </c>
      <c r="E1290" s="2">
        <v>42423</v>
      </c>
      <c r="F1290" t="str">
        <f>"9783527697458"</f>
        <v>9783527697458</v>
      </c>
      <c r="G1290" t="str">
        <f>"9783527336746"</f>
        <v>9783527336746</v>
      </c>
      <c r="H1290" t="s">
        <v>2936</v>
      </c>
      <c r="I1290">
        <v>660.6</v>
      </c>
      <c r="J1290" t="s">
        <v>2937</v>
      </c>
      <c r="K1290" t="s">
        <v>44</v>
      </c>
      <c r="N1290" t="s">
        <v>45</v>
      </c>
      <c r="O1290" t="s">
        <v>46</v>
      </c>
      <c r="P1290" t="s">
        <v>45</v>
      </c>
      <c r="Q1290" t="s">
        <v>47</v>
      </c>
      <c r="R1290" t="s">
        <v>44</v>
      </c>
      <c r="S1290">
        <v>0</v>
      </c>
      <c r="W1290" s="3">
        <v>1.3078703703703705E-3</v>
      </c>
      <c r="X1290" t="s">
        <v>2938</v>
      </c>
      <c r="Y1290">
        <v>3</v>
      </c>
      <c r="Z1290">
        <v>0</v>
      </c>
      <c r="AA1290" t="s">
        <v>49</v>
      </c>
      <c r="AB1290">
        <v>0</v>
      </c>
      <c r="AC1290" t="s">
        <v>49</v>
      </c>
      <c r="AD1290">
        <v>0</v>
      </c>
      <c r="AE1290">
        <v>11446541</v>
      </c>
      <c r="AF1290" t="s">
        <v>50</v>
      </c>
      <c r="AG1290" t="s">
        <v>1309</v>
      </c>
    </row>
    <row r="1291" spans="1:33" x14ac:dyDescent="0.35">
      <c r="A1291" s="1">
        <v>44873.607638888891</v>
      </c>
      <c r="B1291">
        <v>5120033</v>
      </c>
      <c r="C1291" t="s">
        <v>2697</v>
      </c>
      <c r="D1291" t="s">
        <v>502</v>
      </c>
      <c r="E1291" s="2">
        <v>40059</v>
      </c>
      <c r="F1291" t="str">
        <f>"9781282393080"</f>
        <v>9781282393080</v>
      </c>
      <c r="G1291" t="str">
        <f>""</f>
        <v/>
      </c>
      <c r="H1291" t="s">
        <v>77</v>
      </c>
      <c r="I1291">
        <v>610.28</v>
      </c>
      <c r="K1291" t="s">
        <v>55</v>
      </c>
      <c r="P1291" t="s">
        <v>97</v>
      </c>
      <c r="Q1291" t="s">
        <v>47</v>
      </c>
      <c r="R1291" t="s">
        <v>44</v>
      </c>
      <c r="S1291">
        <v>0</v>
      </c>
      <c r="W1291" s="3">
        <v>9.4907407407407408E-4</v>
      </c>
      <c r="X1291" t="s">
        <v>2939</v>
      </c>
      <c r="Y1291">
        <v>2</v>
      </c>
      <c r="Z1291">
        <v>0</v>
      </c>
      <c r="AA1291" t="s">
        <v>49</v>
      </c>
      <c r="AB1291">
        <v>0</v>
      </c>
      <c r="AC1291" t="s">
        <v>49</v>
      </c>
      <c r="AD1291">
        <v>0</v>
      </c>
      <c r="AE1291">
        <v>-1</v>
      </c>
      <c r="AF1291" t="s">
        <v>50</v>
      </c>
      <c r="AG1291" t="s">
        <v>1309</v>
      </c>
    </row>
    <row r="1292" spans="1:33" x14ac:dyDescent="0.35">
      <c r="A1292" s="1">
        <v>44873.606249999997</v>
      </c>
      <c r="B1292">
        <v>414248</v>
      </c>
      <c r="C1292" t="s">
        <v>2940</v>
      </c>
      <c r="D1292" t="s">
        <v>1918</v>
      </c>
      <c r="E1292" s="2">
        <v>39203</v>
      </c>
      <c r="F1292" t="str">
        <f>"9788122425499"</f>
        <v>9788122425499</v>
      </c>
      <c r="G1292" t="str">
        <f>"9788122421026"</f>
        <v>9788122421026</v>
      </c>
      <c r="H1292" t="s">
        <v>77</v>
      </c>
      <c r="I1292">
        <v>610.28</v>
      </c>
      <c r="J1292" t="s">
        <v>2941</v>
      </c>
      <c r="K1292" t="s">
        <v>44</v>
      </c>
      <c r="N1292" t="s">
        <v>45</v>
      </c>
      <c r="O1292" t="s">
        <v>46</v>
      </c>
      <c r="P1292" t="s">
        <v>45</v>
      </c>
      <c r="Q1292" t="s">
        <v>47</v>
      </c>
      <c r="R1292" t="s">
        <v>44</v>
      </c>
      <c r="S1292">
        <v>0</v>
      </c>
      <c r="W1292" s="3">
        <v>4.8611111111111104E-4</v>
      </c>
      <c r="X1292" t="s">
        <v>2942</v>
      </c>
      <c r="Y1292">
        <v>6</v>
      </c>
      <c r="Z1292">
        <v>0</v>
      </c>
      <c r="AA1292" t="s">
        <v>49</v>
      </c>
      <c r="AB1292">
        <v>0</v>
      </c>
      <c r="AC1292" t="s">
        <v>49</v>
      </c>
      <c r="AD1292">
        <v>0</v>
      </c>
      <c r="AE1292">
        <v>10318717</v>
      </c>
      <c r="AF1292" t="s">
        <v>50</v>
      </c>
      <c r="AG1292" t="s">
        <v>1309</v>
      </c>
    </row>
    <row r="1293" spans="1:33" x14ac:dyDescent="0.35">
      <c r="A1293" s="1">
        <v>44873.599305555559</v>
      </c>
      <c r="B1293">
        <v>6935070</v>
      </c>
      <c r="C1293" t="s">
        <v>2943</v>
      </c>
      <c r="D1293" t="s">
        <v>614</v>
      </c>
      <c r="E1293" s="2">
        <v>44642</v>
      </c>
      <c r="F1293" t="str">
        <f>"9789811913204"</f>
        <v>9789811913204</v>
      </c>
      <c r="G1293" t="str">
        <f>"9789811913198"</f>
        <v>9789811913198</v>
      </c>
      <c r="H1293" t="s">
        <v>1929</v>
      </c>
      <c r="I1293">
        <v>671.52</v>
      </c>
      <c r="J1293" t="s">
        <v>2944</v>
      </c>
      <c r="K1293" t="s">
        <v>55</v>
      </c>
      <c r="N1293" t="s">
        <v>79</v>
      </c>
      <c r="P1293" t="s">
        <v>80</v>
      </c>
      <c r="Q1293" t="s">
        <v>47</v>
      </c>
      <c r="R1293" t="s">
        <v>44</v>
      </c>
      <c r="S1293">
        <v>2</v>
      </c>
      <c r="T1293">
        <v>90</v>
      </c>
      <c r="U1293" s="1">
        <v>44873.599305555559</v>
      </c>
      <c r="V1293" s="1">
        <v>44963.599305555559</v>
      </c>
      <c r="W1293" s="3">
        <v>0</v>
      </c>
      <c r="X1293" t="s">
        <v>49</v>
      </c>
      <c r="Y1293">
        <v>0</v>
      </c>
      <c r="Z1293">
        <v>0</v>
      </c>
      <c r="AA1293" t="s">
        <v>49</v>
      </c>
      <c r="AB1293">
        <v>0</v>
      </c>
      <c r="AC1293" t="s">
        <v>49</v>
      </c>
      <c r="AD1293">
        <v>0</v>
      </c>
      <c r="AE1293">
        <v>-1</v>
      </c>
      <c r="AF1293" t="s">
        <v>63</v>
      </c>
      <c r="AG1293" t="s">
        <v>1536</v>
      </c>
    </row>
    <row r="1294" spans="1:33" x14ac:dyDescent="0.35">
      <c r="A1294" s="1">
        <v>44873.595138888886</v>
      </c>
      <c r="B1294">
        <v>1115287</v>
      </c>
      <c r="C1294" t="s">
        <v>2945</v>
      </c>
      <c r="D1294" t="s">
        <v>473</v>
      </c>
      <c r="E1294" s="2">
        <v>41283</v>
      </c>
      <c r="F1294" t="str">
        <f>"9789004243415"</f>
        <v>9789004243415</v>
      </c>
      <c r="G1294" t="str">
        <f>"9789004230415"</f>
        <v>9789004230415</v>
      </c>
      <c r="H1294" t="s">
        <v>2946</v>
      </c>
      <c r="I1294" t="s">
        <v>343</v>
      </c>
      <c r="J1294" t="s">
        <v>2947</v>
      </c>
      <c r="K1294" t="s">
        <v>44</v>
      </c>
      <c r="N1294" t="s">
        <v>45</v>
      </c>
      <c r="O1294" t="s">
        <v>46</v>
      </c>
      <c r="P1294" t="s">
        <v>45</v>
      </c>
      <c r="Q1294" t="s">
        <v>47</v>
      </c>
      <c r="R1294" t="s">
        <v>44</v>
      </c>
      <c r="S1294">
        <v>0</v>
      </c>
      <c r="W1294" s="3">
        <v>1.5509259259259261E-3</v>
      </c>
      <c r="X1294" t="s">
        <v>2948</v>
      </c>
      <c r="Y1294">
        <v>6</v>
      </c>
      <c r="Z1294">
        <v>2</v>
      </c>
      <c r="AA1294" t="s">
        <v>2949</v>
      </c>
      <c r="AB1294">
        <v>52</v>
      </c>
      <c r="AC1294" t="s">
        <v>49</v>
      </c>
      <c r="AD1294">
        <v>0</v>
      </c>
      <c r="AE1294">
        <v>10648933</v>
      </c>
      <c r="AF1294" t="s">
        <v>50</v>
      </c>
      <c r="AG1294" t="s">
        <v>866</v>
      </c>
    </row>
    <row r="1295" spans="1:33" x14ac:dyDescent="0.35">
      <c r="A1295" s="1">
        <v>44873.592361111114</v>
      </c>
      <c r="B1295">
        <v>1342586</v>
      </c>
      <c r="C1295" t="s">
        <v>2950</v>
      </c>
      <c r="D1295" t="s">
        <v>473</v>
      </c>
      <c r="E1295" s="2">
        <v>39814</v>
      </c>
      <c r="F1295" t="str">
        <f>"9789004253810"</f>
        <v>9789004253810</v>
      </c>
      <c r="G1295" t="str">
        <f>"9789067183383"</f>
        <v>9789067183383</v>
      </c>
      <c r="H1295" t="s">
        <v>162</v>
      </c>
      <c r="I1295">
        <v>297.40955000000002</v>
      </c>
      <c r="J1295" t="s">
        <v>2951</v>
      </c>
      <c r="K1295" t="s">
        <v>44</v>
      </c>
      <c r="N1295" t="s">
        <v>45</v>
      </c>
      <c r="O1295" t="s">
        <v>46</v>
      </c>
      <c r="P1295" t="s">
        <v>45</v>
      </c>
      <c r="Q1295" t="s">
        <v>47</v>
      </c>
      <c r="R1295" t="s">
        <v>44</v>
      </c>
      <c r="S1295">
        <v>0</v>
      </c>
      <c r="W1295" s="3">
        <v>1.8518518518518517E-3</v>
      </c>
      <c r="X1295" t="s">
        <v>2952</v>
      </c>
      <c r="Y1295">
        <v>12</v>
      </c>
      <c r="Z1295">
        <v>0</v>
      </c>
      <c r="AA1295" t="s">
        <v>49</v>
      </c>
      <c r="AB1295">
        <v>0</v>
      </c>
      <c r="AC1295" t="s">
        <v>49</v>
      </c>
      <c r="AD1295">
        <v>0</v>
      </c>
      <c r="AE1295">
        <v>10745953</v>
      </c>
      <c r="AF1295" t="s">
        <v>50</v>
      </c>
      <c r="AG1295" t="s">
        <v>2289</v>
      </c>
    </row>
    <row r="1296" spans="1:33" x14ac:dyDescent="0.35">
      <c r="A1296" s="1">
        <v>44873.591666666667</v>
      </c>
      <c r="B1296">
        <v>4183127</v>
      </c>
      <c r="C1296" t="s">
        <v>190</v>
      </c>
      <c r="D1296" t="s">
        <v>59</v>
      </c>
      <c r="E1296" s="2">
        <v>42310</v>
      </c>
      <c r="F1296" t="str">
        <f>"9783527684649"</f>
        <v>9783527684649</v>
      </c>
      <c r="G1296" t="str">
        <f>"9783527331659"</f>
        <v>9783527331659</v>
      </c>
      <c r="H1296" t="s">
        <v>191</v>
      </c>
      <c r="I1296" t="s">
        <v>192</v>
      </c>
      <c r="J1296" t="s">
        <v>193</v>
      </c>
      <c r="K1296" t="s">
        <v>44</v>
      </c>
      <c r="N1296" t="s">
        <v>45</v>
      </c>
      <c r="O1296" t="s">
        <v>46</v>
      </c>
      <c r="P1296" t="s">
        <v>45</v>
      </c>
      <c r="Q1296" t="s">
        <v>47</v>
      </c>
      <c r="R1296" t="s">
        <v>44</v>
      </c>
      <c r="S1296">
        <v>0</v>
      </c>
      <c r="W1296" s="3">
        <v>1.8402777777777777E-3</v>
      </c>
      <c r="X1296" t="s">
        <v>2953</v>
      </c>
      <c r="Y1296">
        <v>32</v>
      </c>
      <c r="Z1296">
        <v>1</v>
      </c>
      <c r="AA1296" t="s">
        <v>2954</v>
      </c>
      <c r="AB1296">
        <v>18</v>
      </c>
      <c r="AC1296" t="s">
        <v>49</v>
      </c>
      <c r="AD1296">
        <v>0</v>
      </c>
      <c r="AE1296">
        <v>11125579</v>
      </c>
      <c r="AF1296" t="s">
        <v>50</v>
      </c>
      <c r="AG1296" t="s">
        <v>1699</v>
      </c>
    </row>
    <row r="1297" spans="1:33" x14ac:dyDescent="0.35">
      <c r="A1297" s="1">
        <v>44873.569444444445</v>
      </c>
      <c r="B1297">
        <v>6688783</v>
      </c>
      <c r="C1297" t="s">
        <v>2955</v>
      </c>
      <c r="D1297" t="s">
        <v>2956</v>
      </c>
      <c r="E1297" s="2">
        <v>44385</v>
      </c>
      <c r="F1297" t="str">
        <f>"9781615372942"</f>
        <v>9781615372942</v>
      </c>
      <c r="G1297" t="str">
        <f>"9781615372935"</f>
        <v>9781615372935</v>
      </c>
      <c r="H1297" t="s">
        <v>147</v>
      </c>
      <c r="I1297">
        <v>616.85839999999996</v>
      </c>
      <c r="J1297" t="s">
        <v>2957</v>
      </c>
      <c r="K1297" t="s">
        <v>44</v>
      </c>
      <c r="N1297" t="s">
        <v>45</v>
      </c>
      <c r="O1297" t="s">
        <v>46</v>
      </c>
      <c r="P1297" t="s">
        <v>45</v>
      </c>
      <c r="Q1297" t="s">
        <v>47</v>
      </c>
      <c r="R1297" t="s">
        <v>44</v>
      </c>
      <c r="S1297">
        <v>0</v>
      </c>
      <c r="W1297" s="3">
        <v>6.9444444444444444E-5</v>
      </c>
      <c r="X1297" t="s">
        <v>121</v>
      </c>
      <c r="Y1297">
        <v>1</v>
      </c>
      <c r="Z1297">
        <v>0</v>
      </c>
      <c r="AA1297" t="s">
        <v>49</v>
      </c>
      <c r="AB1297">
        <v>0</v>
      </c>
      <c r="AC1297" t="s">
        <v>49</v>
      </c>
      <c r="AD1297">
        <v>0</v>
      </c>
      <c r="AE1297">
        <v>-1</v>
      </c>
      <c r="AF1297" t="s">
        <v>50</v>
      </c>
      <c r="AG1297" t="s">
        <v>388</v>
      </c>
    </row>
    <row r="1298" spans="1:33" x14ac:dyDescent="0.35">
      <c r="A1298" s="1">
        <v>44873.561111111114</v>
      </c>
      <c r="B1298">
        <v>279494</v>
      </c>
      <c r="C1298" t="s">
        <v>1333</v>
      </c>
      <c r="D1298" t="s">
        <v>125</v>
      </c>
      <c r="E1298" s="2">
        <v>37280</v>
      </c>
      <c r="F1298" t="str">
        <f>"9780198032953"</f>
        <v>9780198032953</v>
      </c>
      <c r="G1298" t="str">
        <f>"9780195144208"</f>
        <v>9780195144208</v>
      </c>
      <c r="H1298" t="s">
        <v>667</v>
      </c>
      <c r="I1298" t="s">
        <v>1334</v>
      </c>
      <c r="J1298" t="s">
        <v>1335</v>
      </c>
      <c r="K1298" t="s">
        <v>44</v>
      </c>
      <c r="N1298" t="s">
        <v>45</v>
      </c>
      <c r="O1298" t="s">
        <v>46</v>
      </c>
      <c r="P1298" t="s">
        <v>45</v>
      </c>
      <c r="Q1298" t="s">
        <v>47</v>
      </c>
      <c r="R1298" t="s">
        <v>44</v>
      </c>
      <c r="S1298">
        <v>0</v>
      </c>
      <c r="W1298" s="3">
        <v>5.7870370370370366E-5</v>
      </c>
      <c r="X1298" t="s">
        <v>121</v>
      </c>
      <c r="Y1298">
        <v>1</v>
      </c>
      <c r="Z1298">
        <v>0</v>
      </c>
      <c r="AA1298" t="s">
        <v>49</v>
      </c>
      <c r="AB1298">
        <v>0</v>
      </c>
      <c r="AC1298" t="s">
        <v>49</v>
      </c>
      <c r="AD1298">
        <v>0</v>
      </c>
      <c r="AE1298">
        <v>11303309</v>
      </c>
      <c r="AF1298" t="s">
        <v>50</v>
      </c>
      <c r="AG1298" t="s">
        <v>670</v>
      </c>
    </row>
    <row r="1299" spans="1:33" x14ac:dyDescent="0.35">
      <c r="A1299" s="1">
        <v>44873.556250000001</v>
      </c>
      <c r="B1299">
        <v>5739861</v>
      </c>
      <c r="C1299" t="s">
        <v>2958</v>
      </c>
      <c r="D1299" t="s">
        <v>170</v>
      </c>
      <c r="E1299" s="2">
        <v>43833</v>
      </c>
      <c r="F1299" t="str">
        <f>"9781462921058"</f>
        <v>9781462921058</v>
      </c>
      <c r="G1299" t="str">
        <f>"9780804852449"</f>
        <v>9780804852449</v>
      </c>
      <c r="H1299" t="s">
        <v>171</v>
      </c>
      <c r="I1299">
        <v>495.78342099999998</v>
      </c>
      <c r="J1299" t="s">
        <v>2959</v>
      </c>
      <c r="K1299" t="s">
        <v>55</v>
      </c>
      <c r="Q1299" t="s">
        <v>47</v>
      </c>
      <c r="R1299" t="s">
        <v>44</v>
      </c>
      <c r="S1299">
        <v>0</v>
      </c>
      <c r="W1299" s="3">
        <v>3.3564814814814812E-4</v>
      </c>
      <c r="X1299" t="s">
        <v>2960</v>
      </c>
      <c r="Y1299">
        <v>9</v>
      </c>
      <c r="Z1299">
        <v>0</v>
      </c>
      <c r="AA1299" t="s">
        <v>49</v>
      </c>
      <c r="AB1299">
        <v>0</v>
      </c>
      <c r="AC1299" t="s">
        <v>49</v>
      </c>
      <c r="AD1299">
        <v>0</v>
      </c>
      <c r="AE1299">
        <v>-1</v>
      </c>
      <c r="AF1299" t="s">
        <v>50</v>
      </c>
      <c r="AG1299" t="s">
        <v>630</v>
      </c>
    </row>
    <row r="1300" spans="1:33" x14ac:dyDescent="0.35">
      <c r="A1300" s="1">
        <v>44873.525694444441</v>
      </c>
      <c r="B1300">
        <v>1120827</v>
      </c>
      <c r="C1300" t="s">
        <v>2386</v>
      </c>
      <c r="D1300" t="s">
        <v>59</v>
      </c>
      <c r="E1300" s="2">
        <v>41269</v>
      </c>
      <c r="F1300" t="str">
        <f>"9781118469149"</f>
        <v>9781118469149</v>
      </c>
      <c r="G1300" t="str">
        <f>"9781119941194"</f>
        <v>9781119941194</v>
      </c>
      <c r="H1300" t="s">
        <v>857</v>
      </c>
      <c r="I1300">
        <v>629.13499999999999</v>
      </c>
      <c r="J1300" t="s">
        <v>2387</v>
      </c>
      <c r="K1300" t="s">
        <v>44</v>
      </c>
      <c r="N1300" t="s">
        <v>45</v>
      </c>
      <c r="O1300" t="s">
        <v>46</v>
      </c>
      <c r="P1300" t="s">
        <v>45</v>
      </c>
      <c r="Q1300" t="s">
        <v>47</v>
      </c>
      <c r="R1300" t="s">
        <v>44</v>
      </c>
      <c r="S1300">
        <v>2</v>
      </c>
      <c r="W1300" s="3">
        <v>1.1574074074074073E-5</v>
      </c>
      <c r="X1300" t="s">
        <v>49</v>
      </c>
      <c r="Y1300">
        <v>0</v>
      </c>
      <c r="Z1300">
        <v>0</v>
      </c>
      <c r="AA1300" t="s">
        <v>49</v>
      </c>
      <c r="AB1300">
        <v>0</v>
      </c>
      <c r="AC1300" t="s">
        <v>49</v>
      </c>
      <c r="AD1300">
        <v>0</v>
      </c>
      <c r="AE1300">
        <v>10715326</v>
      </c>
      <c r="AF1300" t="s">
        <v>63</v>
      </c>
      <c r="AG1300" t="s">
        <v>122</v>
      </c>
    </row>
    <row r="1301" spans="1:33" x14ac:dyDescent="0.35">
      <c r="A1301" s="1">
        <v>44873.523611111108</v>
      </c>
      <c r="B1301">
        <v>1120827</v>
      </c>
      <c r="C1301" t="s">
        <v>2386</v>
      </c>
      <c r="D1301" t="s">
        <v>59</v>
      </c>
      <c r="E1301" s="2">
        <v>41269</v>
      </c>
      <c r="F1301" t="str">
        <f>"9781118469149"</f>
        <v>9781118469149</v>
      </c>
      <c r="G1301" t="str">
        <f>"9781119941194"</f>
        <v>9781119941194</v>
      </c>
      <c r="H1301" t="s">
        <v>857</v>
      </c>
      <c r="I1301">
        <v>629.13499999999999</v>
      </c>
      <c r="J1301" t="s">
        <v>2387</v>
      </c>
      <c r="K1301" t="s">
        <v>44</v>
      </c>
      <c r="N1301" t="s">
        <v>45</v>
      </c>
      <c r="O1301" t="s">
        <v>46</v>
      </c>
      <c r="P1301" t="s">
        <v>45</v>
      </c>
      <c r="Q1301" t="s">
        <v>47</v>
      </c>
      <c r="R1301" t="s">
        <v>44</v>
      </c>
      <c r="S1301">
        <v>0</v>
      </c>
      <c r="W1301" s="3">
        <v>4.6296296296296293E-4</v>
      </c>
      <c r="X1301" t="s">
        <v>2961</v>
      </c>
      <c r="Y1301">
        <v>9</v>
      </c>
      <c r="Z1301">
        <v>2</v>
      </c>
      <c r="AA1301" t="s">
        <v>2962</v>
      </c>
      <c r="AB1301">
        <v>50</v>
      </c>
      <c r="AC1301" t="s">
        <v>49</v>
      </c>
      <c r="AD1301">
        <v>0</v>
      </c>
      <c r="AE1301">
        <v>10715326</v>
      </c>
      <c r="AF1301" t="s">
        <v>63</v>
      </c>
      <c r="AG1301" t="s">
        <v>122</v>
      </c>
    </row>
    <row r="1302" spans="1:33" x14ac:dyDescent="0.35">
      <c r="A1302" s="1">
        <v>44873.521527777775</v>
      </c>
      <c r="B1302">
        <v>470351</v>
      </c>
      <c r="C1302" t="s">
        <v>2963</v>
      </c>
      <c r="D1302" t="s">
        <v>59</v>
      </c>
      <c r="E1302" s="2">
        <v>39573</v>
      </c>
      <c r="F1302" t="str">
        <f>"9780470770948"</f>
        <v>9780470770948</v>
      </c>
      <c r="G1302" t="str">
        <f>"9780470059968"</f>
        <v>9780470059968</v>
      </c>
      <c r="H1302" t="s">
        <v>126</v>
      </c>
      <c r="I1302">
        <v>629.13499999999999</v>
      </c>
      <c r="J1302" t="s">
        <v>2964</v>
      </c>
      <c r="K1302" t="s">
        <v>44</v>
      </c>
      <c r="N1302" t="s">
        <v>45</v>
      </c>
      <c r="O1302" t="s">
        <v>46</v>
      </c>
      <c r="P1302" t="s">
        <v>45</v>
      </c>
      <c r="Q1302" t="s">
        <v>47</v>
      </c>
      <c r="R1302" t="s">
        <v>44</v>
      </c>
      <c r="S1302">
        <v>1</v>
      </c>
      <c r="W1302" s="3">
        <v>1.1574074074074073E-5</v>
      </c>
      <c r="X1302" t="s">
        <v>49</v>
      </c>
      <c r="Y1302">
        <v>0</v>
      </c>
      <c r="Z1302">
        <v>0</v>
      </c>
      <c r="AA1302" t="s">
        <v>49</v>
      </c>
      <c r="AB1302">
        <v>0</v>
      </c>
      <c r="AC1302" t="s">
        <v>49</v>
      </c>
      <c r="AD1302">
        <v>0</v>
      </c>
      <c r="AE1302">
        <v>10301042</v>
      </c>
      <c r="AF1302" t="s">
        <v>63</v>
      </c>
      <c r="AG1302" t="s">
        <v>122</v>
      </c>
    </row>
    <row r="1303" spans="1:33" x14ac:dyDescent="0.35">
      <c r="A1303" s="1">
        <v>44873.517361111109</v>
      </c>
      <c r="B1303">
        <v>6665516</v>
      </c>
      <c r="C1303" t="s">
        <v>2965</v>
      </c>
      <c r="D1303" t="s">
        <v>76</v>
      </c>
      <c r="E1303" s="2">
        <v>44445</v>
      </c>
      <c r="F1303" t="str">
        <f>"9781000437508"</f>
        <v>9781000437508</v>
      </c>
      <c r="G1303" t="str">
        <f>"9780367609122"</f>
        <v>9780367609122</v>
      </c>
      <c r="H1303" t="s">
        <v>1046</v>
      </c>
      <c r="I1303">
        <v>302.23095195000002</v>
      </c>
      <c r="J1303" t="s">
        <v>2966</v>
      </c>
      <c r="K1303" t="s">
        <v>55</v>
      </c>
      <c r="Q1303" t="s">
        <v>47</v>
      </c>
      <c r="R1303" t="s">
        <v>44</v>
      </c>
      <c r="S1303">
        <v>0</v>
      </c>
      <c r="W1303" s="3">
        <v>2.199074074074074E-4</v>
      </c>
      <c r="X1303" t="s">
        <v>2967</v>
      </c>
      <c r="Y1303">
        <v>6</v>
      </c>
      <c r="Z1303">
        <v>0</v>
      </c>
      <c r="AA1303" t="s">
        <v>49</v>
      </c>
      <c r="AB1303">
        <v>0</v>
      </c>
      <c r="AC1303" t="s">
        <v>49</v>
      </c>
      <c r="AD1303">
        <v>0</v>
      </c>
      <c r="AE1303">
        <v>-1</v>
      </c>
      <c r="AF1303" t="s">
        <v>50</v>
      </c>
      <c r="AG1303" t="s">
        <v>996</v>
      </c>
    </row>
    <row r="1304" spans="1:33" x14ac:dyDescent="0.35">
      <c r="A1304" s="1">
        <v>44873.511805555558</v>
      </c>
      <c r="B1304">
        <v>6859446</v>
      </c>
      <c r="C1304" t="s">
        <v>2217</v>
      </c>
      <c r="D1304" t="s">
        <v>213</v>
      </c>
      <c r="E1304" s="2">
        <v>44581</v>
      </c>
      <c r="F1304" t="str">
        <f>"9780128240892"</f>
        <v>9780128240892</v>
      </c>
      <c r="G1304" t="str">
        <f>"9780128240885"</f>
        <v>9780128240885</v>
      </c>
      <c r="H1304" t="s">
        <v>261</v>
      </c>
      <c r="I1304">
        <v>628.54999999999995</v>
      </c>
      <c r="J1304" t="s">
        <v>2218</v>
      </c>
      <c r="K1304" t="s">
        <v>55</v>
      </c>
      <c r="N1304" t="s">
        <v>293</v>
      </c>
      <c r="P1304" t="s">
        <v>80</v>
      </c>
      <c r="Q1304" t="s">
        <v>47</v>
      </c>
      <c r="R1304" t="s">
        <v>44</v>
      </c>
      <c r="S1304">
        <v>1</v>
      </c>
      <c r="T1304">
        <v>90</v>
      </c>
      <c r="U1304" s="1">
        <v>44873.510416666664</v>
      </c>
      <c r="V1304" s="1">
        <v>44963.510416666664</v>
      </c>
      <c r="W1304" s="3">
        <v>1.273148148148148E-4</v>
      </c>
      <c r="X1304" t="s">
        <v>2968</v>
      </c>
      <c r="Y1304">
        <v>3</v>
      </c>
      <c r="Z1304">
        <v>0</v>
      </c>
      <c r="AA1304" t="s">
        <v>49</v>
      </c>
      <c r="AB1304">
        <v>0</v>
      </c>
      <c r="AC1304" t="s">
        <v>49</v>
      </c>
      <c r="AD1304">
        <v>0</v>
      </c>
      <c r="AE1304">
        <v>-1</v>
      </c>
      <c r="AF1304" t="s">
        <v>63</v>
      </c>
      <c r="AG1304" t="s">
        <v>388</v>
      </c>
    </row>
    <row r="1305" spans="1:33" x14ac:dyDescent="0.35">
      <c r="A1305" s="1">
        <v>44873.511805555558</v>
      </c>
      <c r="B1305">
        <v>6859446</v>
      </c>
      <c r="C1305" t="s">
        <v>2217</v>
      </c>
      <c r="D1305" t="s">
        <v>213</v>
      </c>
      <c r="E1305" s="2">
        <v>44581</v>
      </c>
      <c r="F1305" t="str">
        <f>"9780128240892"</f>
        <v>9780128240892</v>
      </c>
      <c r="G1305" t="str">
        <f>"9780128240885"</f>
        <v>9780128240885</v>
      </c>
      <c r="H1305" t="s">
        <v>261</v>
      </c>
      <c r="I1305">
        <v>628.54999999999995</v>
      </c>
      <c r="J1305" t="s">
        <v>2218</v>
      </c>
      <c r="K1305" t="s">
        <v>55</v>
      </c>
      <c r="N1305" t="s">
        <v>293</v>
      </c>
      <c r="P1305" t="s">
        <v>80</v>
      </c>
      <c r="Q1305" t="s">
        <v>47</v>
      </c>
      <c r="R1305" t="s">
        <v>44</v>
      </c>
      <c r="S1305">
        <v>0</v>
      </c>
      <c r="W1305" s="3">
        <v>2.3148148148148147E-5</v>
      </c>
      <c r="X1305" t="s">
        <v>2219</v>
      </c>
      <c r="Y1305">
        <v>1</v>
      </c>
      <c r="Z1305">
        <v>0</v>
      </c>
      <c r="AA1305" t="s">
        <v>49</v>
      </c>
      <c r="AB1305">
        <v>0</v>
      </c>
      <c r="AC1305" t="s">
        <v>49</v>
      </c>
      <c r="AD1305">
        <v>0</v>
      </c>
      <c r="AE1305">
        <v>-1</v>
      </c>
      <c r="AF1305" t="s">
        <v>50</v>
      </c>
      <c r="AG1305" t="s">
        <v>388</v>
      </c>
    </row>
    <row r="1306" spans="1:33" x14ac:dyDescent="0.35">
      <c r="A1306" s="1">
        <v>44873.511111111111</v>
      </c>
      <c r="B1306">
        <v>2053978</v>
      </c>
      <c r="C1306" t="s">
        <v>2969</v>
      </c>
      <c r="D1306" t="s">
        <v>65</v>
      </c>
      <c r="E1306" s="2">
        <v>42144</v>
      </c>
      <c r="F1306" t="str">
        <f>"9780128013779"</f>
        <v>9780128013779</v>
      </c>
      <c r="G1306" t="str">
        <f>"9780128012819"</f>
        <v>9780128012819</v>
      </c>
      <c r="H1306" t="s">
        <v>261</v>
      </c>
      <c r="I1306">
        <v>628.16200000000003</v>
      </c>
      <c r="J1306" t="s">
        <v>2970</v>
      </c>
      <c r="K1306" t="s">
        <v>44</v>
      </c>
      <c r="N1306" t="s">
        <v>45</v>
      </c>
      <c r="O1306" t="s">
        <v>46</v>
      </c>
      <c r="P1306" t="s">
        <v>45</v>
      </c>
      <c r="Q1306" t="s">
        <v>47</v>
      </c>
      <c r="R1306" t="s">
        <v>44</v>
      </c>
      <c r="S1306">
        <v>0</v>
      </c>
      <c r="W1306" s="3">
        <v>2.2106481481481478E-3</v>
      </c>
      <c r="X1306" t="s">
        <v>2971</v>
      </c>
      <c r="Y1306">
        <v>27</v>
      </c>
      <c r="Z1306">
        <v>0</v>
      </c>
      <c r="AA1306" t="s">
        <v>49</v>
      </c>
      <c r="AB1306">
        <v>0</v>
      </c>
      <c r="AC1306" t="s">
        <v>49</v>
      </c>
      <c r="AD1306">
        <v>0</v>
      </c>
      <c r="AE1306">
        <v>11056853</v>
      </c>
      <c r="AF1306" t="s">
        <v>50</v>
      </c>
      <c r="AG1306" t="s">
        <v>2972</v>
      </c>
    </row>
    <row r="1307" spans="1:33" x14ac:dyDescent="0.35">
      <c r="A1307" s="1">
        <v>44873.510416666664</v>
      </c>
      <c r="B1307">
        <v>6859446</v>
      </c>
      <c r="C1307" t="s">
        <v>2217</v>
      </c>
      <c r="D1307" t="s">
        <v>213</v>
      </c>
      <c r="E1307" s="2">
        <v>44581</v>
      </c>
      <c r="F1307" t="str">
        <f>"9780128240892"</f>
        <v>9780128240892</v>
      </c>
      <c r="G1307" t="str">
        <f>"9780128240885"</f>
        <v>9780128240885</v>
      </c>
      <c r="H1307" t="s">
        <v>261</v>
      </c>
      <c r="I1307">
        <v>628.54999999999995</v>
      </c>
      <c r="J1307" t="s">
        <v>2218</v>
      </c>
      <c r="K1307" t="s">
        <v>55</v>
      </c>
      <c r="N1307" t="s">
        <v>293</v>
      </c>
      <c r="P1307" t="s">
        <v>80</v>
      </c>
      <c r="Q1307" t="s">
        <v>47</v>
      </c>
      <c r="R1307" t="s">
        <v>44</v>
      </c>
      <c r="S1307">
        <v>1</v>
      </c>
      <c r="T1307">
        <v>90</v>
      </c>
      <c r="U1307" s="1">
        <v>44873.510416666664</v>
      </c>
      <c r="V1307" s="1">
        <v>44963.510416666664</v>
      </c>
      <c r="W1307" s="3">
        <v>1.5046296296296297E-4</v>
      </c>
      <c r="X1307" t="s">
        <v>2973</v>
      </c>
      <c r="Y1307">
        <v>2</v>
      </c>
      <c r="Z1307">
        <v>0</v>
      </c>
      <c r="AA1307" t="s">
        <v>49</v>
      </c>
      <c r="AB1307">
        <v>0</v>
      </c>
      <c r="AC1307" t="s">
        <v>49</v>
      </c>
      <c r="AD1307">
        <v>0</v>
      </c>
      <c r="AE1307">
        <v>-1</v>
      </c>
      <c r="AF1307" t="s">
        <v>63</v>
      </c>
      <c r="AG1307" t="s">
        <v>388</v>
      </c>
    </row>
    <row r="1308" spans="1:33" x14ac:dyDescent="0.35">
      <c r="A1308" s="1">
        <v>44873.507638888892</v>
      </c>
      <c r="B1308">
        <v>6859446</v>
      </c>
      <c r="C1308" t="s">
        <v>2217</v>
      </c>
      <c r="D1308" t="s">
        <v>213</v>
      </c>
      <c r="E1308" s="2">
        <v>44581</v>
      </c>
      <c r="F1308" t="str">
        <f>"9780128240892"</f>
        <v>9780128240892</v>
      </c>
      <c r="G1308" t="str">
        <f>"9780128240885"</f>
        <v>9780128240885</v>
      </c>
      <c r="H1308" t="s">
        <v>261</v>
      </c>
      <c r="I1308">
        <v>628.54999999999995</v>
      </c>
      <c r="J1308" t="s">
        <v>2218</v>
      </c>
      <c r="K1308" t="s">
        <v>55</v>
      </c>
      <c r="N1308" t="s">
        <v>293</v>
      </c>
      <c r="P1308" t="s">
        <v>80</v>
      </c>
      <c r="Q1308" t="s">
        <v>47</v>
      </c>
      <c r="R1308" t="s">
        <v>44</v>
      </c>
      <c r="S1308">
        <v>0</v>
      </c>
      <c r="W1308" s="3">
        <v>2.2106481481481478E-3</v>
      </c>
      <c r="X1308" t="s">
        <v>2974</v>
      </c>
      <c r="Y1308">
        <v>2</v>
      </c>
      <c r="Z1308">
        <v>0</v>
      </c>
      <c r="AA1308" t="s">
        <v>49</v>
      </c>
      <c r="AB1308">
        <v>0</v>
      </c>
      <c r="AC1308" t="s">
        <v>49</v>
      </c>
      <c r="AD1308">
        <v>0</v>
      </c>
      <c r="AE1308">
        <v>-1</v>
      </c>
      <c r="AF1308" t="s">
        <v>63</v>
      </c>
      <c r="AG1308" t="s">
        <v>388</v>
      </c>
    </row>
    <row r="1309" spans="1:33" x14ac:dyDescent="0.35">
      <c r="A1309" s="1">
        <v>44873.495138888888</v>
      </c>
      <c r="B1309">
        <v>848526</v>
      </c>
      <c r="C1309" t="s">
        <v>2541</v>
      </c>
      <c r="D1309" t="s">
        <v>59</v>
      </c>
      <c r="E1309" s="2">
        <v>41212</v>
      </c>
      <c r="F1309" t="str">
        <f>"9781118310069"</f>
        <v>9781118310069</v>
      </c>
      <c r="G1309" t="str">
        <f>"9780470566671"</f>
        <v>9780470566671</v>
      </c>
      <c r="H1309" t="s">
        <v>2542</v>
      </c>
      <c r="I1309">
        <v>610.28</v>
      </c>
      <c r="J1309" t="s">
        <v>2543</v>
      </c>
      <c r="K1309" t="s">
        <v>44</v>
      </c>
      <c r="N1309" t="s">
        <v>45</v>
      </c>
      <c r="O1309" t="s">
        <v>46</v>
      </c>
      <c r="P1309" t="s">
        <v>45</v>
      </c>
      <c r="Q1309" t="s">
        <v>47</v>
      </c>
      <c r="R1309" t="s">
        <v>44</v>
      </c>
      <c r="S1309">
        <v>0</v>
      </c>
      <c r="W1309" s="3">
        <v>3.0439814814814821E-3</v>
      </c>
      <c r="X1309" t="s">
        <v>2975</v>
      </c>
      <c r="Y1309">
        <v>43</v>
      </c>
      <c r="Z1309">
        <v>5</v>
      </c>
      <c r="AA1309" t="s">
        <v>2976</v>
      </c>
      <c r="AB1309">
        <v>89</v>
      </c>
      <c r="AC1309" t="s">
        <v>49</v>
      </c>
      <c r="AD1309">
        <v>0</v>
      </c>
      <c r="AE1309">
        <v>10615085</v>
      </c>
      <c r="AF1309" t="s">
        <v>50</v>
      </c>
      <c r="AG1309" t="s">
        <v>1536</v>
      </c>
    </row>
    <row r="1310" spans="1:33" x14ac:dyDescent="0.35">
      <c r="A1310" s="1">
        <v>44873.490277777775</v>
      </c>
      <c r="B1310">
        <v>3420318</v>
      </c>
      <c r="C1310" t="s">
        <v>2977</v>
      </c>
      <c r="D1310" t="s">
        <v>347</v>
      </c>
      <c r="E1310" s="2">
        <v>39084</v>
      </c>
      <c r="F1310" t="str">
        <f>"9780300134605"</f>
        <v>9780300134605</v>
      </c>
      <c r="G1310" t="str">
        <f>"9780300103410"</f>
        <v>9780300103410</v>
      </c>
      <c r="H1310" t="s">
        <v>2978</v>
      </c>
      <c r="I1310">
        <v>684.08093759999997</v>
      </c>
      <c r="J1310" t="s">
        <v>2979</v>
      </c>
      <c r="K1310" t="s">
        <v>44</v>
      </c>
      <c r="N1310" t="s">
        <v>45</v>
      </c>
      <c r="O1310" t="s">
        <v>46</v>
      </c>
      <c r="P1310" t="s">
        <v>45</v>
      </c>
      <c r="Q1310" t="s">
        <v>47</v>
      </c>
      <c r="R1310" t="s">
        <v>44</v>
      </c>
      <c r="S1310">
        <v>0</v>
      </c>
      <c r="W1310" s="3">
        <v>1.4583333333333334E-3</v>
      </c>
      <c r="X1310" t="s">
        <v>2980</v>
      </c>
      <c r="Y1310">
        <v>4</v>
      </c>
      <c r="Z1310">
        <v>0</v>
      </c>
      <c r="AA1310" t="s">
        <v>49</v>
      </c>
      <c r="AB1310">
        <v>0</v>
      </c>
      <c r="AC1310" t="s">
        <v>49</v>
      </c>
      <c r="AD1310">
        <v>0</v>
      </c>
      <c r="AE1310">
        <v>10210201</v>
      </c>
      <c r="AF1310" t="s">
        <v>50</v>
      </c>
      <c r="AG1310" t="s">
        <v>2981</v>
      </c>
    </row>
    <row r="1311" spans="1:33" x14ac:dyDescent="0.35">
      <c r="A1311" s="1">
        <v>44873.488888888889</v>
      </c>
      <c r="B1311">
        <v>5962769</v>
      </c>
      <c r="C1311" t="s">
        <v>2982</v>
      </c>
      <c r="D1311" t="s">
        <v>2983</v>
      </c>
      <c r="E1311" s="2">
        <v>42041</v>
      </c>
      <c r="F1311" t="str">
        <f>"9781784910617"</f>
        <v>9781784910617</v>
      </c>
      <c r="G1311" t="str">
        <f>""</f>
        <v/>
      </c>
      <c r="H1311" t="s">
        <v>2984</v>
      </c>
      <c r="I1311">
        <v>738.13093200000003</v>
      </c>
      <c r="J1311" t="s">
        <v>2985</v>
      </c>
      <c r="K1311" t="s">
        <v>44</v>
      </c>
      <c r="N1311" t="s">
        <v>45</v>
      </c>
      <c r="O1311" t="s">
        <v>46</v>
      </c>
      <c r="P1311" t="s">
        <v>45</v>
      </c>
      <c r="Q1311" t="s">
        <v>47</v>
      </c>
      <c r="R1311" t="s">
        <v>44</v>
      </c>
      <c r="S1311">
        <v>0</v>
      </c>
      <c r="W1311" s="3">
        <v>6.134259259259259E-4</v>
      </c>
      <c r="X1311" t="s">
        <v>2986</v>
      </c>
      <c r="Y1311">
        <v>9</v>
      </c>
      <c r="Z1311">
        <v>0</v>
      </c>
      <c r="AA1311" t="s">
        <v>49</v>
      </c>
      <c r="AB1311">
        <v>0</v>
      </c>
      <c r="AC1311" t="s">
        <v>49</v>
      </c>
      <c r="AD1311">
        <v>0</v>
      </c>
      <c r="AE1311">
        <v>-1</v>
      </c>
      <c r="AF1311" t="s">
        <v>50</v>
      </c>
      <c r="AG1311" t="s">
        <v>2981</v>
      </c>
    </row>
    <row r="1312" spans="1:33" x14ac:dyDescent="0.35">
      <c r="A1312" s="1">
        <v>44873.484722222223</v>
      </c>
      <c r="B1312">
        <v>777005</v>
      </c>
      <c r="C1312" t="s">
        <v>2750</v>
      </c>
      <c r="D1312" t="s">
        <v>125</v>
      </c>
      <c r="E1312" s="2">
        <v>40814</v>
      </c>
      <c r="F1312" t="str">
        <f>"9780191619588"</f>
        <v>9780191619588</v>
      </c>
      <c r="G1312" t="str">
        <f>"9780199694914"</f>
        <v>9780199694914</v>
      </c>
      <c r="H1312" t="s">
        <v>1040</v>
      </c>
      <c r="I1312">
        <v>540</v>
      </c>
      <c r="J1312" t="s">
        <v>2751</v>
      </c>
      <c r="K1312" t="s">
        <v>44</v>
      </c>
      <c r="N1312" t="s">
        <v>45</v>
      </c>
      <c r="O1312" t="s">
        <v>46</v>
      </c>
      <c r="P1312" t="s">
        <v>45</v>
      </c>
      <c r="Q1312" t="s">
        <v>47</v>
      </c>
      <c r="R1312" t="s">
        <v>44</v>
      </c>
      <c r="S1312">
        <v>0</v>
      </c>
      <c r="W1312" s="3">
        <v>1.9212962962962962E-3</v>
      </c>
      <c r="X1312" t="s">
        <v>2987</v>
      </c>
      <c r="Y1312">
        <v>9</v>
      </c>
      <c r="Z1312">
        <v>0</v>
      </c>
      <c r="AA1312" t="s">
        <v>49</v>
      </c>
      <c r="AB1312">
        <v>0</v>
      </c>
      <c r="AC1312" t="s">
        <v>49</v>
      </c>
      <c r="AD1312">
        <v>0</v>
      </c>
      <c r="AE1312">
        <v>11198114</v>
      </c>
      <c r="AF1312" t="s">
        <v>50</v>
      </c>
      <c r="AG1312" t="s">
        <v>670</v>
      </c>
    </row>
    <row r="1313" spans="1:33" x14ac:dyDescent="0.35">
      <c r="A1313" s="1">
        <v>44873.479166666664</v>
      </c>
      <c r="B1313">
        <v>3339444</v>
      </c>
      <c r="C1313" t="s">
        <v>2988</v>
      </c>
      <c r="D1313" t="s">
        <v>303</v>
      </c>
      <c r="E1313" s="2">
        <v>40410</v>
      </c>
      <c r="F1313" t="str">
        <f>"9780262289122"</f>
        <v>9780262289122</v>
      </c>
      <c r="G1313" t="str">
        <f>"9780262014625"</f>
        <v>9780262014625</v>
      </c>
      <c r="H1313" t="s">
        <v>2989</v>
      </c>
      <c r="I1313" t="s">
        <v>2990</v>
      </c>
      <c r="J1313" t="s">
        <v>2991</v>
      </c>
      <c r="K1313" t="s">
        <v>44</v>
      </c>
      <c r="N1313" t="s">
        <v>45</v>
      </c>
      <c r="O1313" t="s">
        <v>46</v>
      </c>
      <c r="P1313" t="s">
        <v>45</v>
      </c>
      <c r="Q1313" t="s">
        <v>47</v>
      </c>
      <c r="R1313" t="s">
        <v>44</v>
      </c>
      <c r="S1313">
        <v>0</v>
      </c>
      <c r="W1313" s="3">
        <v>1.5717592592592592E-2</v>
      </c>
      <c r="X1313" t="s">
        <v>2992</v>
      </c>
      <c r="Y1313">
        <v>27</v>
      </c>
      <c r="Z1313">
        <v>0</v>
      </c>
      <c r="AA1313" t="s">
        <v>49</v>
      </c>
      <c r="AB1313">
        <v>0</v>
      </c>
      <c r="AC1313" t="s">
        <v>2993</v>
      </c>
      <c r="AD1313">
        <v>3</v>
      </c>
      <c r="AE1313">
        <v>10562042</v>
      </c>
      <c r="AF1313" t="s">
        <v>50</v>
      </c>
      <c r="AG1313" t="s">
        <v>840</v>
      </c>
    </row>
    <row r="1314" spans="1:33" x14ac:dyDescent="0.35">
      <c r="A1314" s="1">
        <v>44873.476388888892</v>
      </c>
      <c r="B1314">
        <v>848526</v>
      </c>
      <c r="C1314" t="s">
        <v>2541</v>
      </c>
      <c r="D1314" t="s">
        <v>59</v>
      </c>
      <c r="E1314" s="2">
        <v>41212</v>
      </c>
      <c r="F1314" t="str">
        <f>"9781118310069"</f>
        <v>9781118310069</v>
      </c>
      <c r="G1314" t="str">
        <f>"9780470566671"</f>
        <v>9780470566671</v>
      </c>
      <c r="H1314" t="s">
        <v>2542</v>
      </c>
      <c r="I1314">
        <v>610.28</v>
      </c>
      <c r="J1314" t="s">
        <v>2543</v>
      </c>
      <c r="K1314" t="s">
        <v>44</v>
      </c>
      <c r="N1314" t="s">
        <v>45</v>
      </c>
      <c r="O1314" t="s">
        <v>46</v>
      </c>
      <c r="P1314" t="s">
        <v>45</v>
      </c>
      <c r="Q1314" t="s">
        <v>47</v>
      </c>
      <c r="R1314" t="s">
        <v>44</v>
      </c>
      <c r="S1314">
        <v>2</v>
      </c>
      <c r="W1314" s="3">
        <v>1.1574074074074073E-5</v>
      </c>
      <c r="X1314" t="s">
        <v>49</v>
      </c>
      <c r="Y1314">
        <v>0</v>
      </c>
      <c r="Z1314">
        <v>3</v>
      </c>
      <c r="AA1314" t="s">
        <v>2690</v>
      </c>
      <c r="AB1314">
        <v>78</v>
      </c>
      <c r="AC1314" t="s">
        <v>49</v>
      </c>
      <c r="AD1314">
        <v>0</v>
      </c>
      <c r="AE1314">
        <v>10615085</v>
      </c>
      <c r="AF1314" t="s">
        <v>63</v>
      </c>
      <c r="AG1314" t="s">
        <v>388</v>
      </c>
    </row>
    <row r="1315" spans="1:33" x14ac:dyDescent="0.35">
      <c r="A1315" s="1">
        <v>44873.470138888886</v>
      </c>
      <c r="B1315">
        <v>848526</v>
      </c>
      <c r="C1315" t="s">
        <v>2541</v>
      </c>
      <c r="D1315" t="s">
        <v>59</v>
      </c>
      <c r="E1315" s="2">
        <v>41212</v>
      </c>
      <c r="F1315" t="str">
        <f>"9781118310069"</f>
        <v>9781118310069</v>
      </c>
      <c r="G1315" t="str">
        <f>"9780470566671"</f>
        <v>9780470566671</v>
      </c>
      <c r="H1315" t="s">
        <v>2542</v>
      </c>
      <c r="I1315">
        <v>610.28</v>
      </c>
      <c r="J1315" t="s">
        <v>2543</v>
      </c>
      <c r="K1315" t="s">
        <v>44</v>
      </c>
      <c r="N1315" t="s">
        <v>45</v>
      </c>
      <c r="O1315" t="s">
        <v>46</v>
      </c>
      <c r="P1315" t="s">
        <v>45</v>
      </c>
      <c r="Q1315" t="s">
        <v>47</v>
      </c>
      <c r="R1315" t="s">
        <v>44</v>
      </c>
      <c r="S1315">
        <v>0</v>
      </c>
      <c r="W1315" s="3">
        <v>3.4675925925925923E-2</v>
      </c>
      <c r="X1315" t="s">
        <v>2994</v>
      </c>
      <c r="Y1315">
        <v>36</v>
      </c>
      <c r="Z1315">
        <v>1</v>
      </c>
      <c r="AA1315" t="s">
        <v>2995</v>
      </c>
      <c r="AB1315">
        <v>3</v>
      </c>
      <c r="AC1315" t="s">
        <v>2996</v>
      </c>
      <c r="AD1315">
        <v>6</v>
      </c>
      <c r="AE1315">
        <v>10615085</v>
      </c>
      <c r="AF1315" t="s">
        <v>50</v>
      </c>
      <c r="AG1315" t="s">
        <v>2780</v>
      </c>
    </row>
    <row r="1316" spans="1:33" x14ac:dyDescent="0.35">
      <c r="A1316" s="1">
        <v>44873.454861111109</v>
      </c>
      <c r="B1316">
        <v>848526</v>
      </c>
      <c r="C1316" t="s">
        <v>2541</v>
      </c>
      <c r="D1316" t="s">
        <v>59</v>
      </c>
      <c r="E1316" s="2">
        <v>41212</v>
      </c>
      <c r="F1316" t="str">
        <f>"9781118310069"</f>
        <v>9781118310069</v>
      </c>
      <c r="G1316" t="str">
        <f>"9780470566671"</f>
        <v>9780470566671</v>
      </c>
      <c r="H1316" t="s">
        <v>2542</v>
      </c>
      <c r="I1316">
        <v>610.28</v>
      </c>
      <c r="J1316" t="s">
        <v>2543</v>
      </c>
      <c r="K1316" t="s">
        <v>44</v>
      </c>
      <c r="N1316" t="s">
        <v>45</v>
      </c>
      <c r="O1316" t="s">
        <v>46</v>
      </c>
      <c r="P1316" t="s">
        <v>45</v>
      </c>
      <c r="Q1316" t="s">
        <v>47</v>
      </c>
      <c r="R1316" t="s">
        <v>44</v>
      </c>
      <c r="S1316">
        <v>0</v>
      </c>
      <c r="W1316" s="3">
        <v>1.0486111111111111E-2</v>
      </c>
      <c r="X1316" t="s">
        <v>2997</v>
      </c>
      <c r="Y1316">
        <v>17</v>
      </c>
      <c r="Z1316">
        <v>0</v>
      </c>
      <c r="AA1316" t="s">
        <v>49</v>
      </c>
      <c r="AB1316">
        <v>0</v>
      </c>
      <c r="AC1316" t="s">
        <v>49</v>
      </c>
      <c r="AD1316">
        <v>0</v>
      </c>
      <c r="AE1316">
        <v>10615085</v>
      </c>
      <c r="AF1316" t="s">
        <v>50</v>
      </c>
      <c r="AG1316" t="s">
        <v>1536</v>
      </c>
    </row>
    <row r="1317" spans="1:33" x14ac:dyDescent="0.35">
      <c r="A1317" s="1">
        <v>44873.345138888886</v>
      </c>
      <c r="B1317">
        <v>165398</v>
      </c>
      <c r="C1317" t="s">
        <v>1983</v>
      </c>
      <c r="D1317" t="s">
        <v>76</v>
      </c>
      <c r="E1317" s="2">
        <v>35999</v>
      </c>
      <c r="F1317" t="str">
        <f>"9780203017432"</f>
        <v>9780203017432</v>
      </c>
      <c r="G1317" t="str">
        <f>"9780415061322"</f>
        <v>9780415061322</v>
      </c>
      <c r="H1317" t="s">
        <v>1984</v>
      </c>
      <c r="I1317">
        <v>909.09749269999998</v>
      </c>
      <c r="J1317" t="s">
        <v>1985</v>
      </c>
      <c r="K1317" t="s">
        <v>44</v>
      </c>
      <c r="N1317" t="s">
        <v>45</v>
      </c>
      <c r="O1317" t="s">
        <v>46</v>
      </c>
      <c r="P1317" t="s">
        <v>45</v>
      </c>
      <c r="Q1317" t="s">
        <v>47</v>
      </c>
      <c r="R1317" t="s">
        <v>44</v>
      </c>
      <c r="S1317">
        <v>0</v>
      </c>
      <c r="W1317" s="3">
        <v>1.4351851851851854E-3</v>
      </c>
      <c r="X1317" t="s">
        <v>2998</v>
      </c>
      <c r="Y1317">
        <v>6</v>
      </c>
      <c r="Z1317">
        <v>0</v>
      </c>
      <c r="AA1317" t="s">
        <v>49</v>
      </c>
      <c r="AB1317">
        <v>0</v>
      </c>
      <c r="AC1317" t="s">
        <v>49</v>
      </c>
      <c r="AD1317">
        <v>0</v>
      </c>
      <c r="AE1317">
        <v>10017085</v>
      </c>
      <c r="AF1317" t="s">
        <v>50</v>
      </c>
      <c r="AG1317" t="s">
        <v>670</v>
      </c>
    </row>
    <row r="1318" spans="1:33" x14ac:dyDescent="0.35">
      <c r="A1318" s="1">
        <v>44873.335416666669</v>
      </c>
      <c r="B1318">
        <v>180072</v>
      </c>
      <c r="C1318" t="s">
        <v>2798</v>
      </c>
      <c r="D1318" t="s">
        <v>76</v>
      </c>
      <c r="E1318" s="2">
        <v>35194</v>
      </c>
      <c r="F1318" t="str">
        <f>"9780203403600"</f>
        <v>9780203403600</v>
      </c>
      <c r="G1318" t="str">
        <f>"9780415020633"</f>
        <v>9780415020633</v>
      </c>
      <c r="H1318" t="s">
        <v>2799</v>
      </c>
      <c r="I1318" t="s">
        <v>2800</v>
      </c>
      <c r="J1318" t="s">
        <v>2801</v>
      </c>
      <c r="K1318" t="s">
        <v>44</v>
      </c>
      <c r="N1318" t="s">
        <v>45</v>
      </c>
      <c r="O1318" t="s">
        <v>46</v>
      </c>
      <c r="P1318" t="s">
        <v>45</v>
      </c>
      <c r="Q1318" t="s">
        <v>47</v>
      </c>
      <c r="R1318" t="s">
        <v>44</v>
      </c>
      <c r="S1318">
        <v>0</v>
      </c>
      <c r="W1318" s="3">
        <v>5.8912037037037032E-3</v>
      </c>
      <c r="X1318" t="s">
        <v>2999</v>
      </c>
      <c r="Y1318">
        <v>12</v>
      </c>
      <c r="Z1318">
        <v>0</v>
      </c>
      <c r="AA1318" t="s">
        <v>49</v>
      </c>
      <c r="AB1318">
        <v>0</v>
      </c>
      <c r="AC1318" t="s">
        <v>49</v>
      </c>
      <c r="AD1318">
        <v>0</v>
      </c>
      <c r="AE1318">
        <v>11163958</v>
      </c>
      <c r="AF1318" t="s">
        <v>50</v>
      </c>
      <c r="AG1318" t="s">
        <v>670</v>
      </c>
    </row>
    <row r="1319" spans="1:33" x14ac:dyDescent="0.35">
      <c r="A1319" s="1">
        <v>44873.331944444442</v>
      </c>
      <c r="B1319">
        <v>5116192</v>
      </c>
      <c r="C1319" t="s">
        <v>3000</v>
      </c>
      <c r="D1319" t="s">
        <v>115</v>
      </c>
      <c r="E1319" s="2">
        <v>43031</v>
      </c>
      <c r="F1319" t="str">
        <f>"9783110571424"</f>
        <v>9783110571424</v>
      </c>
      <c r="G1319" t="str">
        <f>"9783110568233"</f>
        <v>9783110568233</v>
      </c>
      <c r="H1319" t="s">
        <v>43</v>
      </c>
      <c r="I1319" t="s">
        <v>3001</v>
      </c>
      <c r="J1319" t="s">
        <v>3002</v>
      </c>
      <c r="K1319" t="s">
        <v>44</v>
      </c>
      <c r="N1319" t="s">
        <v>45</v>
      </c>
      <c r="O1319" t="s">
        <v>46</v>
      </c>
      <c r="P1319" t="s">
        <v>45</v>
      </c>
      <c r="Q1319" t="s">
        <v>47</v>
      </c>
      <c r="R1319" t="s">
        <v>44</v>
      </c>
      <c r="S1319">
        <v>0</v>
      </c>
      <c r="W1319" s="3">
        <v>2.2685185185185182E-3</v>
      </c>
      <c r="X1319" t="s">
        <v>3003</v>
      </c>
      <c r="Y1319">
        <v>21</v>
      </c>
      <c r="Z1319">
        <v>0</v>
      </c>
      <c r="AA1319" t="s">
        <v>49</v>
      </c>
      <c r="AB1319">
        <v>0</v>
      </c>
      <c r="AC1319" t="s">
        <v>49</v>
      </c>
      <c r="AD1319">
        <v>0</v>
      </c>
      <c r="AE1319">
        <v>11462281</v>
      </c>
      <c r="AF1319" t="s">
        <v>50</v>
      </c>
      <c r="AG1319" t="s">
        <v>670</v>
      </c>
    </row>
    <row r="1320" spans="1:33" x14ac:dyDescent="0.35">
      <c r="A1320" s="1">
        <v>44873.324999999997</v>
      </c>
      <c r="B1320">
        <v>2056396</v>
      </c>
      <c r="C1320" t="s">
        <v>3004</v>
      </c>
      <c r="D1320" t="s">
        <v>1224</v>
      </c>
      <c r="E1320" s="2">
        <v>42118</v>
      </c>
      <c r="F1320" t="str">
        <f>"9781501502385"</f>
        <v>9781501502385</v>
      </c>
      <c r="G1320" t="str">
        <f>"9781501510700"</f>
        <v>9781501510700</v>
      </c>
      <c r="H1320" t="s">
        <v>3005</v>
      </c>
      <c r="I1320" t="s">
        <v>3006</v>
      </c>
      <c r="J1320" t="s">
        <v>3007</v>
      </c>
      <c r="K1320" t="s">
        <v>44</v>
      </c>
      <c r="N1320" t="s">
        <v>45</v>
      </c>
      <c r="O1320" t="s">
        <v>46</v>
      </c>
      <c r="P1320" t="s">
        <v>45</v>
      </c>
      <c r="Q1320" t="s">
        <v>47</v>
      </c>
      <c r="R1320" t="s">
        <v>44</v>
      </c>
      <c r="S1320">
        <v>0</v>
      </c>
      <c r="W1320" s="3">
        <v>6.145833333333333E-3</v>
      </c>
      <c r="X1320" t="s">
        <v>3008</v>
      </c>
      <c r="Y1320">
        <v>20</v>
      </c>
      <c r="Z1320">
        <v>0</v>
      </c>
      <c r="AA1320" t="s">
        <v>49</v>
      </c>
      <c r="AB1320">
        <v>0</v>
      </c>
      <c r="AC1320" t="s">
        <v>49</v>
      </c>
      <c r="AD1320">
        <v>0</v>
      </c>
      <c r="AE1320">
        <v>11059847</v>
      </c>
      <c r="AF1320" t="s">
        <v>50</v>
      </c>
      <c r="AG1320" t="s">
        <v>670</v>
      </c>
    </row>
    <row r="1321" spans="1:33" x14ac:dyDescent="0.35">
      <c r="A1321" s="1">
        <v>44873.322916666664</v>
      </c>
      <c r="B1321">
        <v>6846171</v>
      </c>
      <c r="C1321" t="s">
        <v>2305</v>
      </c>
      <c r="D1321" t="s">
        <v>76</v>
      </c>
      <c r="E1321" s="2">
        <v>44531</v>
      </c>
      <c r="F1321" t="str">
        <f>"9781000513400"</f>
        <v>9781000513400</v>
      </c>
      <c r="G1321" t="str">
        <f>"9780367139377"</f>
        <v>9780367139377</v>
      </c>
      <c r="H1321" t="s">
        <v>171</v>
      </c>
      <c r="I1321" t="s">
        <v>2306</v>
      </c>
      <c r="J1321" t="s">
        <v>2307</v>
      </c>
      <c r="K1321" t="s">
        <v>55</v>
      </c>
      <c r="Q1321" t="s">
        <v>47</v>
      </c>
      <c r="R1321" t="s">
        <v>44</v>
      </c>
      <c r="S1321">
        <v>0</v>
      </c>
      <c r="W1321" s="3">
        <v>4.6874999999999998E-3</v>
      </c>
      <c r="X1321" t="s">
        <v>3009</v>
      </c>
      <c r="Y1321">
        <v>15</v>
      </c>
      <c r="Z1321">
        <v>0</v>
      </c>
      <c r="AA1321" t="s">
        <v>49</v>
      </c>
      <c r="AB1321">
        <v>0</v>
      </c>
      <c r="AC1321" t="s">
        <v>49</v>
      </c>
      <c r="AD1321">
        <v>0</v>
      </c>
      <c r="AE1321">
        <v>-1</v>
      </c>
      <c r="AF1321" t="s">
        <v>50</v>
      </c>
      <c r="AG1321" t="s">
        <v>670</v>
      </c>
    </row>
    <row r="1322" spans="1:33" x14ac:dyDescent="0.35">
      <c r="A1322" s="1">
        <v>44873.301388888889</v>
      </c>
      <c r="B1322">
        <v>3338641</v>
      </c>
      <c r="C1322" t="s">
        <v>302</v>
      </c>
      <c r="D1322" t="s">
        <v>303</v>
      </c>
      <c r="E1322" s="2">
        <v>39143</v>
      </c>
      <c r="F1322" t="str">
        <f>"9780262282888"</f>
        <v>9780262282888</v>
      </c>
      <c r="G1322" t="str">
        <f>"9780262195577"</f>
        <v>9780262195577</v>
      </c>
      <c r="H1322" t="s">
        <v>304</v>
      </c>
      <c r="I1322" t="s">
        <v>305</v>
      </c>
      <c r="K1322" t="s">
        <v>44</v>
      </c>
      <c r="N1322" t="s">
        <v>45</v>
      </c>
      <c r="O1322" t="s">
        <v>46</v>
      </c>
      <c r="P1322" t="s">
        <v>45</v>
      </c>
      <c r="Q1322" t="s">
        <v>47</v>
      </c>
      <c r="R1322" t="s">
        <v>44</v>
      </c>
      <c r="S1322">
        <v>0</v>
      </c>
      <c r="W1322" s="3">
        <v>5.1967592592592595E-3</v>
      </c>
      <c r="X1322" t="s">
        <v>3010</v>
      </c>
      <c r="Y1322">
        <v>9</v>
      </c>
      <c r="Z1322">
        <v>0</v>
      </c>
      <c r="AA1322" t="s">
        <v>49</v>
      </c>
      <c r="AB1322">
        <v>0</v>
      </c>
      <c r="AC1322" t="s">
        <v>49</v>
      </c>
      <c r="AD1322">
        <v>0</v>
      </c>
      <c r="AE1322">
        <v>10173702</v>
      </c>
      <c r="AF1322" t="s">
        <v>50</v>
      </c>
      <c r="AG1322" t="s">
        <v>670</v>
      </c>
    </row>
    <row r="1323" spans="1:33" x14ac:dyDescent="0.35">
      <c r="A1323" s="1">
        <v>44873.277083333334</v>
      </c>
      <c r="B1323">
        <v>3338641</v>
      </c>
      <c r="C1323" t="s">
        <v>302</v>
      </c>
      <c r="D1323" t="s">
        <v>303</v>
      </c>
      <c r="E1323" s="2">
        <v>39143</v>
      </c>
      <c r="F1323" t="str">
        <f>"9780262282888"</f>
        <v>9780262282888</v>
      </c>
      <c r="G1323" t="str">
        <f>"9780262195577"</f>
        <v>9780262195577</v>
      </c>
      <c r="H1323" t="s">
        <v>304</v>
      </c>
      <c r="I1323" t="s">
        <v>305</v>
      </c>
      <c r="K1323" t="s">
        <v>44</v>
      </c>
      <c r="N1323" t="s">
        <v>45</v>
      </c>
      <c r="O1323" t="s">
        <v>46</v>
      </c>
      <c r="P1323" t="s">
        <v>45</v>
      </c>
      <c r="Q1323" t="s">
        <v>47</v>
      </c>
      <c r="R1323" t="s">
        <v>44</v>
      </c>
      <c r="S1323">
        <v>0</v>
      </c>
      <c r="W1323" s="3">
        <v>2.4305555555555552E-4</v>
      </c>
      <c r="X1323" t="s">
        <v>3011</v>
      </c>
      <c r="Y1323">
        <v>5</v>
      </c>
      <c r="Z1323">
        <v>0</v>
      </c>
      <c r="AA1323" t="s">
        <v>49</v>
      </c>
      <c r="AB1323">
        <v>0</v>
      </c>
      <c r="AC1323" t="s">
        <v>49</v>
      </c>
      <c r="AD1323">
        <v>0</v>
      </c>
      <c r="AE1323">
        <v>10173702</v>
      </c>
      <c r="AF1323" t="s">
        <v>50</v>
      </c>
      <c r="AG1323" t="s">
        <v>670</v>
      </c>
    </row>
    <row r="1324" spans="1:33" x14ac:dyDescent="0.35">
      <c r="A1324" s="1">
        <v>44873.072916666664</v>
      </c>
      <c r="B1324">
        <v>5139938</v>
      </c>
      <c r="C1324" t="s">
        <v>295</v>
      </c>
      <c r="D1324" t="s">
        <v>296</v>
      </c>
      <c r="E1324" s="2">
        <v>41852</v>
      </c>
      <c r="F1324" t="str">
        <f>"9781613994078"</f>
        <v>9781613994078</v>
      </c>
      <c r="G1324" t="str">
        <f>"9781613993286"</f>
        <v>9781613993286</v>
      </c>
      <c r="H1324" t="s">
        <v>297</v>
      </c>
      <c r="I1324">
        <v>622.33820000000003</v>
      </c>
      <c r="J1324" t="s">
        <v>298</v>
      </c>
      <c r="K1324" t="s">
        <v>44</v>
      </c>
      <c r="N1324" t="s">
        <v>45</v>
      </c>
      <c r="O1324" t="s">
        <v>46</v>
      </c>
      <c r="P1324" t="s">
        <v>45</v>
      </c>
      <c r="Q1324" t="s">
        <v>47</v>
      </c>
      <c r="R1324" t="s">
        <v>44</v>
      </c>
      <c r="S1324">
        <v>0</v>
      </c>
      <c r="W1324" s="3">
        <v>0</v>
      </c>
      <c r="X1324" t="s">
        <v>49</v>
      </c>
      <c r="Y1324">
        <v>0</v>
      </c>
      <c r="Z1324">
        <v>1</v>
      </c>
      <c r="AA1324" t="s">
        <v>301</v>
      </c>
      <c r="AB1324">
        <v>40</v>
      </c>
      <c r="AC1324" t="s">
        <v>49</v>
      </c>
      <c r="AD1324">
        <v>0</v>
      </c>
      <c r="AE1324">
        <v>11465346</v>
      </c>
      <c r="AF1324" t="s">
        <v>50</v>
      </c>
      <c r="AG1324" t="s">
        <v>1536</v>
      </c>
    </row>
    <row r="1325" spans="1:33" x14ac:dyDescent="0.35">
      <c r="A1325" s="1">
        <v>44873.072916666664</v>
      </c>
      <c r="B1325">
        <v>5139938</v>
      </c>
      <c r="C1325" t="s">
        <v>295</v>
      </c>
      <c r="D1325" t="s">
        <v>296</v>
      </c>
      <c r="E1325" s="2">
        <v>41852</v>
      </c>
      <c r="F1325" t="str">
        <f>"9781613994078"</f>
        <v>9781613994078</v>
      </c>
      <c r="G1325" t="str">
        <f>"9781613993286"</f>
        <v>9781613993286</v>
      </c>
      <c r="H1325" t="s">
        <v>297</v>
      </c>
      <c r="I1325">
        <v>622.33820000000003</v>
      </c>
      <c r="J1325" t="s">
        <v>298</v>
      </c>
      <c r="K1325" t="s">
        <v>44</v>
      </c>
      <c r="N1325" t="s">
        <v>45</v>
      </c>
      <c r="O1325" t="s">
        <v>46</v>
      </c>
      <c r="P1325" t="s">
        <v>45</v>
      </c>
      <c r="Q1325" t="s">
        <v>47</v>
      </c>
      <c r="R1325" t="s">
        <v>44</v>
      </c>
      <c r="S1325">
        <v>0</v>
      </c>
      <c r="W1325" s="3">
        <v>3.9351851851851852E-4</v>
      </c>
      <c r="X1325" t="s">
        <v>3012</v>
      </c>
      <c r="Y1325">
        <v>3</v>
      </c>
      <c r="Z1325">
        <v>2</v>
      </c>
      <c r="AA1325" t="s">
        <v>3013</v>
      </c>
      <c r="AB1325">
        <v>84</v>
      </c>
      <c r="AC1325" t="s">
        <v>49</v>
      </c>
      <c r="AD1325">
        <v>0</v>
      </c>
      <c r="AE1325">
        <v>11465346</v>
      </c>
      <c r="AF1325" t="s">
        <v>50</v>
      </c>
      <c r="AG1325" t="s">
        <v>388</v>
      </c>
    </row>
    <row r="1326" spans="1:33" x14ac:dyDescent="0.35">
      <c r="A1326" s="1">
        <v>44872.927777777775</v>
      </c>
      <c r="B1326">
        <v>6785033</v>
      </c>
      <c r="C1326" t="s">
        <v>2918</v>
      </c>
      <c r="D1326" t="s">
        <v>2919</v>
      </c>
      <c r="E1326" s="2">
        <v>44684</v>
      </c>
      <c r="F1326" t="str">
        <f>"9781847741745"</f>
        <v>9781847741745</v>
      </c>
      <c r="G1326" t="str">
        <f>""</f>
        <v/>
      </c>
      <c r="H1326" t="s">
        <v>1396</v>
      </c>
      <c r="I1326">
        <v>909.09767099999999</v>
      </c>
      <c r="J1326" t="s">
        <v>2920</v>
      </c>
      <c r="K1326" t="s">
        <v>55</v>
      </c>
      <c r="Q1326" t="s">
        <v>47</v>
      </c>
      <c r="R1326" t="s">
        <v>44</v>
      </c>
      <c r="S1326">
        <v>0</v>
      </c>
      <c r="W1326" s="3">
        <v>9.7222222222222209E-4</v>
      </c>
      <c r="X1326" t="s">
        <v>3014</v>
      </c>
      <c r="Y1326">
        <v>4</v>
      </c>
      <c r="Z1326">
        <v>0</v>
      </c>
      <c r="AA1326" t="s">
        <v>49</v>
      </c>
      <c r="AB1326">
        <v>0</v>
      </c>
      <c r="AC1326" t="s">
        <v>49</v>
      </c>
      <c r="AD1326">
        <v>0</v>
      </c>
      <c r="AE1326">
        <v>-1</v>
      </c>
      <c r="AF1326" t="s">
        <v>50</v>
      </c>
      <c r="AG1326" t="s">
        <v>505</v>
      </c>
    </row>
    <row r="1327" spans="1:33" x14ac:dyDescent="0.35">
      <c r="A1327" s="1">
        <v>44872.92083333333</v>
      </c>
      <c r="B1327">
        <v>6785033</v>
      </c>
      <c r="C1327" t="s">
        <v>2918</v>
      </c>
      <c r="D1327" t="s">
        <v>2919</v>
      </c>
      <c r="E1327" s="2">
        <v>44684</v>
      </c>
      <c r="F1327" t="str">
        <f>"9781847741745"</f>
        <v>9781847741745</v>
      </c>
      <c r="G1327" t="str">
        <f>""</f>
        <v/>
      </c>
      <c r="H1327" t="s">
        <v>1396</v>
      </c>
      <c r="I1327">
        <v>909.09767099999999</v>
      </c>
      <c r="J1327" t="s">
        <v>2920</v>
      </c>
      <c r="K1327" t="s">
        <v>55</v>
      </c>
      <c r="Q1327" t="s">
        <v>47</v>
      </c>
      <c r="R1327" t="s">
        <v>44</v>
      </c>
      <c r="S1327">
        <v>0</v>
      </c>
      <c r="W1327" s="3">
        <v>1.1354166666666667E-2</v>
      </c>
      <c r="X1327" t="s">
        <v>3015</v>
      </c>
      <c r="Y1327">
        <v>16</v>
      </c>
      <c r="Z1327">
        <v>0</v>
      </c>
      <c r="AA1327" t="s">
        <v>49</v>
      </c>
      <c r="AB1327">
        <v>0</v>
      </c>
      <c r="AC1327" t="s">
        <v>49</v>
      </c>
      <c r="AD1327">
        <v>0</v>
      </c>
      <c r="AE1327">
        <v>-1</v>
      </c>
      <c r="AF1327" t="s">
        <v>63</v>
      </c>
      <c r="AG1327" t="s">
        <v>2241</v>
      </c>
    </row>
    <row r="1328" spans="1:33" x14ac:dyDescent="0.35">
      <c r="A1328" s="1">
        <v>44872.911111111112</v>
      </c>
      <c r="B1328">
        <v>3339444</v>
      </c>
      <c r="C1328" t="s">
        <v>2988</v>
      </c>
      <c r="D1328" t="s">
        <v>303</v>
      </c>
      <c r="E1328" s="2">
        <v>40410</v>
      </c>
      <c r="F1328" t="str">
        <f>"9780262289122"</f>
        <v>9780262289122</v>
      </c>
      <c r="G1328" t="str">
        <f>"9780262014625"</f>
        <v>9780262014625</v>
      </c>
      <c r="H1328" t="s">
        <v>2989</v>
      </c>
      <c r="I1328" t="s">
        <v>2990</v>
      </c>
      <c r="J1328" t="s">
        <v>2991</v>
      </c>
      <c r="K1328" t="s">
        <v>44</v>
      </c>
      <c r="N1328" t="s">
        <v>45</v>
      </c>
      <c r="O1328" t="s">
        <v>46</v>
      </c>
      <c r="P1328" t="s">
        <v>45</v>
      </c>
      <c r="Q1328" t="s">
        <v>47</v>
      </c>
      <c r="R1328" t="s">
        <v>44</v>
      </c>
      <c r="S1328">
        <v>0</v>
      </c>
      <c r="W1328" s="3">
        <v>4.0879629629629634E-2</v>
      </c>
      <c r="X1328" t="s">
        <v>3016</v>
      </c>
      <c r="Y1328">
        <v>17</v>
      </c>
      <c r="Z1328">
        <v>0</v>
      </c>
      <c r="AA1328" t="s">
        <v>49</v>
      </c>
      <c r="AB1328">
        <v>0</v>
      </c>
      <c r="AC1328" t="s">
        <v>3017</v>
      </c>
      <c r="AD1328">
        <v>1</v>
      </c>
      <c r="AE1328">
        <v>10562042</v>
      </c>
      <c r="AF1328" t="s">
        <v>50</v>
      </c>
      <c r="AG1328" t="s">
        <v>840</v>
      </c>
    </row>
    <row r="1329" spans="1:33" x14ac:dyDescent="0.35">
      <c r="A1329" s="1">
        <v>44872.897222222222</v>
      </c>
      <c r="B1329">
        <v>4011933</v>
      </c>
      <c r="C1329" t="s">
        <v>3018</v>
      </c>
      <c r="D1329" t="s">
        <v>65</v>
      </c>
      <c r="E1329" s="2">
        <v>42335</v>
      </c>
      <c r="F1329" t="str">
        <f>"9780128018484"</f>
        <v>9780128018484</v>
      </c>
      <c r="G1329" t="str">
        <f>"9780128017753"</f>
        <v>9780128017753</v>
      </c>
      <c r="H1329" t="s">
        <v>789</v>
      </c>
      <c r="I1329">
        <v>635.95399999999995</v>
      </c>
      <c r="J1329" t="s">
        <v>3019</v>
      </c>
      <c r="K1329" t="s">
        <v>44</v>
      </c>
      <c r="N1329" t="s">
        <v>45</v>
      </c>
      <c r="O1329" t="s">
        <v>46</v>
      </c>
      <c r="P1329" t="s">
        <v>45</v>
      </c>
      <c r="Q1329" t="s">
        <v>47</v>
      </c>
      <c r="R1329" t="s">
        <v>44</v>
      </c>
      <c r="S1329">
        <v>2</v>
      </c>
      <c r="W1329" s="3">
        <v>0</v>
      </c>
      <c r="X1329" t="s">
        <v>3020</v>
      </c>
      <c r="Y1329">
        <v>1</v>
      </c>
      <c r="Z1329">
        <v>0</v>
      </c>
      <c r="AA1329" t="s">
        <v>49</v>
      </c>
      <c r="AB1329">
        <v>0</v>
      </c>
      <c r="AC1329" t="s">
        <v>49</v>
      </c>
      <c r="AD1329">
        <v>0</v>
      </c>
      <c r="AE1329">
        <v>11116860</v>
      </c>
      <c r="AF1329" t="s">
        <v>63</v>
      </c>
      <c r="AG1329" t="s">
        <v>388</v>
      </c>
    </row>
    <row r="1330" spans="1:33" x14ac:dyDescent="0.35">
      <c r="A1330" s="1">
        <v>44872.895833333336</v>
      </c>
      <c r="B1330">
        <v>4011933</v>
      </c>
      <c r="C1330" t="s">
        <v>3018</v>
      </c>
      <c r="D1330" t="s">
        <v>65</v>
      </c>
      <c r="E1330" s="2">
        <v>42335</v>
      </c>
      <c r="F1330" t="str">
        <f>"9780128018484"</f>
        <v>9780128018484</v>
      </c>
      <c r="G1330" t="str">
        <f>"9780128017753"</f>
        <v>9780128017753</v>
      </c>
      <c r="H1330" t="s">
        <v>789</v>
      </c>
      <c r="I1330">
        <v>635.95399999999995</v>
      </c>
      <c r="J1330" t="s">
        <v>3019</v>
      </c>
      <c r="K1330" t="s">
        <v>44</v>
      </c>
      <c r="N1330" t="s">
        <v>45</v>
      </c>
      <c r="O1330" t="s">
        <v>46</v>
      </c>
      <c r="P1330" t="s">
        <v>45</v>
      </c>
      <c r="Q1330" t="s">
        <v>47</v>
      </c>
      <c r="R1330" t="s">
        <v>44</v>
      </c>
      <c r="S1330">
        <v>0</v>
      </c>
      <c r="W1330" s="3">
        <v>1.8055555555555557E-3</v>
      </c>
      <c r="X1330" t="s">
        <v>3021</v>
      </c>
      <c r="Y1330">
        <v>5</v>
      </c>
      <c r="Z1330">
        <v>1</v>
      </c>
      <c r="AA1330" t="s">
        <v>56</v>
      </c>
      <c r="AB1330">
        <v>3</v>
      </c>
      <c r="AC1330" t="s">
        <v>49</v>
      </c>
      <c r="AD1330">
        <v>0</v>
      </c>
      <c r="AE1330">
        <v>11116860</v>
      </c>
      <c r="AF1330" t="s">
        <v>63</v>
      </c>
      <c r="AG1330" t="s">
        <v>388</v>
      </c>
    </row>
    <row r="1331" spans="1:33" x14ac:dyDescent="0.35">
      <c r="A1331" s="1">
        <v>44872.893055555556</v>
      </c>
      <c r="B1331">
        <v>4183127</v>
      </c>
      <c r="C1331" t="s">
        <v>190</v>
      </c>
      <c r="D1331" t="s">
        <v>59</v>
      </c>
      <c r="E1331" s="2">
        <v>42310</v>
      </c>
      <c r="F1331" t="str">
        <f>"9783527684649"</f>
        <v>9783527684649</v>
      </c>
      <c r="G1331" t="str">
        <f>"9783527331659"</f>
        <v>9783527331659</v>
      </c>
      <c r="H1331" t="s">
        <v>191</v>
      </c>
      <c r="I1331" t="s">
        <v>192</v>
      </c>
      <c r="J1331" t="s">
        <v>193</v>
      </c>
      <c r="K1331" t="s">
        <v>44</v>
      </c>
      <c r="N1331" t="s">
        <v>45</v>
      </c>
      <c r="O1331" t="s">
        <v>46</v>
      </c>
      <c r="P1331" t="s">
        <v>45</v>
      </c>
      <c r="Q1331" t="s">
        <v>47</v>
      </c>
      <c r="R1331" t="s">
        <v>44</v>
      </c>
      <c r="S1331">
        <v>1</v>
      </c>
      <c r="W1331" s="3">
        <v>1.9675925925925928E-3</v>
      </c>
      <c r="X1331" t="s">
        <v>3022</v>
      </c>
      <c r="Y1331">
        <v>23</v>
      </c>
      <c r="Z1331">
        <v>3</v>
      </c>
      <c r="AA1331" t="s">
        <v>3023</v>
      </c>
      <c r="AB1331">
        <v>46</v>
      </c>
      <c r="AC1331" t="s">
        <v>49</v>
      </c>
      <c r="AD1331">
        <v>0</v>
      </c>
      <c r="AE1331">
        <v>11125579</v>
      </c>
      <c r="AF1331" t="s">
        <v>63</v>
      </c>
      <c r="AG1331" t="s">
        <v>1699</v>
      </c>
    </row>
    <row r="1332" spans="1:33" x14ac:dyDescent="0.35">
      <c r="A1332" s="1">
        <v>44872.887499999997</v>
      </c>
      <c r="B1332">
        <v>4183127</v>
      </c>
      <c r="C1332" t="s">
        <v>190</v>
      </c>
      <c r="D1332" t="s">
        <v>59</v>
      </c>
      <c r="E1332" s="2">
        <v>42310</v>
      </c>
      <c r="F1332" t="str">
        <f>"9783527684649"</f>
        <v>9783527684649</v>
      </c>
      <c r="G1332" t="str">
        <f>"9783527331659"</f>
        <v>9783527331659</v>
      </c>
      <c r="H1332" t="s">
        <v>191</v>
      </c>
      <c r="I1332" t="s">
        <v>192</v>
      </c>
      <c r="J1332" t="s">
        <v>193</v>
      </c>
      <c r="K1332" t="s">
        <v>44</v>
      </c>
      <c r="N1332" t="s">
        <v>45</v>
      </c>
      <c r="O1332" t="s">
        <v>46</v>
      </c>
      <c r="P1332" t="s">
        <v>45</v>
      </c>
      <c r="Q1332" t="s">
        <v>47</v>
      </c>
      <c r="R1332" t="s">
        <v>44</v>
      </c>
      <c r="S1332">
        <v>0</v>
      </c>
      <c r="W1332" s="3">
        <v>5.7060185185185191E-3</v>
      </c>
      <c r="X1332" t="s">
        <v>3024</v>
      </c>
      <c r="Y1332">
        <v>49</v>
      </c>
      <c r="Z1332">
        <v>0</v>
      </c>
      <c r="AA1332" t="s">
        <v>49</v>
      </c>
      <c r="AB1332">
        <v>0</v>
      </c>
      <c r="AC1332" t="s">
        <v>49</v>
      </c>
      <c r="AD1332">
        <v>0</v>
      </c>
      <c r="AE1332">
        <v>11125579</v>
      </c>
      <c r="AF1332" t="s">
        <v>50</v>
      </c>
      <c r="AG1332" t="s">
        <v>1699</v>
      </c>
    </row>
    <row r="1333" spans="1:33" x14ac:dyDescent="0.35">
      <c r="A1333" s="1">
        <v>44872.886805555558</v>
      </c>
      <c r="B1333">
        <v>7104503</v>
      </c>
      <c r="C1333" t="s">
        <v>3025</v>
      </c>
      <c r="D1333" t="s">
        <v>59</v>
      </c>
      <c r="E1333" s="2">
        <v>42626</v>
      </c>
      <c r="F1333" t="str">
        <f>"9781119270898"</f>
        <v>9781119270898</v>
      </c>
      <c r="G1333" t="str">
        <f>"9781119270881"</f>
        <v>9781119270881</v>
      </c>
      <c r="H1333" t="s">
        <v>220</v>
      </c>
      <c r="K1333" t="s">
        <v>44</v>
      </c>
      <c r="N1333" t="s">
        <v>45</v>
      </c>
      <c r="O1333" t="s">
        <v>46</v>
      </c>
      <c r="P1333" t="s">
        <v>45</v>
      </c>
      <c r="Q1333" t="s">
        <v>47</v>
      </c>
      <c r="R1333" t="s">
        <v>44</v>
      </c>
      <c r="S1333">
        <v>0</v>
      </c>
      <c r="W1333" s="3">
        <v>1.3819444444444445E-2</v>
      </c>
      <c r="X1333" t="s">
        <v>3026</v>
      </c>
      <c r="Y1333">
        <v>12</v>
      </c>
      <c r="Z1333">
        <v>0</v>
      </c>
      <c r="AA1333" t="s">
        <v>49</v>
      </c>
      <c r="AB1333">
        <v>0</v>
      </c>
      <c r="AC1333" t="s">
        <v>49</v>
      </c>
      <c r="AD1333">
        <v>0</v>
      </c>
      <c r="AE1333">
        <v>-1</v>
      </c>
      <c r="AF1333" t="s">
        <v>50</v>
      </c>
      <c r="AG1333" t="s">
        <v>871</v>
      </c>
    </row>
    <row r="1334" spans="1:33" x14ac:dyDescent="0.35">
      <c r="A1334" s="1">
        <v>44872.866666666669</v>
      </c>
      <c r="B1334">
        <v>4857637</v>
      </c>
      <c r="C1334" t="s">
        <v>3027</v>
      </c>
      <c r="D1334" t="s">
        <v>3028</v>
      </c>
      <c r="E1334" s="2">
        <v>40730</v>
      </c>
      <c r="F1334" t="str">
        <f>"9780160897436"</f>
        <v>9780160897436</v>
      </c>
      <c r="G1334" t="str">
        <f>"9780160883583"</f>
        <v>9780160883583</v>
      </c>
      <c r="H1334" t="s">
        <v>77</v>
      </c>
      <c r="J1334" t="s">
        <v>3029</v>
      </c>
      <c r="K1334" t="s">
        <v>44</v>
      </c>
      <c r="N1334" t="s">
        <v>45</v>
      </c>
      <c r="O1334" t="s">
        <v>46</v>
      </c>
      <c r="P1334" t="s">
        <v>45</v>
      </c>
      <c r="Q1334" t="s">
        <v>47</v>
      </c>
      <c r="R1334" t="s">
        <v>44</v>
      </c>
      <c r="S1334">
        <v>0</v>
      </c>
      <c r="W1334" s="3">
        <v>6.9444444444444441E-3</v>
      </c>
      <c r="X1334" t="s">
        <v>3030</v>
      </c>
      <c r="Y1334">
        <v>17</v>
      </c>
      <c r="Z1334">
        <v>1</v>
      </c>
      <c r="AA1334" t="s">
        <v>3031</v>
      </c>
      <c r="AB1334">
        <v>26</v>
      </c>
      <c r="AC1334" t="s">
        <v>3032</v>
      </c>
      <c r="AD1334">
        <v>1</v>
      </c>
      <c r="AE1334">
        <v>11383980</v>
      </c>
      <c r="AF1334" t="s">
        <v>50</v>
      </c>
      <c r="AG1334" t="s">
        <v>388</v>
      </c>
    </row>
    <row r="1335" spans="1:33" x14ac:dyDescent="0.35">
      <c r="A1335" s="1">
        <v>44872.865277777775</v>
      </c>
      <c r="B1335">
        <v>3439808</v>
      </c>
      <c r="C1335" t="s">
        <v>3033</v>
      </c>
      <c r="D1335" t="s">
        <v>175</v>
      </c>
      <c r="E1335" s="2">
        <v>36002</v>
      </c>
      <c r="F1335" t="str">
        <f>"9780309370660"</f>
        <v>9780309370660</v>
      </c>
      <c r="G1335" t="str">
        <f>"9780309059848"</f>
        <v>9780309059848</v>
      </c>
      <c r="H1335" t="s">
        <v>3034</v>
      </c>
      <c r="K1335" t="s">
        <v>44</v>
      </c>
      <c r="N1335" t="s">
        <v>45</v>
      </c>
      <c r="O1335" t="s">
        <v>46</v>
      </c>
      <c r="P1335" t="s">
        <v>177</v>
      </c>
      <c r="Q1335" t="s">
        <v>47</v>
      </c>
      <c r="R1335" t="s">
        <v>55</v>
      </c>
      <c r="S1335">
        <v>0</v>
      </c>
      <c r="W1335" s="3">
        <v>5.3240740740740744E-4</v>
      </c>
      <c r="X1335" t="s">
        <v>1693</v>
      </c>
      <c r="Y1335">
        <v>10</v>
      </c>
      <c r="Z1335">
        <v>0</v>
      </c>
      <c r="AA1335" t="s">
        <v>49</v>
      </c>
      <c r="AB1335">
        <v>0</v>
      </c>
      <c r="AC1335" t="s">
        <v>49</v>
      </c>
      <c r="AD1335">
        <v>0</v>
      </c>
      <c r="AE1335">
        <v>11091717</v>
      </c>
      <c r="AF1335" t="s">
        <v>50</v>
      </c>
      <c r="AG1335" t="s">
        <v>388</v>
      </c>
    </row>
    <row r="1336" spans="1:33" x14ac:dyDescent="0.35">
      <c r="A1336" s="1">
        <v>44872.793055555558</v>
      </c>
      <c r="B1336">
        <v>4462129</v>
      </c>
      <c r="C1336" t="s">
        <v>3035</v>
      </c>
      <c r="D1336" t="s">
        <v>507</v>
      </c>
      <c r="E1336" s="2">
        <v>38014</v>
      </c>
      <c r="F1336" t="str">
        <f>"9780748646500"</f>
        <v>9780748646500</v>
      </c>
      <c r="G1336" t="str">
        <f>"9780748618705"</f>
        <v>9780748618705</v>
      </c>
      <c r="H1336" t="s">
        <v>425</v>
      </c>
      <c r="I1336">
        <v>320.5570902</v>
      </c>
      <c r="J1336" t="s">
        <v>3036</v>
      </c>
      <c r="K1336" t="s">
        <v>44</v>
      </c>
      <c r="N1336" t="s">
        <v>45</v>
      </c>
      <c r="O1336" t="s">
        <v>46</v>
      </c>
      <c r="P1336" t="s">
        <v>45</v>
      </c>
      <c r="Q1336" t="s">
        <v>47</v>
      </c>
      <c r="R1336" t="s">
        <v>44</v>
      </c>
      <c r="S1336">
        <v>0</v>
      </c>
      <c r="W1336" s="3">
        <v>4.6296296296296294E-5</v>
      </c>
      <c r="X1336" t="s">
        <v>1542</v>
      </c>
      <c r="Y1336">
        <v>1</v>
      </c>
      <c r="Z1336">
        <v>0</v>
      </c>
      <c r="AA1336" t="s">
        <v>49</v>
      </c>
      <c r="AB1336">
        <v>0</v>
      </c>
      <c r="AC1336" t="s">
        <v>49</v>
      </c>
      <c r="AD1336">
        <v>0</v>
      </c>
      <c r="AE1336">
        <v>11188745</v>
      </c>
      <c r="AF1336" t="s">
        <v>50</v>
      </c>
      <c r="AG1336" t="s">
        <v>3037</v>
      </c>
    </row>
    <row r="1337" spans="1:33" x14ac:dyDescent="0.35">
      <c r="A1337" s="1">
        <v>44872.774305555555</v>
      </c>
      <c r="B1337">
        <v>1097796</v>
      </c>
      <c r="C1337" t="s">
        <v>3038</v>
      </c>
      <c r="D1337" t="s">
        <v>76</v>
      </c>
      <c r="E1337" s="2">
        <v>41241</v>
      </c>
      <c r="F1337" t="str">
        <f>"9781135115364"</f>
        <v>9781135115364</v>
      </c>
      <c r="G1337" t="str">
        <f>"9780415685245"</f>
        <v>9780415685245</v>
      </c>
      <c r="H1337" t="s">
        <v>667</v>
      </c>
      <c r="I1337">
        <v>955.05420000000004</v>
      </c>
      <c r="J1337" t="s">
        <v>3039</v>
      </c>
      <c r="K1337" t="s">
        <v>44</v>
      </c>
      <c r="N1337" t="s">
        <v>45</v>
      </c>
      <c r="O1337" t="s">
        <v>46</v>
      </c>
      <c r="P1337" t="s">
        <v>45</v>
      </c>
      <c r="Q1337" t="s">
        <v>47</v>
      </c>
      <c r="R1337" t="s">
        <v>44</v>
      </c>
      <c r="S1337">
        <v>0</v>
      </c>
      <c r="W1337" s="3">
        <v>2.5891203703703704E-2</v>
      </c>
      <c r="X1337" t="s">
        <v>3040</v>
      </c>
      <c r="Y1337">
        <v>33</v>
      </c>
      <c r="Z1337">
        <v>0</v>
      </c>
      <c r="AA1337" t="s">
        <v>49</v>
      </c>
      <c r="AB1337">
        <v>0</v>
      </c>
      <c r="AC1337" t="s">
        <v>717</v>
      </c>
      <c r="AD1337">
        <v>2</v>
      </c>
      <c r="AE1337">
        <v>10635084</v>
      </c>
      <c r="AF1337" t="s">
        <v>50</v>
      </c>
      <c r="AG1337" t="s">
        <v>670</v>
      </c>
    </row>
    <row r="1338" spans="1:33" x14ac:dyDescent="0.35">
      <c r="A1338" s="1">
        <v>44872.734722222223</v>
      </c>
      <c r="B1338">
        <v>6741266</v>
      </c>
      <c r="C1338" t="s">
        <v>3041</v>
      </c>
      <c r="D1338" t="s">
        <v>3042</v>
      </c>
      <c r="E1338" s="2">
        <v>44481</v>
      </c>
      <c r="F1338" t="str">
        <f>"9781638351009"</f>
        <v>9781638351009</v>
      </c>
      <c r="G1338" t="str">
        <f>"9781617298837"</f>
        <v>9781617298837</v>
      </c>
      <c r="H1338" t="s">
        <v>138</v>
      </c>
      <c r="I1338">
        <v>6.33</v>
      </c>
      <c r="J1338" t="s">
        <v>3043</v>
      </c>
      <c r="K1338" t="s">
        <v>55</v>
      </c>
      <c r="Q1338" t="s">
        <v>47</v>
      </c>
      <c r="R1338" t="s">
        <v>44</v>
      </c>
      <c r="S1338">
        <v>0</v>
      </c>
      <c r="W1338" s="3">
        <v>1.7407407407407406E-2</v>
      </c>
      <c r="X1338" t="s">
        <v>3044</v>
      </c>
      <c r="Y1338">
        <v>10</v>
      </c>
      <c r="Z1338">
        <v>0</v>
      </c>
      <c r="AA1338" t="s">
        <v>49</v>
      </c>
      <c r="AB1338">
        <v>0</v>
      </c>
      <c r="AC1338" t="s">
        <v>49</v>
      </c>
      <c r="AD1338">
        <v>0</v>
      </c>
      <c r="AE1338">
        <v>-1</v>
      </c>
      <c r="AF1338" t="s">
        <v>63</v>
      </c>
      <c r="AG1338" t="s">
        <v>1536</v>
      </c>
    </row>
    <row r="1339" spans="1:33" x14ac:dyDescent="0.35">
      <c r="A1339" s="1">
        <v>44872.678472222222</v>
      </c>
      <c r="B1339">
        <v>6839884</v>
      </c>
      <c r="C1339" t="s">
        <v>3045</v>
      </c>
      <c r="D1339" t="s">
        <v>76</v>
      </c>
      <c r="E1339" s="2">
        <v>44593</v>
      </c>
      <c r="F1339" t="str">
        <f>"9781000537444"</f>
        <v>9781000537444</v>
      </c>
      <c r="G1339" t="str">
        <f>"9780367755140"</f>
        <v>9780367755140</v>
      </c>
      <c r="H1339" t="s">
        <v>3046</v>
      </c>
      <c r="I1339" t="s">
        <v>3047</v>
      </c>
      <c r="J1339" t="s">
        <v>3048</v>
      </c>
      <c r="K1339" t="s">
        <v>55</v>
      </c>
      <c r="Q1339" t="s">
        <v>47</v>
      </c>
      <c r="R1339" t="s">
        <v>44</v>
      </c>
      <c r="S1339">
        <v>0</v>
      </c>
      <c r="W1339" s="3">
        <v>3.9583333333333337E-3</v>
      </c>
      <c r="X1339" t="s">
        <v>3049</v>
      </c>
      <c r="Y1339">
        <v>22</v>
      </c>
      <c r="Z1339">
        <v>0</v>
      </c>
      <c r="AA1339" t="s">
        <v>49</v>
      </c>
      <c r="AB1339">
        <v>0</v>
      </c>
      <c r="AC1339" t="s">
        <v>49</v>
      </c>
      <c r="AD1339">
        <v>0</v>
      </c>
      <c r="AE1339">
        <v>-1</v>
      </c>
      <c r="AF1339" t="s">
        <v>50</v>
      </c>
      <c r="AG1339" t="s">
        <v>2241</v>
      </c>
    </row>
    <row r="1340" spans="1:33" x14ac:dyDescent="0.35">
      <c r="A1340" s="1">
        <v>44872.672222222223</v>
      </c>
      <c r="B1340">
        <v>3034744</v>
      </c>
      <c r="C1340" t="s">
        <v>3050</v>
      </c>
      <c r="D1340" t="s">
        <v>473</v>
      </c>
      <c r="E1340" s="2">
        <v>40909</v>
      </c>
      <c r="F1340" t="str">
        <f>"9789460919947"</f>
        <v>9789460919947</v>
      </c>
      <c r="G1340" t="str">
        <f>"9789460919923"</f>
        <v>9789460919923</v>
      </c>
      <c r="H1340" t="s">
        <v>90</v>
      </c>
      <c r="J1340" t="s">
        <v>3051</v>
      </c>
      <c r="K1340" t="s">
        <v>44</v>
      </c>
      <c r="N1340" t="s">
        <v>45</v>
      </c>
      <c r="O1340" t="s">
        <v>46</v>
      </c>
      <c r="P1340" t="s">
        <v>45</v>
      </c>
      <c r="Q1340" t="s">
        <v>47</v>
      </c>
      <c r="R1340" t="s">
        <v>44</v>
      </c>
      <c r="S1340">
        <v>0</v>
      </c>
      <c r="W1340" s="3">
        <v>1.5509259259259261E-3</v>
      </c>
      <c r="X1340" t="s">
        <v>3052</v>
      </c>
      <c r="Y1340">
        <v>7</v>
      </c>
      <c r="Z1340">
        <v>0</v>
      </c>
      <c r="AA1340" t="s">
        <v>49</v>
      </c>
      <c r="AB1340">
        <v>0</v>
      </c>
      <c r="AC1340" t="s">
        <v>49</v>
      </c>
      <c r="AD1340">
        <v>0</v>
      </c>
      <c r="AE1340">
        <v>10617863</v>
      </c>
      <c r="AF1340" t="s">
        <v>50</v>
      </c>
      <c r="AG1340" t="s">
        <v>388</v>
      </c>
    </row>
    <row r="1341" spans="1:33" x14ac:dyDescent="0.35">
      <c r="A1341" s="1">
        <v>44872.668055555558</v>
      </c>
      <c r="B1341">
        <v>328311</v>
      </c>
      <c r="C1341" t="s">
        <v>1213</v>
      </c>
      <c r="D1341" t="s">
        <v>65</v>
      </c>
      <c r="E1341" s="2">
        <v>39409</v>
      </c>
      <c r="F1341" t="str">
        <f>"9780080555805"</f>
        <v>9780080555805</v>
      </c>
      <c r="G1341" t="str">
        <f>"9780123725851"</f>
        <v>9780123725851</v>
      </c>
      <c r="H1341" t="s">
        <v>138</v>
      </c>
      <c r="I1341">
        <v>5.8</v>
      </c>
      <c r="J1341" t="s">
        <v>1214</v>
      </c>
      <c r="K1341" t="s">
        <v>44</v>
      </c>
      <c r="N1341" t="s">
        <v>45</v>
      </c>
      <c r="O1341" t="s">
        <v>46</v>
      </c>
      <c r="P1341" t="s">
        <v>45</v>
      </c>
      <c r="Q1341" t="s">
        <v>47</v>
      </c>
      <c r="R1341" t="s">
        <v>44</v>
      </c>
      <c r="S1341">
        <v>0</v>
      </c>
      <c r="W1341" s="3">
        <v>1.6261574074074074E-2</v>
      </c>
      <c r="X1341" t="s">
        <v>3053</v>
      </c>
      <c r="Y1341">
        <v>26</v>
      </c>
      <c r="Z1341">
        <v>0</v>
      </c>
      <c r="AA1341" t="s">
        <v>49</v>
      </c>
      <c r="AB1341">
        <v>0</v>
      </c>
      <c r="AC1341" t="s">
        <v>49</v>
      </c>
      <c r="AD1341">
        <v>0</v>
      </c>
      <c r="AE1341">
        <v>10204371</v>
      </c>
      <c r="AF1341" t="s">
        <v>50</v>
      </c>
      <c r="AG1341" t="s">
        <v>1216</v>
      </c>
    </row>
    <row r="1342" spans="1:33" x14ac:dyDescent="0.35">
      <c r="A1342" s="1">
        <v>44872.645138888889</v>
      </c>
      <c r="B1342">
        <v>3338641</v>
      </c>
      <c r="C1342" t="s">
        <v>302</v>
      </c>
      <c r="D1342" t="s">
        <v>303</v>
      </c>
      <c r="E1342" s="2">
        <v>39143</v>
      </c>
      <c r="F1342" t="str">
        <f>"9780262282888"</f>
        <v>9780262282888</v>
      </c>
      <c r="G1342" t="str">
        <f>"9780262195577"</f>
        <v>9780262195577</v>
      </c>
      <c r="H1342" t="s">
        <v>304</v>
      </c>
      <c r="I1342" t="s">
        <v>305</v>
      </c>
      <c r="K1342" t="s">
        <v>44</v>
      </c>
      <c r="N1342" t="s">
        <v>45</v>
      </c>
      <c r="O1342" t="s">
        <v>46</v>
      </c>
      <c r="P1342" t="s">
        <v>45</v>
      </c>
      <c r="Q1342" t="s">
        <v>47</v>
      </c>
      <c r="R1342" t="s">
        <v>44</v>
      </c>
      <c r="S1342">
        <v>0</v>
      </c>
      <c r="W1342" s="3">
        <v>7.6273148148148151E-3</v>
      </c>
      <c r="X1342" t="s">
        <v>3054</v>
      </c>
      <c r="Y1342">
        <v>5</v>
      </c>
      <c r="Z1342">
        <v>0</v>
      </c>
      <c r="AA1342" t="s">
        <v>49</v>
      </c>
      <c r="AB1342">
        <v>0</v>
      </c>
      <c r="AC1342" t="s">
        <v>49</v>
      </c>
      <c r="AD1342">
        <v>0</v>
      </c>
      <c r="AE1342">
        <v>10173702</v>
      </c>
      <c r="AF1342" t="s">
        <v>50</v>
      </c>
      <c r="AG1342" t="s">
        <v>670</v>
      </c>
    </row>
    <row r="1343" spans="1:33" x14ac:dyDescent="0.35">
      <c r="A1343" s="1">
        <v>44872.634722222225</v>
      </c>
      <c r="B1343">
        <v>3379063</v>
      </c>
      <c r="C1343" t="s">
        <v>3055</v>
      </c>
      <c r="D1343" t="s">
        <v>175</v>
      </c>
      <c r="E1343" s="2">
        <v>41207</v>
      </c>
      <c r="F1343" t="str">
        <f>"9780309263603"</f>
        <v>9780309263603</v>
      </c>
      <c r="G1343" t="str">
        <f>"9780309263597"</f>
        <v>9780309263597</v>
      </c>
      <c r="H1343" t="s">
        <v>60</v>
      </c>
      <c r="J1343" t="s">
        <v>3056</v>
      </c>
      <c r="K1343" t="s">
        <v>44</v>
      </c>
      <c r="N1343" t="s">
        <v>45</v>
      </c>
      <c r="O1343" t="s">
        <v>46</v>
      </c>
      <c r="P1343" t="s">
        <v>177</v>
      </c>
      <c r="Q1343" t="s">
        <v>47</v>
      </c>
      <c r="R1343" t="s">
        <v>55</v>
      </c>
      <c r="S1343">
        <v>0</v>
      </c>
      <c r="W1343" s="3">
        <v>5.7870370370370366E-5</v>
      </c>
      <c r="X1343" t="s">
        <v>121</v>
      </c>
      <c r="Y1343">
        <v>1</v>
      </c>
      <c r="Z1343">
        <v>0</v>
      </c>
      <c r="AA1343" t="s">
        <v>49</v>
      </c>
      <c r="AB1343">
        <v>0</v>
      </c>
      <c r="AC1343" t="s">
        <v>49</v>
      </c>
      <c r="AD1343">
        <v>0</v>
      </c>
      <c r="AE1343">
        <v>10863711</v>
      </c>
      <c r="AF1343" t="s">
        <v>50</v>
      </c>
      <c r="AG1343" t="s">
        <v>300</v>
      </c>
    </row>
    <row r="1344" spans="1:33" x14ac:dyDescent="0.35">
      <c r="A1344" s="1">
        <v>44872.632638888892</v>
      </c>
      <c r="B1344">
        <v>6530203</v>
      </c>
      <c r="C1344" t="s">
        <v>3057</v>
      </c>
      <c r="D1344" t="s">
        <v>76</v>
      </c>
      <c r="E1344" s="2">
        <v>44348</v>
      </c>
      <c r="F1344" t="str">
        <f>"9781000392319"</f>
        <v>9781000392319</v>
      </c>
      <c r="G1344" t="str">
        <f>"9780367710798"</f>
        <v>9780367710798</v>
      </c>
      <c r="H1344" t="s">
        <v>1112</v>
      </c>
      <c r="I1344">
        <v>660.28150000000005</v>
      </c>
      <c r="J1344" t="s">
        <v>3058</v>
      </c>
      <c r="K1344" t="s">
        <v>55</v>
      </c>
      <c r="Q1344" t="s">
        <v>47</v>
      </c>
      <c r="R1344" t="s">
        <v>44</v>
      </c>
      <c r="S1344">
        <v>0</v>
      </c>
      <c r="W1344" s="3">
        <v>3.9583333333333337E-3</v>
      </c>
      <c r="X1344" t="s">
        <v>3059</v>
      </c>
      <c r="Y1344">
        <v>21</v>
      </c>
      <c r="Z1344">
        <v>0</v>
      </c>
      <c r="AA1344" t="s">
        <v>49</v>
      </c>
      <c r="AB1344">
        <v>0</v>
      </c>
      <c r="AC1344" t="s">
        <v>49</v>
      </c>
      <c r="AD1344">
        <v>0</v>
      </c>
      <c r="AE1344">
        <v>-1</v>
      </c>
      <c r="AF1344" t="s">
        <v>50</v>
      </c>
      <c r="AG1344" t="s">
        <v>1309</v>
      </c>
    </row>
    <row r="1345" spans="1:33" x14ac:dyDescent="0.35">
      <c r="A1345" s="1">
        <v>44872.62222222222</v>
      </c>
      <c r="B1345">
        <v>6675293</v>
      </c>
      <c r="C1345" t="s">
        <v>3060</v>
      </c>
      <c r="D1345" t="s">
        <v>213</v>
      </c>
      <c r="E1345" s="2">
        <v>44392</v>
      </c>
      <c r="F1345" t="str">
        <f>"9780323855723"</f>
        <v>9780323855723</v>
      </c>
      <c r="G1345" t="str">
        <f>"9780323858564"</f>
        <v>9780323858564</v>
      </c>
      <c r="H1345" t="s">
        <v>100</v>
      </c>
      <c r="I1345">
        <v>620.19299999999998</v>
      </c>
      <c r="J1345" t="s">
        <v>3061</v>
      </c>
      <c r="K1345" t="s">
        <v>55</v>
      </c>
      <c r="N1345" t="s">
        <v>293</v>
      </c>
      <c r="P1345" t="s">
        <v>80</v>
      </c>
      <c r="Q1345" t="s">
        <v>47</v>
      </c>
      <c r="R1345" t="s">
        <v>44</v>
      </c>
      <c r="S1345">
        <v>0</v>
      </c>
      <c r="W1345" s="3">
        <v>4.6296296296296293E-4</v>
      </c>
      <c r="X1345" t="s">
        <v>3062</v>
      </c>
      <c r="Y1345">
        <v>4</v>
      </c>
      <c r="Z1345">
        <v>1</v>
      </c>
      <c r="AA1345" t="s">
        <v>3063</v>
      </c>
      <c r="AB1345">
        <v>76</v>
      </c>
      <c r="AC1345" t="s">
        <v>49</v>
      </c>
      <c r="AD1345">
        <v>0</v>
      </c>
      <c r="AE1345">
        <v>-1</v>
      </c>
      <c r="AF1345" t="s">
        <v>63</v>
      </c>
      <c r="AG1345" t="s">
        <v>388</v>
      </c>
    </row>
    <row r="1346" spans="1:33" x14ac:dyDescent="0.35">
      <c r="A1346" s="1">
        <v>44872.614583333336</v>
      </c>
      <c r="B1346">
        <v>5058635</v>
      </c>
      <c r="C1346" t="s">
        <v>3064</v>
      </c>
      <c r="D1346" t="s">
        <v>213</v>
      </c>
      <c r="E1346" s="2">
        <v>43000</v>
      </c>
      <c r="F1346" t="str">
        <f>"9780444639707"</f>
        <v>9780444639707</v>
      </c>
      <c r="G1346" t="str">
        <f>"9780444639653"</f>
        <v>9780444639653</v>
      </c>
      <c r="H1346" t="s">
        <v>116</v>
      </c>
      <c r="I1346">
        <v>660.28150000000005</v>
      </c>
      <c r="J1346" t="s">
        <v>3065</v>
      </c>
      <c r="K1346" t="s">
        <v>44</v>
      </c>
      <c r="N1346" t="s">
        <v>45</v>
      </c>
      <c r="O1346" t="s">
        <v>46</v>
      </c>
      <c r="P1346" t="s">
        <v>45</v>
      </c>
      <c r="Q1346" t="s">
        <v>47</v>
      </c>
      <c r="R1346" t="s">
        <v>44</v>
      </c>
      <c r="S1346">
        <v>0</v>
      </c>
      <c r="W1346" s="3">
        <v>1.2569444444444446E-2</v>
      </c>
      <c r="X1346" t="s">
        <v>3066</v>
      </c>
      <c r="Y1346">
        <v>3</v>
      </c>
      <c r="Z1346">
        <v>2</v>
      </c>
      <c r="AA1346" t="s">
        <v>3067</v>
      </c>
      <c r="AB1346">
        <v>12</v>
      </c>
      <c r="AC1346" t="s">
        <v>49</v>
      </c>
      <c r="AD1346">
        <v>0</v>
      </c>
      <c r="AE1346">
        <v>11447604</v>
      </c>
      <c r="AF1346" t="s">
        <v>50</v>
      </c>
      <c r="AG1346" t="s">
        <v>1309</v>
      </c>
    </row>
    <row r="1347" spans="1:33" x14ac:dyDescent="0.35">
      <c r="A1347" s="1">
        <v>44872.6</v>
      </c>
      <c r="B1347">
        <v>3386044</v>
      </c>
      <c r="C1347" t="s">
        <v>3068</v>
      </c>
      <c r="D1347" t="s">
        <v>2066</v>
      </c>
      <c r="E1347" s="2">
        <v>36423</v>
      </c>
      <c r="F1347" t="str">
        <f>"9781849640374"</f>
        <v>9781849640374</v>
      </c>
      <c r="G1347" t="str">
        <f>"9780745314167"</f>
        <v>9780745314167</v>
      </c>
      <c r="H1347" t="s">
        <v>667</v>
      </c>
      <c r="I1347" t="s">
        <v>3069</v>
      </c>
      <c r="J1347" t="s">
        <v>3070</v>
      </c>
      <c r="K1347" t="s">
        <v>44</v>
      </c>
      <c r="N1347" t="s">
        <v>45</v>
      </c>
      <c r="O1347" t="s">
        <v>46</v>
      </c>
      <c r="P1347" t="s">
        <v>45</v>
      </c>
      <c r="Q1347" t="s">
        <v>47</v>
      </c>
      <c r="R1347" t="s">
        <v>44</v>
      </c>
      <c r="S1347">
        <v>0</v>
      </c>
      <c r="W1347" s="3">
        <v>7.273148148148148E-2</v>
      </c>
      <c r="X1347" t="s">
        <v>3071</v>
      </c>
      <c r="Y1347">
        <v>41</v>
      </c>
      <c r="Z1347">
        <v>0</v>
      </c>
      <c r="AA1347" t="s">
        <v>49</v>
      </c>
      <c r="AB1347">
        <v>0</v>
      </c>
      <c r="AC1347" t="s">
        <v>49</v>
      </c>
      <c r="AD1347">
        <v>0</v>
      </c>
      <c r="AE1347">
        <v>2001120</v>
      </c>
      <c r="AF1347" t="s">
        <v>50</v>
      </c>
      <c r="AG1347" t="s">
        <v>670</v>
      </c>
    </row>
    <row r="1348" spans="1:33" x14ac:dyDescent="0.35">
      <c r="A1348" s="1">
        <v>44872.6</v>
      </c>
      <c r="B1348">
        <v>3443125</v>
      </c>
      <c r="C1348" t="s">
        <v>2870</v>
      </c>
      <c r="D1348" t="s">
        <v>2871</v>
      </c>
      <c r="E1348" s="2">
        <v>38078</v>
      </c>
      <c r="F1348" t="str">
        <f>"9780292797406"</f>
        <v>9780292797406</v>
      </c>
      <c r="G1348" t="str">
        <f>"9780292701601"</f>
        <v>9780292701601</v>
      </c>
      <c r="H1348" t="s">
        <v>667</v>
      </c>
      <c r="I1348" t="s">
        <v>2872</v>
      </c>
      <c r="J1348" t="s">
        <v>2873</v>
      </c>
      <c r="K1348" t="s">
        <v>44</v>
      </c>
      <c r="N1348" t="s">
        <v>45</v>
      </c>
      <c r="O1348" t="s">
        <v>46</v>
      </c>
      <c r="P1348" t="s">
        <v>45</v>
      </c>
      <c r="Q1348" t="s">
        <v>47</v>
      </c>
      <c r="R1348" t="s">
        <v>44</v>
      </c>
      <c r="S1348">
        <v>0</v>
      </c>
      <c r="W1348" s="3">
        <v>6.0960648148148146E-2</v>
      </c>
      <c r="X1348" t="s">
        <v>3072</v>
      </c>
      <c r="Y1348">
        <v>35</v>
      </c>
      <c r="Z1348">
        <v>0</v>
      </c>
      <c r="AA1348" t="s">
        <v>49</v>
      </c>
      <c r="AB1348">
        <v>0</v>
      </c>
      <c r="AC1348" t="s">
        <v>3073</v>
      </c>
      <c r="AD1348">
        <v>2</v>
      </c>
      <c r="AE1348">
        <v>10194803</v>
      </c>
      <c r="AF1348" t="s">
        <v>50</v>
      </c>
      <c r="AG1348" t="s">
        <v>670</v>
      </c>
    </row>
    <row r="1349" spans="1:33" x14ac:dyDescent="0.35">
      <c r="A1349" s="1">
        <v>44872.6</v>
      </c>
      <c r="B1349">
        <v>430459</v>
      </c>
      <c r="C1349" t="s">
        <v>2875</v>
      </c>
      <c r="D1349" t="s">
        <v>125</v>
      </c>
      <c r="E1349" s="2">
        <v>35551</v>
      </c>
      <c r="F1349" t="str">
        <f>"9780195348774"</f>
        <v>9780195348774</v>
      </c>
      <c r="G1349" t="str">
        <f>"9780195149791"</f>
        <v>9780195149791</v>
      </c>
      <c r="H1349" t="s">
        <v>667</v>
      </c>
      <c r="I1349">
        <v>956.70442000000003</v>
      </c>
      <c r="J1349" t="s">
        <v>2876</v>
      </c>
      <c r="K1349" t="s">
        <v>44</v>
      </c>
      <c r="N1349" t="s">
        <v>45</v>
      </c>
      <c r="O1349" t="s">
        <v>46</v>
      </c>
      <c r="P1349" t="s">
        <v>45</v>
      </c>
      <c r="Q1349" t="s">
        <v>47</v>
      </c>
      <c r="R1349" t="s">
        <v>44</v>
      </c>
      <c r="S1349">
        <v>0</v>
      </c>
      <c r="W1349" s="3">
        <v>0.16214120370370369</v>
      </c>
      <c r="X1349" t="s">
        <v>3074</v>
      </c>
      <c r="Y1349">
        <v>62</v>
      </c>
      <c r="Z1349">
        <v>0</v>
      </c>
      <c r="AA1349" t="s">
        <v>49</v>
      </c>
      <c r="AB1349">
        <v>0</v>
      </c>
      <c r="AC1349" t="s">
        <v>3075</v>
      </c>
      <c r="AD1349">
        <v>13</v>
      </c>
      <c r="AE1349">
        <v>10358361</v>
      </c>
      <c r="AF1349" t="s">
        <v>50</v>
      </c>
      <c r="AG1349" t="s">
        <v>670</v>
      </c>
    </row>
    <row r="1350" spans="1:33" x14ac:dyDescent="0.35">
      <c r="A1350" s="1">
        <v>44872.570833333331</v>
      </c>
      <c r="B1350">
        <v>3338641</v>
      </c>
      <c r="C1350" t="s">
        <v>302</v>
      </c>
      <c r="D1350" t="s">
        <v>303</v>
      </c>
      <c r="E1350" s="2">
        <v>39143</v>
      </c>
      <c r="F1350" t="str">
        <f>"9780262282888"</f>
        <v>9780262282888</v>
      </c>
      <c r="G1350" t="str">
        <f>"9780262195577"</f>
        <v>9780262195577</v>
      </c>
      <c r="H1350" t="s">
        <v>304</v>
      </c>
      <c r="I1350" t="s">
        <v>305</v>
      </c>
      <c r="K1350" t="s">
        <v>44</v>
      </c>
      <c r="N1350" t="s">
        <v>45</v>
      </c>
      <c r="O1350" t="s">
        <v>46</v>
      </c>
      <c r="P1350" t="s">
        <v>45</v>
      </c>
      <c r="Q1350" t="s">
        <v>47</v>
      </c>
      <c r="R1350" t="s">
        <v>44</v>
      </c>
      <c r="S1350">
        <v>0</v>
      </c>
      <c r="W1350" s="3">
        <v>2.6504629629629625E-3</v>
      </c>
      <c r="X1350" t="s">
        <v>3076</v>
      </c>
      <c r="Y1350">
        <v>12</v>
      </c>
      <c r="Z1350">
        <v>0</v>
      </c>
      <c r="AA1350" t="s">
        <v>49</v>
      </c>
      <c r="AB1350">
        <v>0</v>
      </c>
      <c r="AC1350" t="s">
        <v>3077</v>
      </c>
      <c r="AD1350">
        <v>1</v>
      </c>
      <c r="AE1350">
        <v>10173702</v>
      </c>
      <c r="AF1350" t="s">
        <v>50</v>
      </c>
      <c r="AG1350" t="s">
        <v>670</v>
      </c>
    </row>
    <row r="1351" spans="1:33" x14ac:dyDescent="0.35">
      <c r="A1351" s="1">
        <v>44872.55972222222</v>
      </c>
      <c r="B1351">
        <v>848526</v>
      </c>
      <c r="C1351" t="s">
        <v>2541</v>
      </c>
      <c r="D1351" t="s">
        <v>59</v>
      </c>
      <c r="E1351" s="2">
        <v>41212</v>
      </c>
      <c r="F1351" t="str">
        <f>"9781118310069"</f>
        <v>9781118310069</v>
      </c>
      <c r="G1351" t="str">
        <f>"9780470566671"</f>
        <v>9780470566671</v>
      </c>
      <c r="H1351" t="s">
        <v>2542</v>
      </c>
      <c r="I1351">
        <v>610.28</v>
      </c>
      <c r="J1351" t="s">
        <v>2543</v>
      </c>
      <c r="K1351" t="s">
        <v>44</v>
      </c>
      <c r="N1351" t="s">
        <v>45</v>
      </c>
      <c r="O1351" t="s">
        <v>46</v>
      </c>
      <c r="P1351" t="s">
        <v>45</v>
      </c>
      <c r="Q1351" t="s">
        <v>47</v>
      </c>
      <c r="R1351" t="s">
        <v>44</v>
      </c>
      <c r="S1351">
        <v>0</v>
      </c>
      <c r="W1351" s="3">
        <v>1.3888888888888889E-4</v>
      </c>
      <c r="X1351" t="s">
        <v>3078</v>
      </c>
      <c r="Y1351">
        <v>4</v>
      </c>
      <c r="Z1351">
        <v>2</v>
      </c>
      <c r="AA1351" t="s">
        <v>3079</v>
      </c>
      <c r="AB1351">
        <v>12</v>
      </c>
      <c r="AC1351" t="s">
        <v>49</v>
      </c>
      <c r="AD1351">
        <v>0</v>
      </c>
      <c r="AE1351">
        <v>10615085</v>
      </c>
      <c r="AF1351" t="s">
        <v>50</v>
      </c>
      <c r="AG1351" t="s">
        <v>388</v>
      </c>
    </row>
    <row r="1352" spans="1:33" x14ac:dyDescent="0.35">
      <c r="A1352" s="1">
        <v>44872.543749999997</v>
      </c>
      <c r="B1352">
        <v>1579916</v>
      </c>
      <c r="C1352" t="s">
        <v>3080</v>
      </c>
      <c r="D1352" t="s">
        <v>65</v>
      </c>
      <c r="E1352" s="2">
        <v>40386</v>
      </c>
      <c r="F1352" t="str">
        <f>"9781780630359"</f>
        <v>9781780630359</v>
      </c>
      <c r="G1352" t="str">
        <f>"9781843345152"</f>
        <v>9781843345152</v>
      </c>
      <c r="H1352" t="s">
        <v>3081</v>
      </c>
      <c r="I1352">
        <v>28.7</v>
      </c>
      <c r="J1352" t="s">
        <v>3082</v>
      </c>
      <c r="K1352" t="s">
        <v>44</v>
      </c>
      <c r="N1352" t="s">
        <v>45</v>
      </c>
      <c r="O1352" t="s">
        <v>46</v>
      </c>
      <c r="P1352" t="s">
        <v>45</v>
      </c>
      <c r="Q1352" t="s">
        <v>47</v>
      </c>
      <c r="R1352" t="s">
        <v>44</v>
      </c>
      <c r="S1352">
        <v>0</v>
      </c>
      <c r="W1352" s="3">
        <v>1.6203703703703703E-4</v>
      </c>
      <c r="X1352" t="s">
        <v>2390</v>
      </c>
      <c r="Y1352">
        <v>1</v>
      </c>
      <c r="Z1352">
        <v>0</v>
      </c>
      <c r="AA1352" t="s">
        <v>49</v>
      </c>
      <c r="AB1352">
        <v>0</v>
      </c>
      <c r="AC1352" t="s">
        <v>49</v>
      </c>
      <c r="AD1352">
        <v>0</v>
      </c>
      <c r="AE1352">
        <v>10818366</v>
      </c>
      <c r="AF1352" t="s">
        <v>50</v>
      </c>
      <c r="AG1352" t="s">
        <v>388</v>
      </c>
    </row>
    <row r="1353" spans="1:33" x14ac:dyDescent="0.35">
      <c r="A1353" s="1">
        <v>44872.542361111111</v>
      </c>
      <c r="B1353">
        <v>430459</v>
      </c>
      <c r="C1353" t="s">
        <v>2875</v>
      </c>
      <c r="D1353" t="s">
        <v>125</v>
      </c>
      <c r="E1353" s="2">
        <v>35551</v>
      </c>
      <c r="F1353" t="str">
        <f>"9780195348774"</f>
        <v>9780195348774</v>
      </c>
      <c r="G1353" t="str">
        <f>"9780195149791"</f>
        <v>9780195149791</v>
      </c>
      <c r="H1353" t="s">
        <v>667</v>
      </c>
      <c r="I1353">
        <v>956.70442000000003</v>
      </c>
      <c r="J1353" t="s">
        <v>2876</v>
      </c>
      <c r="K1353" t="s">
        <v>44</v>
      </c>
      <c r="N1353" t="s">
        <v>45</v>
      </c>
      <c r="O1353" t="s">
        <v>46</v>
      </c>
      <c r="P1353" t="s">
        <v>45</v>
      </c>
      <c r="Q1353" t="s">
        <v>47</v>
      </c>
      <c r="R1353" t="s">
        <v>44</v>
      </c>
      <c r="S1353">
        <v>0</v>
      </c>
      <c r="W1353" s="3">
        <v>2.1030092592592597E-2</v>
      </c>
      <c r="X1353" t="s">
        <v>3083</v>
      </c>
      <c r="Y1353">
        <v>6</v>
      </c>
      <c r="Z1353">
        <v>0</v>
      </c>
      <c r="AA1353" t="s">
        <v>49</v>
      </c>
      <c r="AB1353">
        <v>0</v>
      </c>
      <c r="AC1353" t="s">
        <v>3084</v>
      </c>
      <c r="AD1353">
        <v>1</v>
      </c>
      <c r="AE1353">
        <v>10358361</v>
      </c>
      <c r="AF1353" t="s">
        <v>50</v>
      </c>
      <c r="AG1353" t="s">
        <v>670</v>
      </c>
    </row>
    <row r="1354" spans="1:33" x14ac:dyDescent="0.35">
      <c r="A1354" s="1">
        <v>44872.537499999999</v>
      </c>
      <c r="B1354">
        <v>3003955</v>
      </c>
      <c r="C1354" t="s">
        <v>3085</v>
      </c>
      <c r="D1354" t="s">
        <v>473</v>
      </c>
      <c r="E1354" s="2">
        <v>38212</v>
      </c>
      <c r="F1354" t="str">
        <f>"9781280915284"</f>
        <v>9781280915284</v>
      </c>
      <c r="G1354" t="str">
        <f>"9789004139046"</f>
        <v>9789004139046</v>
      </c>
      <c r="H1354" t="s">
        <v>162</v>
      </c>
      <c r="I1354">
        <v>297.89999999999998</v>
      </c>
      <c r="J1354" t="s">
        <v>3086</v>
      </c>
      <c r="K1354" t="s">
        <v>44</v>
      </c>
      <c r="N1354" t="s">
        <v>45</v>
      </c>
      <c r="O1354" t="s">
        <v>46</v>
      </c>
      <c r="P1354" t="s">
        <v>45</v>
      </c>
      <c r="Q1354" t="s">
        <v>47</v>
      </c>
      <c r="R1354" t="s">
        <v>44</v>
      </c>
      <c r="S1354">
        <v>0</v>
      </c>
      <c r="W1354" s="3">
        <v>4.0162037037037033E-3</v>
      </c>
      <c r="X1354" t="s">
        <v>3087</v>
      </c>
      <c r="Y1354">
        <v>10</v>
      </c>
      <c r="Z1354">
        <v>0</v>
      </c>
      <c r="AA1354" t="s">
        <v>49</v>
      </c>
      <c r="AB1354">
        <v>0</v>
      </c>
      <c r="AC1354" t="s">
        <v>49</v>
      </c>
      <c r="AD1354">
        <v>0</v>
      </c>
      <c r="AE1354">
        <v>10175359</v>
      </c>
      <c r="AF1354" t="s">
        <v>50</v>
      </c>
      <c r="AG1354" t="s">
        <v>388</v>
      </c>
    </row>
    <row r="1355" spans="1:33" x14ac:dyDescent="0.35">
      <c r="A1355" s="1">
        <v>44872.53402777778</v>
      </c>
      <c r="B1355">
        <v>536967</v>
      </c>
      <c r="C1355" t="s">
        <v>3088</v>
      </c>
      <c r="D1355" t="s">
        <v>507</v>
      </c>
      <c r="E1355" s="2">
        <v>40086</v>
      </c>
      <c r="F1355" t="str">
        <f>"9780748642076"</f>
        <v>9780748642076</v>
      </c>
      <c r="G1355" t="str">
        <f>"9780748639670"</f>
        <v>9780748639670</v>
      </c>
      <c r="H1355" t="s">
        <v>162</v>
      </c>
      <c r="I1355">
        <v>297.08999999999997</v>
      </c>
      <c r="J1355" t="s">
        <v>3089</v>
      </c>
      <c r="K1355" t="s">
        <v>44</v>
      </c>
      <c r="N1355" t="s">
        <v>45</v>
      </c>
      <c r="O1355" t="s">
        <v>46</v>
      </c>
      <c r="P1355" t="s">
        <v>45</v>
      </c>
      <c r="Q1355" t="s">
        <v>47</v>
      </c>
      <c r="R1355" t="s">
        <v>44</v>
      </c>
      <c r="S1355">
        <v>0</v>
      </c>
      <c r="W1355" s="3">
        <v>6.4467592592592597E-3</v>
      </c>
      <c r="X1355" t="s">
        <v>3090</v>
      </c>
      <c r="Y1355">
        <v>12</v>
      </c>
      <c r="Z1355">
        <v>0</v>
      </c>
      <c r="AA1355" t="s">
        <v>49</v>
      </c>
      <c r="AB1355">
        <v>0</v>
      </c>
      <c r="AC1355" t="s">
        <v>49</v>
      </c>
      <c r="AD1355">
        <v>0</v>
      </c>
      <c r="AE1355">
        <v>10391748</v>
      </c>
      <c r="AF1355" t="s">
        <v>50</v>
      </c>
      <c r="AG1355" t="s">
        <v>388</v>
      </c>
    </row>
    <row r="1356" spans="1:33" x14ac:dyDescent="0.35">
      <c r="A1356" s="1">
        <v>44872.53402777778</v>
      </c>
      <c r="B1356">
        <v>468128</v>
      </c>
      <c r="C1356" t="s">
        <v>3091</v>
      </c>
      <c r="D1356" t="s">
        <v>473</v>
      </c>
      <c r="E1356" s="2">
        <v>39765</v>
      </c>
      <c r="F1356" t="str">
        <f>"9789047442936"</f>
        <v>9789047442936</v>
      </c>
      <c r="G1356" t="str">
        <f>"9789004169531"</f>
        <v>9789004169531</v>
      </c>
      <c r="H1356" t="s">
        <v>162</v>
      </c>
      <c r="I1356" t="s">
        <v>2814</v>
      </c>
      <c r="J1356" t="s">
        <v>3092</v>
      </c>
      <c r="K1356" t="s">
        <v>44</v>
      </c>
      <c r="N1356" t="s">
        <v>45</v>
      </c>
      <c r="O1356" t="s">
        <v>46</v>
      </c>
      <c r="P1356" t="s">
        <v>45</v>
      </c>
      <c r="Q1356" t="s">
        <v>47</v>
      </c>
      <c r="R1356" t="s">
        <v>44</v>
      </c>
      <c r="S1356">
        <v>0</v>
      </c>
      <c r="W1356" s="3">
        <v>8.3101851851851861E-3</v>
      </c>
      <c r="X1356" t="s">
        <v>3093</v>
      </c>
      <c r="Y1356">
        <v>15</v>
      </c>
      <c r="Z1356">
        <v>0</v>
      </c>
      <c r="AA1356" t="s">
        <v>49</v>
      </c>
      <c r="AB1356">
        <v>0</v>
      </c>
      <c r="AC1356" t="s">
        <v>49</v>
      </c>
      <c r="AD1356">
        <v>0</v>
      </c>
      <c r="AE1356">
        <v>10363963</v>
      </c>
      <c r="AF1356" t="s">
        <v>50</v>
      </c>
      <c r="AG1356" t="s">
        <v>388</v>
      </c>
    </row>
    <row r="1357" spans="1:33" x14ac:dyDescent="0.35">
      <c r="A1357" s="1">
        <v>44872.518750000003</v>
      </c>
      <c r="B1357">
        <v>279494</v>
      </c>
      <c r="C1357" t="s">
        <v>1333</v>
      </c>
      <c r="D1357" t="s">
        <v>125</v>
      </c>
      <c r="E1357" s="2">
        <v>37280</v>
      </c>
      <c r="F1357" t="str">
        <f>"9780198032953"</f>
        <v>9780198032953</v>
      </c>
      <c r="G1357" t="str">
        <f>"9780195144208"</f>
        <v>9780195144208</v>
      </c>
      <c r="H1357" t="s">
        <v>667</v>
      </c>
      <c r="I1357" t="s">
        <v>1334</v>
      </c>
      <c r="J1357" t="s">
        <v>1335</v>
      </c>
      <c r="K1357" t="s">
        <v>44</v>
      </c>
      <c r="N1357" t="s">
        <v>45</v>
      </c>
      <c r="O1357" t="s">
        <v>46</v>
      </c>
      <c r="P1357" t="s">
        <v>45</v>
      </c>
      <c r="Q1357" t="s">
        <v>47</v>
      </c>
      <c r="R1357" t="s">
        <v>44</v>
      </c>
      <c r="S1357">
        <v>0</v>
      </c>
      <c r="W1357" s="3">
        <v>1.273148148148148E-4</v>
      </c>
      <c r="X1357" t="s">
        <v>3094</v>
      </c>
      <c r="Y1357">
        <v>2</v>
      </c>
      <c r="Z1357">
        <v>0</v>
      </c>
      <c r="AA1357" t="s">
        <v>49</v>
      </c>
      <c r="AB1357">
        <v>0</v>
      </c>
      <c r="AC1357" t="s">
        <v>49</v>
      </c>
      <c r="AD1357">
        <v>0</v>
      </c>
      <c r="AE1357">
        <v>11303309</v>
      </c>
      <c r="AF1357" t="s">
        <v>50</v>
      </c>
      <c r="AG1357" t="s">
        <v>3095</v>
      </c>
    </row>
    <row r="1358" spans="1:33" x14ac:dyDescent="0.35">
      <c r="A1358" s="1">
        <v>44872.512499999997</v>
      </c>
      <c r="B1358">
        <v>279494</v>
      </c>
      <c r="C1358" t="s">
        <v>1333</v>
      </c>
      <c r="D1358" t="s">
        <v>125</v>
      </c>
      <c r="E1358" s="2">
        <v>37280</v>
      </c>
      <c r="F1358" t="str">
        <f>"9780198032953"</f>
        <v>9780198032953</v>
      </c>
      <c r="G1358" t="str">
        <f>"9780195144208"</f>
        <v>9780195144208</v>
      </c>
      <c r="H1358" t="s">
        <v>667</v>
      </c>
      <c r="I1358" t="s">
        <v>1334</v>
      </c>
      <c r="J1358" t="s">
        <v>1335</v>
      </c>
      <c r="K1358" t="s">
        <v>44</v>
      </c>
      <c r="N1358" t="s">
        <v>45</v>
      </c>
      <c r="O1358" t="s">
        <v>46</v>
      </c>
      <c r="P1358" t="s">
        <v>45</v>
      </c>
      <c r="Q1358" t="s">
        <v>47</v>
      </c>
      <c r="R1358" t="s">
        <v>44</v>
      </c>
      <c r="S1358">
        <v>0</v>
      </c>
      <c r="W1358" s="3">
        <v>1.7094907407407409E-2</v>
      </c>
      <c r="X1358" t="s">
        <v>3096</v>
      </c>
      <c r="Y1358">
        <v>7</v>
      </c>
      <c r="Z1358">
        <v>1</v>
      </c>
      <c r="AA1358" t="s">
        <v>3097</v>
      </c>
      <c r="AB1358">
        <v>17</v>
      </c>
      <c r="AC1358" t="s">
        <v>49</v>
      </c>
      <c r="AD1358">
        <v>0</v>
      </c>
      <c r="AE1358">
        <v>11303309</v>
      </c>
      <c r="AF1358" t="s">
        <v>50</v>
      </c>
      <c r="AG1358" t="s">
        <v>3098</v>
      </c>
    </row>
    <row r="1359" spans="1:33" x14ac:dyDescent="0.35">
      <c r="A1359" s="1">
        <v>44872.504166666666</v>
      </c>
      <c r="B1359">
        <v>3338641</v>
      </c>
      <c r="C1359" t="s">
        <v>302</v>
      </c>
      <c r="D1359" t="s">
        <v>303</v>
      </c>
      <c r="E1359" s="2">
        <v>39143</v>
      </c>
      <c r="F1359" t="str">
        <f>"9780262282888"</f>
        <v>9780262282888</v>
      </c>
      <c r="G1359" t="str">
        <f>"9780262195577"</f>
        <v>9780262195577</v>
      </c>
      <c r="H1359" t="s">
        <v>304</v>
      </c>
      <c r="I1359" t="s">
        <v>305</v>
      </c>
      <c r="K1359" t="s">
        <v>44</v>
      </c>
      <c r="N1359" t="s">
        <v>45</v>
      </c>
      <c r="O1359" t="s">
        <v>46</v>
      </c>
      <c r="P1359" t="s">
        <v>45</v>
      </c>
      <c r="Q1359" t="s">
        <v>47</v>
      </c>
      <c r="R1359" t="s">
        <v>44</v>
      </c>
      <c r="S1359">
        <v>1</v>
      </c>
      <c r="W1359" s="3">
        <v>3.8460648148148147E-2</v>
      </c>
      <c r="X1359" t="s">
        <v>3099</v>
      </c>
      <c r="Y1359">
        <v>43</v>
      </c>
      <c r="Z1359">
        <v>0</v>
      </c>
      <c r="AA1359" t="s">
        <v>49</v>
      </c>
      <c r="AB1359">
        <v>0</v>
      </c>
      <c r="AC1359" t="s">
        <v>3100</v>
      </c>
      <c r="AD1359">
        <v>1</v>
      </c>
      <c r="AE1359">
        <v>10173702</v>
      </c>
      <c r="AF1359" t="s">
        <v>63</v>
      </c>
      <c r="AG1359" t="s">
        <v>670</v>
      </c>
    </row>
    <row r="1360" spans="1:33" x14ac:dyDescent="0.35">
      <c r="A1360" s="1">
        <v>44872.499305555553</v>
      </c>
      <c r="B1360">
        <v>279494</v>
      </c>
      <c r="C1360" t="s">
        <v>1333</v>
      </c>
      <c r="D1360" t="s">
        <v>125</v>
      </c>
      <c r="E1360" s="2">
        <v>37280</v>
      </c>
      <c r="F1360" t="str">
        <f>"9780198032953"</f>
        <v>9780198032953</v>
      </c>
      <c r="G1360" t="str">
        <f>"9780195144208"</f>
        <v>9780195144208</v>
      </c>
      <c r="H1360" t="s">
        <v>667</v>
      </c>
      <c r="I1360" t="s">
        <v>1334</v>
      </c>
      <c r="J1360" t="s">
        <v>1335</v>
      </c>
      <c r="K1360" t="s">
        <v>44</v>
      </c>
      <c r="N1360" t="s">
        <v>45</v>
      </c>
      <c r="O1360" t="s">
        <v>46</v>
      </c>
      <c r="P1360" t="s">
        <v>45</v>
      </c>
      <c r="Q1360" t="s">
        <v>47</v>
      </c>
      <c r="R1360" t="s">
        <v>44</v>
      </c>
      <c r="S1360">
        <v>0</v>
      </c>
      <c r="W1360" s="3">
        <v>5.7870370370370366E-5</v>
      </c>
      <c r="X1360" t="s">
        <v>121</v>
      </c>
      <c r="Y1360">
        <v>1</v>
      </c>
      <c r="Z1360">
        <v>0</v>
      </c>
      <c r="AA1360" t="s">
        <v>49</v>
      </c>
      <c r="AB1360">
        <v>0</v>
      </c>
      <c r="AC1360" t="s">
        <v>49</v>
      </c>
      <c r="AD1360">
        <v>0</v>
      </c>
      <c r="AE1360">
        <v>11303309</v>
      </c>
      <c r="AF1360" t="s">
        <v>50</v>
      </c>
      <c r="AG1360" t="s">
        <v>2854</v>
      </c>
    </row>
    <row r="1361" spans="1:33" x14ac:dyDescent="0.35">
      <c r="A1361" s="1">
        <v>44872.496527777781</v>
      </c>
      <c r="B1361">
        <v>6675293</v>
      </c>
      <c r="C1361" t="s">
        <v>3060</v>
      </c>
      <c r="D1361" t="s">
        <v>213</v>
      </c>
      <c r="E1361" s="2">
        <v>44392</v>
      </c>
      <c r="F1361" t="str">
        <f>"9780323855723"</f>
        <v>9780323855723</v>
      </c>
      <c r="G1361" t="str">
        <f>"9780323858564"</f>
        <v>9780323858564</v>
      </c>
      <c r="H1361" t="s">
        <v>100</v>
      </c>
      <c r="I1361">
        <v>620.19299999999998</v>
      </c>
      <c r="J1361" t="s">
        <v>3061</v>
      </c>
      <c r="K1361" t="s">
        <v>55</v>
      </c>
      <c r="Q1361" t="s">
        <v>47</v>
      </c>
      <c r="R1361" t="s">
        <v>44</v>
      </c>
      <c r="S1361">
        <v>0</v>
      </c>
      <c r="W1361" s="3">
        <v>2.9282407407407412E-3</v>
      </c>
      <c r="X1361" t="s">
        <v>3101</v>
      </c>
      <c r="Y1361">
        <v>8</v>
      </c>
      <c r="Z1361">
        <v>0</v>
      </c>
      <c r="AA1361" t="s">
        <v>49</v>
      </c>
      <c r="AB1361">
        <v>0</v>
      </c>
      <c r="AC1361" t="s">
        <v>49</v>
      </c>
      <c r="AD1361">
        <v>0</v>
      </c>
      <c r="AE1361">
        <v>-1</v>
      </c>
      <c r="AF1361" t="s">
        <v>63</v>
      </c>
      <c r="AG1361" t="s">
        <v>388</v>
      </c>
    </row>
    <row r="1362" spans="1:33" x14ac:dyDescent="0.35">
      <c r="A1362" s="1">
        <v>44872.496527777781</v>
      </c>
      <c r="B1362">
        <v>3338641</v>
      </c>
      <c r="C1362" t="s">
        <v>302</v>
      </c>
      <c r="D1362" t="s">
        <v>303</v>
      </c>
      <c r="E1362" s="2">
        <v>39143</v>
      </c>
      <c r="F1362" t="str">
        <f>"9780262282888"</f>
        <v>9780262282888</v>
      </c>
      <c r="G1362" t="str">
        <f>"9780262195577"</f>
        <v>9780262195577</v>
      </c>
      <c r="H1362" t="s">
        <v>304</v>
      </c>
      <c r="I1362" t="s">
        <v>305</v>
      </c>
      <c r="K1362" t="s">
        <v>44</v>
      </c>
      <c r="N1362" t="s">
        <v>45</v>
      </c>
      <c r="O1362" t="s">
        <v>46</v>
      </c>
      <c r="P1362" t="s">
        <v>45</v>
      </c>
      <c r="Q1362" t="s">
        <v>47</v>
      </c>
      <c r="R1362" t="s">
        <v>44</v>
      </c>
      <c r="S1362">
        <v>0</v>
      </c>
      <c r="W1362" s="3">
        <v>7.789351851851852E-3</v>
      </c>
      <c r="X1362" t="s">
        <v>3102</v>
      </c>
      <c r="Y1362">
        <v>30</v>
      </c>
      <c r="Z1362">
        <v>0</v>
      </c>
      <c r="AA1362" t="s">
        <v>49</v>
      </c>
      <c r="AB1362">
        <v>0</v>
      </c>
      <c r="AC1362" t="s">
        <v>49</v>
      </c>
      <c r="AD1362">
        <v>0</v>
      </c>
      <c r="AE1362">
        <v>10173702</v>
      </c>
      <c r="AF1362" t="s">
        <v>63</v>
      </c>
      <c r="AG1362" t="s">
        <v>670</v>
      </c>
    </row>
    <row r="1363" spans="1:33" x14ac:dyDescent="0.35">
      <c r="A1363" s="1">
        <v>44872.490972222222</v>
      </c>
      <c r="B1363">
        <v>6675293</v>
      </c>
      <c r="C1363" t="s">
        <v>3060</v>
      </c>
      <c r="D1363" t="s">
        <v>213</v>
      </c>
      <c r="E1363" s="2">
        <v>44392</v>
      </c>
      <c r="F1363" t="str">
        <f>"9780323855723"</f>
        <v>9780323855723</v>
      </c>
      <c r="G1363" t="str">
        <f>"9780323858564"</f>
        <v>9780323858564</v>
      </c>
      <c r="H1363" t="s">
        <v>100</v>
      </c>
      <c r="I1363">
        <v>620.19299999999998</v>
      </c>
      <c r="J1363" t="s">
        <v>3061</v>
      </c>
      <c r="K1363" t="s">
        <v>55</v>
      </c>
      <c r="Q1363" t="s">
        <v>47</v>
      </c>
      <c r="R1363" t="s">
        <v>44</v>
      </c>
      <c r="S1363">
        <v>0</v>
      </c>
      <c r="W1363" s="3">
        <v>4.6296296296296294E-5</v>
      </c>
      <c r="X1363" t="s">
        <v>121</v>
      </c>
      <c r="Y1363">
        <v>1</v>
      </c>
      <c r="Z1363">
        <v>0</v>
      </c>
      <c r="AA1363" t="s">
        <v>49</v>
      </c>
      <c r="AB1363">
        <v>0</v>
      </c>
      <c r="AC1363" t="s">
        <v>49</v>
      </c>
      <c r="AD1363">
        <v>0</v>
      </c>
      <c r="AE1363">
        <v>-1</v>
      </c>
      <c r="AF1363" t="s">
        <v>50</v>
      </c>
      <c r="AG1363" t="s">
        <v>2241</v>
      </c>
    </row>
    <row r="1364" spans="1:33" x14ac:dyDescent="0.35">
      <c r="A1364" s="1">
        <v>44872.488888888889</v>
      </c>
      <c r="B1364">
        <v>6675293</v>
      </c>
      <c r="C1364" t="s">
        <v>3060</v>
      </c>
      <c r="D1364" t="s">
        <v>213</v>
      </c>
      <c r="E1364" s="2">
        <v>44392</v>
      </c>
      <c r="F1364" t="str">
        <f>"9780323855723"</f>
        <v>9780323855723</v>
      </c>
      <c r="G1364" t="str">
        <f>"9780323858564"</f>
        <v>9780323858564</v>
      </c>
      <c r="H1364" t="s">
        <v>100</v>
      </c>
      <c r="I1364">
        <v>620.19299999999998</v>
      </c>
      <c r="J1364" t="s">
        <v>3061</v>
      </c>
      <c r="K1364" t="s">
        <v>55</v>
      </c>
      <c r="Q1364" t="s">
        <v>47</v>
      </c>
      <c r="R1364" t="s">
        <v>44</v>
      </c>
      <c r="S1364">
        <v>0</v>
      </c>
      <c r="W1364" s="3">
        <v>1.7361111111111112E-4</v>
      </c>
      <c r="X1364" t="s">
        <v>3103</v>
      </c>
      <c r="Y1364">
        <v>2</v>
      </c>
      <c r="Z1364">
        <v>0</v>
      </c>
      <c r="AA1364" t="s">
        <v>49</v>
      </c>
      <c r="AB1364">
        <v>0</v>
      </c>
      <c r="AC1364" t="s">
        <v>49</v>
      </c>
      <c r="AD1364">
        <v>0</v>
      </c>
      <c r="AE1364">
        <v>-1</v>
      </c>
      <c r="AF1364" t="s">
        <v>50</v>
      </c>
      <c r="AG1364" t="s">
        <v>388</v>
      </c>
    </row>
    <row r="1365" spans="1:33" x14ac:dyDescent="0.35">
      <c r="A1365" s="1">
        <v>44872.488888888889</v>
      </c>
      <c r="B1365">
        <v>430459</v>
      </c>
      <c r="C1365" t="s">
        <v>2875</v>
      </c>
      <c r="D1365" t="s">
        <v>125</v>
      </c>
      <c r="E1365" s="2">
        <v>35551</v>
      </c>
      <c r="F1365" t="str">
        <f>"9780195348774"</f>
        <v>9780195348774</v>
      </c>
      <c r="G1365" t="str">
        <f>"9780195149791"</f>
        <v>9780195149791</v>
      </c>
      <c r="H1365" t="s">
        <v>667</v>
      </c>
      <c r="I1365">
        <v>956.70442000000003</v>
      </c>
      <c r="J1365" t="s">
        <v>2876</v>
      </c>
      <c r="K1365" t="s">
        <v>44</v>
      </c>
      <c r="N1365" t="s">
        <v>45</v>
      </c>
      <c r="O1365" t="s">
        <v>46</v>
      </c>
      <c r="P1365" t="s">
        <v>45</v>
      </c>
      <c r="Q1365" t="s">
        <v>47</v>
      </c>
      <c r="R1365" t="s">
        <v>44</v>
      </c>
      <c r="S1365">
        <v>0</v>
      </c>
      <c r="W1365" s="3">
        <v>2.8819444444444444E-3</v>
      </c>
      <c r="X1365" t="s">
        <v>3104</v>
      </c>
      <c r="Y1365">
        <v>16</v>
      </c>
      <c r="Z1365">
        <v>0</v>
      </c>
      <c r="AA1365" t="s">
        <v>49</v>
      </c>
      <c r="AB1365">
        <v>0</v>
      </c>
      <c r="AC1365" t="s">
        <v>49</v>
      </c>
      <c r="AD1365">
        <v>0</v>
      </c>
      <c r="AE1365">
        <v>10358361</v>
      </c>
      <c r="AF1365" t="s">
        <v>50</v>
      </c>
      <c r="AG1365" t="s">
        <v>670</v>
      </c>
    </row>
    <row r="1366" spans="1:33" x14ac:dyDescent="0.35">
      <c r="A1366" s="1">
        <v>44872.486805555556</v>
      </c>
      <c r="B1366">
        <v>6688783</v>
      </c>
      <c r="C1366" t="s">
        <v>2955</v>
      </c>
      <c r="D1366" t="s">
        <v>2956</v>
      </c>
      <c r="E1366" s="2">
        <v>44385</v>
      </c>
      <c r="F1366" t="str">
        <f>"9781615372942"</f>
        <v>9781615372942</v>
      </c>
      <c r="G1366" t="str">
        <f>"9781615372935"</f>
        <v>9781615372935</v>
      </c>
      <c r="H1366" t="s">
        <v>147</v>
      </c>
      <c r="I1366">
        <v>616.85839999999996</v>
      </c>
      <c r="J1366" t="s">
        <v>2957</v>
      </c>
      <c r="K1366" t="s">
        <v>44</v>
      </c>
      <c r="N1366" t="s">
        <v>45</v>
      </c>
      <c r="O1366" t="s">
        <v>46</v>
      </c>
      <c r="P1366" t="s">
        <v>45</v>
      </c>
      <c r="Q1366" t="s">
        <v>47</v>
      </c>
      <c r="R1366" t="s">
        <v>44</v>
      </c>
      <c r="S1366">
        <v>0</v>
      </c>
      <c r="W1366" s="3">
        <v>1.6203703703703703E-4</v>
      </c>
      <c r="X1366" t="s">
        <v>3105</v>
      </c>
      <c r="Y1366">
        <v>3</v>
      </c>
      <c r="Z1366">
        <v>0</v>
      </c>
      <c r="AA1366" t="s">
        <v>49</v>
      </c>
      <c r="AB1366">
        <v>0</v>
      </c>
      <c r="AC1366" t="s">
        <v>49</v>
      </c>
      <c r="AD1366">
        <v>0</v>
      </c>
      <c r="AE1366">
        <v>-1</v>
      </c>
      <c r="AF1366" t="s">
        <v>50</v>
      </c>
      <c r="AG1366" t="s">
        <v>388</v>
      </c>
    </row>
    <row r="1367" spans="1:33" x14ac:dyDescent="0.35">
      <c r="A1367" s="1">
        <v>44872.474999999999</v>
      </c>
      <c r="B1367">
        <v>457206</v>
      </c>
      <c r="C1367" t="s">
        <v>3106</v>
      </c>
      <c r="D1367" t="s">
        <v>3107</v>
      </c>
      <c r="E1367" s="2">
        <v>39904</v>
      </c>
      <c r="F1367" t="str">
        <f>"9781904761761"</f>
        <v>9781904761761</v>
      </c>
      <c r="G1367" t="str">
        <f>"9781904761570"</f>
        <v>9781904761570</v>
      </c>
      <c r="H1367" t="s">
        <v>3108</v>
      </c>
      <c r="I1367">
        <v>636.08500000000004</v>
      </c>
      <c r="J1367" t="s">
        <v>3109</v>
      </c>
      <c r="K1367" t="s">
        <v>44</v>
      </c>
      <c r="N1367" t="s">
        <v>45</v>
      </c>
      <c r="O1367" t="s">
        <v>46</v>
      </c>
      <c r="P1367" t="s">
        <v>45</v>
      </c>
      <c r="Q1367" t="s">
        <v>47</v>
      </c>
      <c r="R1367" t="s">
        <v>44</v>
      </c>
      <c r="S1367">
        <v>0</v>
      </c>
      <c r="W1367" s="3">
        <v>2.8819444444444444E-3</v>
      </c>
      <c r="X1367" t="s">
        <v>3110</v>
      </c>
      <c r="Y1367">
        <v>10</v>
      </c>
      <c r="Z1367">
        <v>0</v>
      </c>
      <c r="AA1367" t="s">
        <v>49</v>
      </c>
      <c r="AB1367">
        <v>0</v>
      </c>
      <c r="AC1367" t="s">
        <v>49</v>
      </c>
      <c r="AD1367">
        <v>0</v>
      </c>
      <c r="AE1367">
        <v>10328922</v>
      </c>
      <c r="AF1367" t="s">
        <v>50</v>
      </c>
      <c r="AG1367" t="s">
        <v>388</v>
      </c>
    </row>
    <row r="1368" spans="1:33" x14ac:dyDescent="0.35">
      <c r="A1368" s="1">
        <v>44872.474305555559</v>
      </c>
      <c r="B1368">
        <v>180072</v>
      </c>
      <c r="C1368" t="s">
        <v>2798</v>
      </c>
      <c r="D1368" t="s">
        <v>76</v>
      </c>
      <c r="E1368" s="2">
        <v>35194</v>
      </c>
      <c r="F1368" t="str">
        <f>"9780203403600"</f>
        <v>9780203403600</v>
      </c>
      <c r="G1368" t="str">
        <f>"9780415020633"</f>
        <v>9780415020633</v>
      </c>
      <c r="H1368" t="s">
        <v>2799</v>
      </c>
      <c r="I1368" t="s">
        <v>2800</v>
      </c>
      <c r="J1368" t="s">
        <v>2801</v>
      </c>
      <c r="K1368" t="s">
        <v>44</v>
      </c>
      <c r="N1368" t="s">
        <v>45</v>
      </c>
      <c r="O1368" t="s">
        <v>46</v>
      </c>
      <c r="P1368" t="s">
        <v>45</v>
      </c>
      <c r="Q1368" t="s">
        <v>47</v>
      </c>
      <c r="R1368" t="s">
        <v>44</v>
      </c>
      <c r="S1368">
        <v>0</v>
      </c>
      <c r="W1368" s="3">
        <v>1.5972222222222221E-3</v>
      </c>
      <c r="X1368" t="s">
        <v>3078</v>
      </c>
      <c r="Y1368">
        <v>4</v>
      </c>
      <c r="Z1368">
        <v>0</v>
      </c>
      <c r="AA1368" t="s">
        <v>49</v>
      </c>
      <c r="AB1368">
        <v>0</v>
      </c>
      <c r="AC1368" t="s">
        <v>49</v>
      </c>
      <c r="AD1368">
        <v>0</v>
      </c>
      <c r="AE1368">
        <v>11163958</v>
      </c>
      <c r="AF1368" t="s">
        <v>50</v>
      </c>
      <c r="AG1368" t="s">
        <v>670</v>
      </c>
    </row>
    <row r="1369" spans="1:33" x14ac:dyDescent="0.35">
      <c r="A1369" s="1">
        <v>44872.427083333336</v>
      </c>
      <c r="B1369">
        <v>3386044</v>
      </c>
      <c r="C1369" t="s">
        <v>3068</v>
      </c>
      <c r="D1369" t="s">
        <v>2066</v>
      </c>
      <c r="E1369" s="2">
        <v>36423</v>
      </c>
      <c r="F1369" t="str">
        <f>"9781849640374"</f>
        <v>9781849640374</v>
      </c>
      <c r="G1369" t="str">
        <f>"9780745314167"</f>
        <v>9780745314167</v>
      </c>
      <c r="H1369" t="s">
        <v>667</v>
      </c>
      <c r="I1369" t="s">
        <v>3069</v>
      </c>
      <c r="J1369" t="s">
        <v>3070</v>
      </c>
      <c r="K1369" t="s">
        <v>44</v>
      </c>
      <c r="N1369" t="s">
        <v>45</v>
      </c>
      <c r="O1369" t="s">
        <v>46</v>
      </c>
      <c r="P1369" t="s">
        <v>45</v>
      </c>
      <c r="Q1369" t="s">
        <v>47</v>
      </c>
      <c r="R1369" t="s">
        <v>44</v>
      </c>
      <c r="S1369">
        <v>0</v>
      </c>
      <c r="W1369" s="3">
        <v>5.3240740740740744E-4</v>
      </c>
      <c r="X1369" t="s">
        <v>3111</v>
      </c>
      <c r="Y1369">
        <v>5</v>
      </c>
      <c r="Z1369">
        <v>0</v>
      </c>
      <c r="AA1369" t="s">
        <v>49</v>
      </c>
      <c r="AB1369">
        <v>0</v>
      </c>
      <c r="AC1369" t="s">
        <v>49</v>
      </c>
      <c r="AD1369">
        <v>0</v>
      </c>
      <c r="AE1369">
        <v>2001120</v>
      </c>
      <c r="AF1369" t="s">
        <v>50</v>
      </c>
      <c r="AG1369" t="s">
        <v>670</v>
      </c>
    </row>
    <row r="1370" spans="1:33" x14ac:dyDescent="0.35">
      <c r="A1370" s="1">
        <v>44872.416666666664</v>
      </c>
      <c r="B1370">
        <v>3408923</v>
      </c>
      <c r="C1370" t="s">
        <v>3112</v>
      </c>
      <c r="D1370" t="s">
        <v>645</v>
      </c>
      <c r="E1370" s="2">
        <v>41913</v>
      </c>
      <c r="F1370" t="str">
        <f>"9781438452593"</f>
        <v>9781438452593</v>
      </c>
      <c r="G1370" t="str">
        <f>"9781438452579"</f>
        <v>9781438452579</v>
      </c>
      <c r="H1370" t="s">
        <v>498</v>
      </c>
      <c r="I1370">
        <v>194</v>
      </c>
      <c r="K1370" t="s">
        <v>44</v>
      </c>
      <c r="N1370" t="s">
        <v>45</v>
      </c>
      <c r="O1370" t="s">
        <v>46</v>
      </c>
      <c r="P1370" t="s">
        <v>45</v>
      </c>
      <c r="Q1370" t="s">
        <v>47</v>
      </c>
      <c r="R1370" t="s">
        <v>44</v>
      </c>
      <c r="S1370">
        <v>0</v>
      </c>
      <c r="W1370" s="3">
        <v>3.6168981481481483E-2</v>
      </c>
      <c r="X1370" t="s">
        <v>3113</v>
      </c>
      <c r="Y1370">
        <v>20</v>
      </c>
      <c r="Z1370">
        <v>0</v>
      </c>
      <c r="AA1370" t="s">
        <v>49</v>
      </c>
      <c r="AB1370">
        <v>0</v>
      </c>
      <c r="AC1370" t="s">
        <v>3114</v>
      </c>
      <c r="AD1370">
        <v>4</v>
      </c>
      <c r="AE1370">
        <v>10917911</v>
      </c>
      <c r="AF1370" t="s">
        <v>50</v>
      </c>
      <c r="AG1370" t="s">
        <v>388</v>
      </c>
    </row>
    <row r="1371" spans="1:33" x14ac:dyDescent="0.35">
      <c r="A1371" s="1">
        <v>44872.400694444441</v>
      </c>
      <c r="B1371">
        <v>279494</v>
      </c>
      <c r="C1371" t="s">
        <v>1333</v>
      </c>
      <c r="D1371" t="s">
        <v>125</v>
      </c>
      <c r="E1371" s="2">
        <v>37280</v>
      </c>
      <c r="F1371" t="str">
        <f>"9780198032953"</f>
        <v>9780198032953</v>
      </c>
      <c r="G1371" t="str">
        <f>"9780195144208"</f>
        <v>9780195144208</v>
      </c>
      <c r="H1371" t="s">
        <v>667</v>
      </c>
      <c r="I1371" t="s">
        <v>1334</v>
      </c>
      <c r="J1371" t="s">
        <v>1335</v>
      </c>
      <c r="K1371" t="s">
        <v>44</v>
      </c>
      <c r="N1371" t="s">
        <v>45</v>
      </c>
      <c r="O1371" t="s">
        <v>46</v>
      </c>
      <c r="P1371" t="s">
        <v>45</v>
      </c>
      <c r="Q1371" t="s">
        <v>47</v>
      </c>
      <c r="R1371" t="s">
        <v>44</v>
      </c>
      <c r="S1371">
        <v>0</v>
      </c>
      <c r="W1371" s="3">
        <v>4.2361111111111106E-3</v>
      </c>
      <c r="X1371" t="s">
        <v>3115</v>
      </c>
      <c r="Y1371">
        <v>34</v>
      </c>
      <c r="Z1371">
        <v>0</v>
      </c>
      <c r="AA1371" t="s">
        <v>49</v>
      </c>
      <c r="AB1371">
        <v>0</v>
      </c>
      <c r="AC1371" t="s">
        <v>49</v>
      </c>
      <c r="AD1371">
        <v>0</v>
      </c>
      <c r="AE1371">
        <v>11303309</v>
      </c>
      <c r="AF1371" t="s">
        <v>50</v>
      </c>
      <c r="AG1371" t="s">
        <v>388</v>
      </c>
    </row>
    <row r="1372" spans="1:33" x14ac:dyDescent="0.35">
      <c r="A1372" s="1">
        <v>44872.348611111112</v>
      </c>
      <c r="B1372">
        <v>3443125</v>
      </c>
      <c r="C1372" t="s">
        <v>2870</v>
      </c>
      <c r="D1372" t="s">
        <v>2871</v>
      </c>
      <c r="E1372" s="2">
        <v>38078</v>
      </c>
      <c r="F1372" t="str">
        <f>"9780292797406"</f>
        <v>9780292797406</v>
      </c>
      <c r="G1372" t="str">
        <f>"9780292701601"</f>
        <v>9780292701601</v>
      </c>
      <c r="H1372" t="s">
        <v>667</v>
      </c>
      <c r="I1372" t="s">
        <v>2872</v>
      </c>
      <c r="J1372" t="s">
        <v>2873</v>
      </c>
      <c r="K1372" t="s">
        <v>44</v>
      </c>
      <c r="N1372" t="s">
        <v>45</v>
      </c>
      <c r="O1372" t="s">
        <v>46</v>
      </c>
      <c r="P1372" t="s">
        <v>45</v>
      </c>
      <c r="Q1372" t="s">
        <v>47</v>
      </c>
      <c r="R1372" t="s">
        <v>44</v>
      </c>
      <c r="S1372">
        <v>0</v>
      </c>
      <c r="W1372" s="3">
        <v>2.943287037037037E-2</v>
      </c>
      <c r="X1372" t="s">
        <v>3116</v>
      </c>
      <c r="Y1372">
        <v>25</v>
      </c>
      <c r="Z1372">
        <v>0</v>
      </c>
      <c r="AA1372" t="s">
        <v>49</v>
      </c>
      <c r="AB1372">
        <v>0</v>
      </c>
      <c r="AC1372" t="s">
        <v>3117</v>
      </c>
      <c r="AD1372">
        <v>4</v>
      </c>
      <c r="AE1372">
        <v>10194803</v>
      </c>
      <c r="AF1372" t="s">
        <v>50</v>
      </c>
      <c r="AG1372" t="s">
        <v>670</v>
      </c>
    </row>
    <row r="1373" spans="1:33" x14ac:dyDescent="0.35">
      <c r="A1373" s="1">
        <v>44872.344444444447</v>
      </c>
      <c r="B1373">
        <v>3420792</v>
      </c>
      <c r="C1373" t="s">
        <v>346</v>
      </c>
      <c r="D1373" t="s">
        <v>347</v>
      </c>
      <c r="E1373" s="2">
        <v>41058</v>
      </c>
      <c r="F1373" t="str">
        <f>"9780300184907"</f>
        <v>9780300184907</v>
      </c>
      <c r="G1373" t="str">
        <f>"9780300180862"</f>
        <v>9780300180862</v>
      </c>
      <c r="H1373" t="s">
        <v>348</v>
      </c>
      <c r="I1373" t="s">
        <v>343</v>
      </c>
      <c r="J1373" t="s">
        <v>349</v>
      </c>
      <c r="K1373" t="s">
        <v>44</v>
      </c>
      <c r="N1373" t="s">
        <v>45</v>
      </c>
      <c r="O1373" t="s">
        <v>46</v>
      </c>
      <c r="P1373" t="s">
        <v>45</v>
      </c>
      <c r="Q1373" t="s">
        <v>47</v>
      </c>
      <c r="R1373" t="s">
        <v>44</v>
      </c>
      <c r="S1373">
        <v>0</v>
      </c>
      <c r="W1373" s="3">
        <v>3.0092592592592595E-4</v>
      </c>
      <c r="X1373" t="s">
        <v>1716</v>
      </c>
      <c r="Y1373">
        <v>3</v>
      </c>
      <c r="Z1373">
        <v>0</v>
      </c>
      <c r="AA1373" t="s">
        <v>49</v>
      </c>
      <c r="AB1373">
        <v>0</v>
      </c>
      <c r="AC1373" t="s">
        <v>49</v>
      </c>
      <c r="AD1373">
        <v>0</v>
      </c>
      <c r="AE1373">
        <v>10539573</v>
      </c>
      <c r="AF1373" t="s">
        <v>50</v>
      </c>
      <c r="AG1373" t="s">
        <v>223</v>
      </c>
    </row>
    <row r="1374" spans="1:33" x14ac:dyDescent="0.35">
      <c r="A1374" s="1">
        <v>44872.339583333334</v>
      </c>
      <c r="B1374">
        <v>279494</v>
      </c>
      <c r="C1374" t="s">
        <v>1333</v>
      </c>
      <c r="D1374" t="s">
        <v>125</v>
      </c>
      <c r="E1374" s="2">
        <v>37280</v>
      </c>
      <c r="F1374" t="str">
        <f>"9780198032953"</f>
        <v>9780198032953</v>
      </c>
      <c r="G1374" t="str">
        <f>"9780195144208"</f>
        <v>9780195144208</v>
      </c>
      <c r="H1374" t="s">
        <v>667</v>
      </c>
      <c r="I1374" t="s">
        <v>1334</v>
      </c>
      <c r="J1374" t="s">
        <v>1335</v>
      </c>
      <c r="K1374" t="s">
        <v>44</v>
      </c>
      <c r="N1374" t="s">
        <v>45</v>
      </c>
      <c r="O1374" t="s">
        <v>46</v>
      </c>
      <c r="P1374" t="s">
        <v>45</v>
      </c>
      <c r="Q1374" t="s">
        <v>47</v>
      </c>
      <c r="R1374" t="s">
        <v>44</v>
      </c>
      <c r="S1374">
        <v>0</v>
      </c>
      <c r="W1374" s="3">
        <v>0</v>
      </c>
      <c r="X1374" t="s">
        <v>49</v>
      </c>
      <c r="Y1374">
        <v>0</v>
      </c>
      <c r="Z1374">
        <v>0</v>
      </c>
      <c r="AA1374" t="s">
        <v>49</v>
      </c>
      <c r="AB1374">
        <v>0</v>
      </c>
      <c r="AC1374" t="s">
        <v>49</v>
      </c>
      <c r="AD1374">
        <v>0</v>
      </c>
      <c r="AE1374">
        <v>11303309</v>
      </c>
      <c r="AF1374" t="s">
        <v>50</v>
      </c>
      <c r="AG1374" t="s">
        <v>2854</v>
      </c>
    </row>
    <row r="1375" spans="1:33" x14ac:dyDescent="0.35">
      <c r="A1375" s="1">
        <v>44872.271527777775</v>
      </c>
      <c r="B1375">
        <v>430459</v>
      </c>
      <c r="C1375" t="s">
        <v>2875</v>
      </c>
      <c r="D1375" t="s">
        <v>125</v>
      </c>
      <c r="E1375" s="2">
        <v>35551</v>
      </c>
      <c r="F1375" t="str">
        <f>"9780195348774"</f>
        <v>9780195348774</v>
      </c>
      <c r="G1375" t="str">
        <f>"9780195149791"</f>
        <v>9780195149791</v>
      </c>
      <c r="H1375" t="s">
        <v>667</v>
      </c>
      <c r="I1375">
        <v>956.70442000000003</v>
      </c>
      <c r="J1375" t="s">
        <v>2876</v>
      </c>
      <c r="K1375" t="s">
        <v>44</v>
      </c>
      <c r="N1375" t="s">
        <v>45</v>
      </c>
      <c r="O1375" t="s">
        <v>46</v>
      </c>
      <c r="P1375" t="s">
        <v>45</v>
      </c>
      <c r="Q1375" t="s">
        <v>47</v>
      </c>
      <c r="R1375" t="s">
        <v>44</v>
      </c>
      <c r="S1375">
        <v>0</v>
      </c>
      <c r="W1375" s="3">
        <v>0.11141203703703705</v>
      </c>
      <c r="X1375" t="s">
        <v>3118</v>
      </c>
      <c r="Y1375">
        <v>60</v>
      </c>
      <c r="Z1375">
        <v>0</v>
      </c>
      <c r="AA1375" t="s">
        <v>49</v>
      </c>
      <c r="AB1375">
        <v>0</v>
      </c>
      <c r="AC1375" t="s">
        <v>3119</v>
      </c>
      <c r="AD1375">
        <v>20</v>
      </c>
      <c r="AE1375">
        <v>10358361</v>
      </c>
      <c r="AF1375" t="s">
        <v>50</v>
      </c>
      <c r="AG1375" t="s">
        <v>670</v>
      </c>
    </row>
    <row r="1376" spans="1:33" x14ac:dyDescent="0.35">
      <c r="A1376" s="1">
        <v>44872.152777777781</v>
      </c>
      <c r="B1376">
        <v>430459</v>
      </c>
      <c r="C1376" t="s">
        <v>2875</v>
      </c>
      <c r="D1376" t="s">
        <v>125</v>
      </c>
      <c r="E1376" s="2">
        <v>35551</v>
      </c>
      <c r="F1376" t="str">
        <f>"9780195348774"</f>
        <v>9780195348774</v>
      </c>
      <c r="G1376" t="str">
        <f>"9780195149791"</f>
        <v>9780195149791</v>
      </c>
      <c r="H1376" t="s">
        <v>667</v>
      </c>
      <c r="I1376">
        <v>956.70442000000003</v>
      </c>
      <c r="J1376" t="s">
        <v>2876</v>
      </c>
      <c r="K1376" t="s">
        <v>44</v>
      </c>
      <c r="N1376" t="s">
        <v>45</v>
      </c>
      <c r="O1376" t="s">
        <v>46</v>
      </c>
      <c r="P1376" t="s">
        <v>45</v>
      </c>
      <c r="Q1376" t="s">
        <v>47</v>
      </c>
      <c r="R1376" t="s">
        <v>44</v>
      </c>
      <c r="S1376">
        <v>0</v>
      </c>
      <c r="W1376" s="3">
        <v>1.3888888888888889E-4</v>
      </c>
      <c r="X1376" t="s">
        <v>121</v>
      </c>
      <c r="Y1376">
        <v>1</v>
      </c>
      <c r="Z1376">
        <v>0</v>
      </c>
      <c r="AA1376" t="s">
        <v>49</v>
      </c>
      <c r="AB1376">
        <v>0</v>
      </c>
      <c r="AC1376" t="s">
        <v>49</v>
      </c>
      <c r="AD1376">
        <v>0</v>
      </c>
      <c r="AE1376">
        <v>10358361</v>
      </c>
      <c r="AF1376" t="s">
        <v>50</v>
      </c>
      <c r="AG1376" t="s">
        <v>670</v>
      </c>
    </row>
    <row r="1377" spans="1:33" x14ac:dyDescent="0.35">
      <c r="A1377" s="1">
        <v>44872.050694444442</v>
      </c>
      <c r="B1377">
        <v>430459</v>
      </c>
      <c r="C1377" t="s">
        <v>2875</v>
      </c>
      <c r="D1377" t="s">
        <v>125</v>
      </c>
      <c r="E1377" s="2">
        <v>35551</v>
      </c>
      <c r="F1377" t="str">
        <f>"9780195348774"</f>
        <v>9780195348774</v>
      </c>
      <c r="G1377" t="str">
        <f>"9780195149791"</f>
        <v>9780195149791</v>
      </c>
      <c r="H1377" t="s">
        <v>667</v>
      </c>
      <c r="I1377">
        <v>956.70442000000003</v>
      </c>
      <c r="J1377" t="s">
        <v>2876</v>
      </c>
      <c r="K1377" t="s">
        <v>44</v>
      </c>
      <c r="N1377" t="s">
        <v>45</v>
      </c>
      <c r="O1377" t="s">
        <v>46</v>
      </c>
      <c r="P1377" t="s">
        <v>45</v>
      </c>
      <c r="Q1377" t="s">
        <v>47</v>
      </c>
      <c r="R1377" t="s">
        <v>44</v>
      </c>
      <c r="S1377">
        <v>0</v>
      </c>
      <c r="W1377" s="3">
        <v>6.9398148148148139E-2</v>
      </c>
      <c r="X1377" t="s">
        <v>3120</v>
      </c>
      <c r="Y1377">
        <v>48</v>
      </c>
      <c r="Z1377">
        <v>0</v>
      </c>
      <c r="AA1377" t="s">
        <v>49</v>
      </c>
      <c r="AB1377">
        <v>0</v>
      </c>
      <c r="AC1377" t="s">
        <v>3121</v>
      </c>
      <c r="AD1377">
        <v>12</v>
      </c>
      <c r="AE1377">
        <v>10358361</v>
      </c>
      <c r="AF1377" t="s">
        <v>50</v>
      </c>
      <c r="AG1377" t="s">
        <v>670</v>
      </c>
    </row>
    <row r="1378" spans="1:33" x14ac:dyDescent="0.35">
      <c r="A1378" s="1">
        <v>44872.050694444442</v>
      </c>
      <c r="B1378">
        <v>3386044</v>
      </c>
      <c r="C1378" t="s">
        <v>3068</v>
      </c>
      <c r="D1378" t="s">
        <v>2066</v>
      </c>
      <c r="E1378" s="2">
        <v>36423</v>
      </c>
      <c r="F1378" t="str">
        <f>"9781849640374"</f>
        <v>9781849640374</v>
      </c>
      <c r="G1378" t="str">
        <f>"9780745314167"</f>
        <v>9780745314167</v>
      </c>
      <c r="H1378" t="s">
        <v>667</v>
      </c>
      <c r="I1378" t="s">
        <v>3069</v>
      </c>
      <c r="J1378" t="s">
        <v>3070</v>
      </c>
      <c r="K1378" t="s">
        <v>44</v>
      </c>
      <c r="N1378" t="s">
        <v>45</v>
      </c>
      <c r="O1378" t="s">
        <v>46</v>
      </c>
      <c r="P1378" t="s">
        <v>45</v>
      </c>
      <c r="Q1378" t="s">
        <v>47</v>
      </c>
      <c r="R1378" t="s">
        <v>44</v>
      </c>
      <c r="S1378">
        <v>0</v>
      </c>
      <c r="W1378" s="3">
        <v>2.0277777777777777E-2</v>
      </c>
      <c r="X1378" t="s">
        <v>3122</v>
      </c>
      <c r="Y1378">
        <v>46</v>
      </c>
      <c r="Z1378">
        <v>0</v>
      </c>
      <c r="AA1378" t="s">
        <v>49</v>
      </c>
      <c r="AB1378">
        <v>0</v>
      </c>
      <c r="AC1378" t="s">
        <v>49</v>
      </c>
      <c r="AD1378">
        <v>0</v>
      </c>
      <c r="AE1378">
        <v>2001120</v>
      </c>
      <c r="AF1378" t="s">
        <v>50</v>
      </c>
      <c r="AG1378" t="s">
        <v>670</v>
      </c>
    </row>
    <row r="1379" spans="1:33" x14ac:dyDescent="0.35">
      <c r="A1379" s="1">
        <v>44872.040972222225</v>
      </c>
      <c r="B1379">
        <v>3443125</v>
      </c>
      <c r="C1379" t="s">
        <v>2870</v>
      </c>
      <c r="D1379" t="s">
        <v>2871</v>
      </c>
      <c r="E1379" s="2">
        <v>38078</v>
      </c>
      <c r="F1379" t="str">
        <f>"9780292797406"</f>
        <v>9780292797406</v>
      </c>
      <c r="G1379" t="str">
        <f>"9780292701601"</f>
        <v>9780292701601</v>
      </c>
      <c r="H1379" t="s">
        <v>667</v>
      </c>
      <c r="I1379" t="s">
        <v>2872</v>
      </c>
      <c r="J1379" t="s">
        <v>2873</v>
      </c>
      <c r="K1379" t="s">
        <v>44</v>
      </c>
      <c r="N1379" t="s">
        <v>45</v>
      </c>
      <c r="O1379" t="s">
        <v>46</v>
      </c>
      <c r="P1379" t="s">
        <v>45</v>
      </c>
      <c r="Q1379" t="s">
        <v>47</v>
      </c>
      <c r="R1379" t="s">
        <v>44</v>
      </c>
      <c r="S1379">
        <v>0</v>
      </c>
      <c r="W1379" s="3">
        <v>2.6712962962962966E-2</v>
      </c>
      <c r="X1379" t="s">
        <v>3123</v>
      </c>
      <c r="Y1379">
        <v>33</v>
      </c>
      <c r="Z1379">
        <v>0</v>
      </c>
      <c r="AA1379" t="s">
        <v>49</v>
      </c>
      <c r="AB1379">
        <v>0</v>
      </c>
      <c r="AC1379" t="s">
        <v>3124</v>
      </c>
      <c r="AD1379">
        <v>3</v>
      </c>
      <c r="AE1379">
        <v>10194803</v>
      </c>
      <c r="AF1379" t="s">
        <v>50</v>
      </c>
      <c r="AG1379" t="s">
        <v>670</v>
      </c>
    </row>
    <row r="1380" spans="1:33" x14ac:dyDescent="0.35">
      <c r="A1380" s="1">
        <v>44872.026388888888</v>
      </c>
      <c r="B1380">
        <v>279494</v>
      </c>
      <c r="C1380" t="s">
        <v>1333</v>
      </c>
      <c r="D1380" t="s">
        <v>125</v>
      </c>
      <c r="E1380" s="2">
        <v>37280</v>
      </c>
      <c r="F1380" t="str">
        <f>"9780198032953"</f>
        <v>9780198032953</v>
      </c>
      <c r="G1380" t="str">
        <f>"9780195144208"</f>
        <v>9780195144208</v>
      </c>
      <c r="H1380" t="s">
        <v>667</v>
      </c>
      <c r="I1380" t="s">
        <v>1334</v>
      </c>
      <c r="J1380" t="s">
        <v>1335</v>
      </c>
      <c r="K1380" t="s">
        <v>44</v>
      </c>
      <c r="N1380" t="s">
        <v>45</v>
      </c>
      <c r="O1380" t="s">
        <v>46</v>
      </c>
      <c r="P1380" t="s">
        <v>45</v>
      </c>
      <c r="Q1380" t="s">
        <v>47</v>
      </c>
      <c r="R1380" t="s">
        <v>44</v>
      </c>
      <c r="S1380">
        <v>0</v>
      </c>
      <c r="W1380" s="3">
        <v>1.1180555555555556E-2</v>
      </c>
      <c r="X1380" t="s">
        <v>3125</v>
      </c>
      <c r="Y1380">
        <v>26</v>
      </c>
      <c r="Z1380">
        <v>2</v>
      </c>
      <c r="AA1380" t="s">
        <v>3126</v>
      </c>
      <c r="AB1380">
        <v>47</v>
      </c>
      <c r="AC1380" t="s">
        <v>3127</v>
      </c>
      <c r="AD1380">
        <v>2</v>
      </c>
      <c r="AE1380">
        <v>11303309</v>
      </c>
      <c r="AF1380" t="s">
        <v>50</v>
      </c>
      <c r="AG1380" t="s">
        <v>866</v>
      </c>
    </row>
    <row r="1381" spans="1:33" x14ac:dyDescent="0.35">
      <c r="A1381" s="1">
        <v>44872.006944444445</v>
      </c>
      <c r="B1381">
        <v>1185332</v>
      </c>
      <c r="C1381" t="s">
        <v>3128</v>
      </c>
      <c r="D1381" t="s">
        <v>465</v>
      </c>
      <c r="E1381" s="2">
        <v>38265</v>
      </c>
      <c r="F1381" t="str">
        <f>"9781847550415"</f>
        <v>9781847550415</v>
      </c>
      <c r="G1381" t="str">
        <f>"9780854045914"</f>
        <v>9780854045914</v>
      </c>
      <c r="H1381" t="s">
        <v>1040</v>
      </c>
      <c r="I1381">
        <v>541.36900000000003</v>
      </c>
      <c r="J1381">
        <v>2006494660</v>
      </c>
      <c r="K1381" t="s">
        <v>44</v>
      </c>
      <c r="N1381" t="s">
        <v>45</v>
      </c>
      <c r="O1381" t="s">
        <v>46</v>
      </c>
      <c r="P1381" t="s">
        <v>45</v>
      </c>
      <c r="Q1381" t="s">
        <v>47</v>
      </c>
      <c r="R1381" t="s">
        <v>44</v>
      </c>
      <c r="S1381">
        <v>0</v>
      </c>
      <c r="W1381" s="3">
        <v>3.4722222222222222E-5</v>
      </c>
      <c r="X1381" t="s">
        <v>121</v>
      </c>
      <c r="Y1381">
        <v>1</v>
      </c>
      <c r="Z1381">
        <v>0</v>
      </c>
      <c r="AA1381" t="s">
        <v>49</v>
      </c>
      <c r="AB1381">
        <v>0</v>
      </c>
      <c r="AC1381" t="s">
        <v>49</v>
      </c>
      <c r="AD1381">
        <v>0</v>
      </c>
      <c r="AE1381">
        <v>10621162</v>
      </c>
      <c r="AF1381" t="s">
        <v>50</v>
      </c>
      <c r="AG1381" t="s">
        <v>871</v>
      </c>
    </row>
    <row r="1382" spans="1:33" x14ac:dyDescent="0.35">
      <c r="A1382" s="1">
        <v>44871.986111111109</v>
      </c>
      <c r="B1382">
        <v>668424</v>
      </c>
      <c r="C1382" t="s">
        <v>3129</v>
      </c>
      <c r="D1382" t="s">
        <v>76</v>
      </c>
      <c r="E1382" s="2">
        <v>40613</v>
      </c>
      <c r="F1382" t="str">
        <f>"9780203832509"</f>
        <v>9780203832509</v>
      </c>
      <c r="G1382" t="str">
        <f>"9780415492157"</f>
        <v>9780415492157</v>
      </c>
      <c r="H1382" t="s">
        <v>667</v>
      </c>
      <c r="I1382" t="s">
        <v>2023</v>
      </c>
      <c r="J1382" t="s">
        <v>3130</v>
      </c>
      <c r="K1382" t="s">
        <v>44</v>
      </c>
      <c r="N1382" t="s">
        <v>45</v>
      </c>
      <c r="O1382" t="s">
        <v>46</v>
      </c>
      <c r="P1382" t="s">
        <v>45</v>
      </c>
      <c r="Q1382" t="s">
        <v>47</v>
      </c>
      <c r="R1382" t="s">
        <v>44</v>
      </c>
      <c r="S1382">
        <v>0</v>
      </c>
      <c r="W1382" s="3">
        <v>2.3148148148148146E-4</v>
      </c>
      <c r="X1382" t="s">
        <v>3131</v>
      </c>
      <c r="Y1382">
        <v>4</v>
      </c>
      <c r="Z1382">
        <v>0</v>
      </c>
      <c r="AA1382" t="s">
        <v>49</v>
      </c>
      <c r="AB1382">
        <v>0</v>
      </c>
      <c r="AC1382" t="s">
        <v>49</v>
      </c>
      <c r="AD1382">
        <v>0</v>
      </c>
      <c r="AE1382">
        <v>10452737</v>
      </c>
      <c r="AF1382" t="s">
        <v>50</v>
      </c>
      <c r="AG1382" t="s">
        <v>388</v>
      </c>
    </row>
    <row r="1383" spans="1:33" x14ac:dyDescent="0.35">
      <c r="A1383" s="1">
        <v>44871.969444444447</v>
      </c>
      <c r="B1383">
        <v>5309559</v>
      </c>
      <c r="C1383" t="s">
        <v>2923</v>
      </c>
      <c r="D1383" t="s">
        <v>497</v>
      </c>
      <c r="E1383" s="2">
        <v>39964</v>
      </c>
      <c r="F1383" t="str">
        <f>"9781441164698"</f>
        <v>9781441164698</v>
      </c>
      <c r="G1383" t="str">
        <f>"9781847250407"</f>
        <v>9781847250407</v>
      </c>
      <c r="H1383" t="s">
        <v>667</v>
      </c>
      <c r="I1383">
        <v>956.94039999999995</v>
      </c>
      <c r="J1383" t="s">
        <v>2924</v>
      </c>
      <c r="K1383" t="s">
        <v>44</v>
      </c>
      <c r="N1383" t="s">
        <v>45</v>
      </c>
      <c r="O1383" t="s">
        <v>46</v>
      </c>
      <c r="P1383" t="s">
        <v>45</v>
      </c>
      <c r="Q1383" t="s">
        <v>47</v>
      </c>
      <c r="R1383" t="s">
        <v>44</v>
      </c>
      <c r="S1383">
        <v>0</v>
      </c>
      <c r="W1383" s="3">
        <v>5.4745370370370373E-3</v>
      </c>
      <c r="X1383" t="s">
        <v>3132</v>
      </c>
      <c r="Y1383">
        <v>4</v>
      </c>
      <c r="Z1383">
        <v>0</v>
      </c>
      <c r="AA1383" t="s">
        <v>49</v>
      </c>
      <c r="AB1383">
        <v>0</v>
      </c>
      <c r="AC1383" t="s">
        <v>49</v>
      </c>
      <c r="AD1383">
        <v>0</v>
      </c>
      <c r="AE1383">
        <v>11518527</v>
      </c>
      <c r="AF1383" t="s">
        <v>50</v>
      </c>
      <c r="AG1383" t="s">
        <v>388</v>
      </c>
    </row>
    <row r="1384" spans="1:33" x14ac:dyDescent="0.35">
      <c r="A1384" s="1">
        <v>44871.958333333336</v>
      </c>
      <c r="B1384">
        <v>1792270</v>
      </c>
      <c r="C1384" t="s">
        <v>3133</v>
      </c>
      <c r="D1384" t="s">
        <v>3134</v>
      </c>
      <c r="E1384" s="2">
        <v>44785</v>
      </c>
      <c r="F1384" t="str">
        <f>"9781782841807"</f>
        <v>9781782841807</v>
      </c>
      <c r="G1384" t="str">
        <f>"9781845196158"</f>
        <v>9781845196158</v>
      </c>
      <c r="H1384" t="s">
        <v>3135</v>
      </c>
      <c r="K1384" t="s">
        <v>44</v>
      </c>
      <c r="N1384" t="s">
        <v>45</v>
      </c>
      <c r="O1384" t="s">
        <v>46</v>
      </c>
      <c r="P1384" t="s">
        <v>45</v>
      </c>
      <c r="Q1384" t="s">
        <v>47</v>
      </c>
      <c r="R1384" t="s">
        <v>44</v>
      </c>
      <c r="S1384">
        <v>0</v>
      </c>
      <c r="W1384" s="3">
        <v>3.4722222222222222E-5</v>
      </c>
      <c r="X1384" t="s">
        <v>121</v>
      </c>
      <c r="Y1384">
        <v>1</v>
      </c>
      <c r="Z1384">
        <v>0</v>
      </c>
      <c r="AA1384" t="s">
        <v>49</v>
      </c>
      <c r="AB1384">
        <v>0</v>
      </c>
      <c r="AC1384" t="s">
        <v>49</v>
      </c>
      <c r="AD1384">
        <v>0</v>
      </c>
      <c r="AE1384">
        <v>10936475</v>
      </c>
      <c r="AF1384" t="s">
        <v>50</v>
      </c>
      <c r="AG1384" t="s">
        <v>388</v>
      </c>
    </row>
    <row r="1385" spans="1:33" x14ac:dyDescent="0.35">
      <c r="A1385" s="1">
        <v>44871.950694444444</v>
      </c>
      <c r="B1385">
        <v>6508498</v>
      </c>
      <c r="C1385" t="s">
        <v>2562</v>
      </c>
      <c r="D1385" t="s">
        <v>137</v>
      </c>
      <c r="E1385" s="2">
        <v>44272</v>
      </c>
      <c r="F1385" t="str">
        <f>"9781536193022"</f>
        <v>9781536193022</v>
      </c>
      <c r="G1385" t="str">
        <f>"9781536191837"</f>
        <v>9781536191837</v>
      </c>
      <c r="H1385" t="s">
        <v>1256</v>
      </c>
      <c r="I1385">
        <v>620.11292000000003</v>
      </c>
      <c r="J1385" t="s">
        <v>2563</v>
      </c>
      <c r="K1385" t="s">
        <v>55</v>
      </c>
      <c r="Q1385" t="s">
        <v>47</v>
      </c>
      <c r="R1385" t="s">
        <v>44</v>
      </c>
      <c r="S1385">
        <v>0</v>
      </c>
      <c r="W1385" s="3">
        <v>6.9444444444444444E-5</v>
      </c>
      <c r="X1385" t="s">
        <v>121</v>
      </c>
      <c r="Y1385">
        <v>1</v>
      </c>
      <c r="Z1385">
        <v>0</v>
      </c>
      <c r="AA1385" t="s">
        <v>49</v>
      </c>
      <c r="AB1385">
        <v>0</v>
      </c>
      <c r="AC1385" t="s">
        <v>49</v>
      </c>
      <c r="AD1385">
        <v>0</v>
      </c>
      <c r="AE1385">
        <v>-1</v>
      </c>
      <c r="AF1385" t="s">
        <v>50</v>
      </c>
      <c r="AG1385" t="s">
        <v>1536</v>
      </c>
    </row>
    <row r="1386" spans="1:33" x14ac:dyDescent="0.35">
      <c r="A1386" s="1">
        <v>44871.950694444444</v>
      </c>
      <c r="B1386">
        <v>6456161</v>
      </c>
      <c r="C1386" t="s">
        <v>2093</v>
      </c>
      <c r="D1386" t="s">
        <v>65</v>
      </c>
      <c r="E1386" s="2">
        <v>44211</v>
      </c>
      <c r="F1386" t="str">
        <f>"9780128192672"</f>
        <v>9780128192672</v>
      </c>
      <c r="G1386" t="str">
        <f>"9780128192641"</f>
        <v>9780128192641</v>
      </c>
      <c r="H1386" t="s">
        <v>1256</v>
      </c>
      <c r="I1386">
        <v>620.16499999999996</v>
      </c>
      <c r="J1386" t="s">
        <v>2094</v>
      </c>
      <c r="K1386" t="s">
        <v>55</v>
      </c>
      <c r="Q1386" t="s">
        <v>47</v>
      </c>
      <c r="R1386" t="s">
        <v>44</v>
      </c>
      <c r="S1386">
        <v>0</v>
      </c>
      <c r="W1386" s="3">
        <v>1.1574074074074073E-5</v>
      </c>
      <c r="X1386" t="s">
        <v>49</v>
      </c>
      <c r="Y1386">
        <v>0</v>
      </c>
      <c r="Z1386">
        <v>0</v>
      </c>
      <c r="AA1386" t="s">
        <v>49</v>
      </c>
      <c r="AB1386">
        <v>0</v>
      </c>
      <c r="AC1386" t="s">
        <v>49</v>
      </c>
      <c r="AD1386">
        <v>0</v>
      </c>
      <c r="AE1386">
        <v>-1</v>
      </c>
      <c r="AF1386" t="s">
        <v>50</v>
      </c>
      <c r="AG1386" t="s">
        <v>1536</v>
      </c>
    </row>
    <row r="1387" spans="1:33" x14ac:dyDescent="0.35">
      <c r="A1387" s="1">
        <v>44871.941666666666</v>
      </c>
      <c r="B1387">
        <v>3442078</v>
      </c>
      <c r="C1387" t="s">
        <v>3136</v>
      </c>
      <c r="D1387" t="s">
        <v>1068</v>
      </c>
      <c r="E1387" s="2">
        <v>39084</v>
      </c>
      <c r="F1387" t="str">
        <f>"9780812202656"</f>
        <v>9780812202656</v>
      </c>
      <c r="G1387" t="str">
        <f>"9780812239539"</f>
        <v>9780812239539</v>
      </c>
      <c r="H1387" t="s">
        <v>162</v>
      </c>
      <c r="I1387" t="s">
        <v>3137</v>
      </c>
      <c r="K1387" t="s">
        <v>44</v>
      </c>
      <c r="N1387" t="s">
        <v>45</v>
      </c>
      <c r="O1387" t="s">
        <v>46</v>
      </c>
      <c r="P1387" t="s">
        <v>45</v>
      </c>
      <c r="Q1387" t="s">
        <v>47</v>
      </c>
      <c r="R1387" t="s">
        <v>44</v>
      </c>
      <c r="S1387">
        <v>0</v>
      </c>
      <c r="W1387" s="3">
        <v>1.0648148148148147E-3</v>
      </c>
      <c r="X1387" t="s">
        <v>3138</v>
      </c>
      <c r="Y1387">
        <v>4</v>
      </c>
      <c r="Z1387">
        <v>0</v>
      </c>
      <c r="AA1387" t="s">
        <v>49</v>
      </c>
      <c r="AB1387">
        <v>0</v>
      </c>
      <c r="AC1387" t="s">
        <v>49</v>
      </c>
      <c r="AD1387">
        <v>0</v>
      </c>
      <c r="AE1387">
        <v>10748455</v>
      </c>
      <c r="AF1387" t="s">
        <v>50</v>
      </c>
      <c r="AG1387" t="s">
        <v>388</v>
      </c>
    </row>
    <row r="1388" spans="1:33" x14ac:dyDescent="0.35">
      <c r="A1388" s="1">
        <v>44871.915972222225</v>
      </c>
      <c r="B1388">
        <v>7104503</v>
      </c>
      <c r="C1388" t="s">
        <v>3025</v>
      </c>
      <c r="D1388" t="s">
        <v>59</v>
      </c>
      <c r="E1388" s="2">
        <v>42626</v>
      </c>
      <c r="F1388" t="str">
        <f>"9781119270898"</f>
        <v>9781119270898</v>
      </c>
      <c r="G1388" t="str">
        <f>"9781119270881"</f>
        <v>9781119270881</v>
      </c>
      <c r="H1388" t="s">
        <v>220</v>
      </c>
      <c r="K1388" t="s">
        <v>44</v>
      </c>
      <c r="N1388" t="s">
        <v>45</v>
      </c>
      <c r="O1388" t="s">
        <v>46</v>
      </c>
      <c r="P1388" t="s">
        <v>45</v>
      </c>
      <c r="Q1388" t="s">
        <v>47</v>
      </c>
      <c r="R1388" t="s">
        <v>44</v>
      </c>
      <c r="S1388">
        <v>0</v>
      </c>
      <c r="W1388" s="3">
        <v>5.6712962962962956E-4</v>
      </c>
      <c r="X1388" t="s">
        <v>3139</v>
      </c>
      <c r="Y1388">
        <v>6</v>
      </c>
      <c r="Z1388">
        <v>0</v>
      </c>
      <c r="AA1388" t="s">
        <v>49</v>
      </c>
      <c r="AB1388">
        <v>0</v>
      </c>
      <c r="AC1388" t="s">
        <v>49</v>
      </c>
      <c r="AD1388">
        <v>0</v>
      </c>
      <c r="AE1388">
        <v>-1</v>
      </c>
      <c r="AF1388" t="s">
        <v>50</v>
      </c>
      <c r="AG1388" t="s">
        <v>871</v>
      </c>
    </row>
    <row r="1389" spans="1:33" x14ac:dyDescent="0.35">
      <c r="A1389" s="1">
        <v>44871.90902777778</v>
      </c>
      <c r="B1389">
        <v>1119428</v>
      </c>
      <c r="C1389" t="s">
        <v>3140</v>
      </c>
      <c r="D1389" t="s">
        <v>213</v>
      </c>
      <c r="E1389" s="2">
        <v>41333</v>
      </c>
      <c r="F1389" t="str">
        <f>"9780124158672"</f>
        <v>9780124158672</v>
      </c>
      <c r="G1389" t="str">
        <f>"9780124158078"</f>
        <v>9780124158078</v>
      </c>
      <c r="H1389" t="s">
        <v>3141</v>
      </c>
      <c r="I1389" t="s">
        <v>3142</v>
      </c>
      <c r="J1389" t="s">
        <v>3143</v>
      </c>
      <c r="K1389" t="s">
        <v>44</v>
      </c>
      <c r="N1389" t="s">
        <v>45</v>
      </c>
      <c r="O1389" t="s">
        <v>46</v>
      </c>
      <c r="P1389" t="s">
        <v>45</v>
      </c>
      <c r="Q1389" t="s">
        <v>47</v>
      </c>
      <c r="R1389" t="s">
        <v>44</v>
      </c>
      <c r="S1389">
        <v>0</v>
      </c>
      <c r="W1389" s="3">
        <v>5.5439814814814822E-3</v>
      </c>
      <c r="X1389" t="s">
        <v>3144</v>
      </c>
      <c r="Y1389">
        <v>19</v>
      </c>
      <c r="Z1389">
        <v>0</v>
      </c>
      <c r="AA1389" t="s">
        <v>49</v>
      </c>
      <c r="AB1389">
        <v>0</v>
      </c>
      <c r="AC1389" t="s">
        <v>49</v>
      </c>
      <c r="AD1389">
        <v>0</v>
      </c>
      <c r="AE1389">
        <v>10644758</v>
      </c>
      <c r="AF1389" t="s">
        <v>50</v>
      </c>
      <c r="AG1389" t="s">
        <v>871</v>
      </c>
    </row>
    <row r="1390" spans="1:33" x14ac:dyDescent="0.35">
      <c r="A1390" s="1">
        <v>44871.907638888886</v>
      </c>
      <c r="B1390">
        <v>668821</v>
      </c>
      <c r="C1390" t="s">
        <v>2731</v>
      </c>
      <c r="D1390" t="s">
        <v>76</v>
      </c>
      <c r="E1390" s="2">
        <v>40661</v>
      </c>
      <c r="F1390" t="str">
        <f>"9780203835043"</f>
        <v>9780203835043</v>
      </c>
      <c r="G1390" t="str">
        <f>"9780415548229"</f>
        <v>9780415548229</v>
      </c>
      <c r="H1390" t="s">
        <v>162</v>
      </c>
      <c r="I1390">
        <v>297.4092</v>
      </c>
      <c r="J1390" t="s">
        <v>2732</v>
      </c>
      <c r="K1390" t="s">
        <v>44</v>
      </c>
      <c r="N1390" t="s">
        <v>45</v>
      </c>
      <c r="O1390" t="s">
        <v>46</v>
      </c>
      <c r="P1390" t="s">
        <v>45</v>
      </c>
      <c r="Q1390" t="s">
        <v>47</v>
      </c>
      <c r="R1390" t="s">
        <v>44</v>
      </c>
      <c r="S1390">
        <v>0</v>
      </c>
      <c r="W1390" s="3">
        <v>1.4872685185185185E-2</v>
      </c>
      <c r="X1390" t="s">
        <v>3145</v>
      </c>
      <c r="Y1390">
        <v>23</v>
      </c>
      <c r="Z1390">
        <v>1</v>
      </c>
      <c r="AA1390" t="s">
        <v>2857</v>
      </c>
      <c r="AB1390">
        <v>45</v>
      </c>
      <c r="AC1390" t="s">
        <v>49</v>
      </c>
      <c r="AD1390">
        <v>0</v>
      </c>
      <c r="AE1390">
        <v>10522474</v>
      </c>
      <c r="AF1390" t="s">
        <v>50</v>
      </c>
      <c r="AG1390" t="s">
        <v>388</v>
      </c>
    </row>
    <row r="1391" spans="1:33" x14ac:dyDescent="0.35">
      <c r="A1391" s="1">
        <v>44871.90625</v>
      </c>
      <c r="B1391">
        <v>1792270</v>
      </c>
      <c r="C1391" t="s">
        <v>3133</v>
      </c>
      <c r="D1391" t="s">
        <v>3134</v>
      </c>
      <c r="E1391" s="2">
        <v>44785</v>
      </c>
      <c r="F1391" t="str">
        <f>"9781782841807"</f>
        <v>9781782841807</v>
      </c>
      <c r="G1391" t="str">
        <f>"9781845196158"</f>
        <v>9781845196158</v>
      </c>
      <c r="H1391" t="s">
        <v>3135</v>
      </c>
      <c r="K1391" t="s">
        <v>44</v>
      </c>
      <c r="N1391" t="s">
        <v>45</v>
      </c>
      <c r="O1391" t="s">
        <v>46</v>
      </c>
      <c r="P1391" t="s">
        <v>45</v>
      </c>
      <c r="Q1391" t="s">
        <v>47</v>
      </c>
      <c r="R1391" t="s">
        <v>44</v>
      </c>
      <c r="S1391">
        <v>0</v>
      </c>
      <c r="W1391" s="3">
        <v>3.4375E-3</v>
      </c>
      <c r="X1391" t="s">
        <v>3146</v>
      </c>
      <c r="Y1391">
        <v>18</v>
      </c>
      <c r="Z1391">
        <v>0</v>
      </c>
      <c r="AA1391" t="s">
        <v>49</v>
      </c>
      <c r="AB1391">
        <v>0</v>
      </c>
      <c r="AC1391" t="s">
        <v>49</v>
      </c>
      <c r="AD1391">
        <v>0</v>
      </c>
      <c r="AE1391">
        <v>10936475</v>
      </c>
      <c r="AF1391" t="s">
        <v>50</v>
      </c>
      <c r="AG1391" t="s">
        <v>388</v>
      </c>
    </row>
    <row r="1392" spans="1:33" x14ac:dyDescent="0.35">
      <c r="A1392" s="1">
        <v>44871.890972222223</v>
      </c>
      <c r="B1392">
        <v>5309559</v>
      </c>
      <c r="C1392" t="s">
        <v>2923</v>
      </c>
      <c r="D1392" t="s">
        <v>497</v>
      </c>
      <c r="E1392" s="2">
        <v>39964</v>
      </c>
      <c r="F1392" t="str">
        <f>"9781441164698"</f>
        <v>9781441164698</v>
      </c>
      <c r="G1392" t="str">
        <f>"9781847250407"</f>
        <v>9781847250407</v>
      </c>
      <c r="H1392" t="s">
        <v>667</v>
      </c>
      <c r="I1392">
        <v>956.94039999999995</v>
      </c>
      <c r="J1392" t="s">
        <v>2924</v>
      </c>
      <c r="K1392" t="s">
        <v>44</v>
      </c>
      <c r="N1392" t="s">
        <v>45</v>
      </c>
      <c r="O1392" t="s">
        <v>46</v>
      </c>
      <c r="P1392" t="s">
        <v>45</v>
      </c>
      <c r="Q1392" t="s">
        <v>47</v>
      </c>
      <c r="R1392" t="s">
        <v>44</v>
      </c>
      <c r="S1392">
        <v>0</v>
      </c>
      <c r="W1392" s="3">
        <v>4.2824074074074075E-4</v>
      </c>
      <c r="X1392" t="s">
        <v>3147</v>
      </c>
      <c r="Y1392">
        <v>9</v>
      </c>
      <c r="Z1392">
        <v>0</v>
      </c>
      <c r="AA1392" t="s">
        <v>49</v>
      </c>
      <c r="AB1392">
        <v>0</v>
      </c>
      <c r="AC1392" t="s">
        <v>49</v>
      </c>
      <c r="AD1392">
        <v>0</v>
      </c>
      <c r="AE1392">
        <v>11518527</v>
      </c>
      <c r="AF1392" t="s">
        <v>50</v>
      </c>
      <c r="AG1392" t="s">
        <v>388</v>
      </c>
    </row>
    <row r="1393" spans="1:33" x14ac:dyDescent="0.35">
      <c r="A1393" s="1">
        <v>44871.890972222223</v>
      </c>
      <c r="B1393">
        <v>5394389</v>
      </c>
      <c r="C1393" t="s">
        <v>3148</v>
      </c>
      <c r="D1393" t="s">
        <v>1101</v>
      </c>
      <c r="E1393" s="2">
        <v>41153</v>
      </c>
      <c r="F1393" t="str">
        <f>"9781526130358"</f>
        <v>9781526130358</v>
      </c>
      <c r="G1393" t="str">
        <f>"9780719088124"</f>
        <v>9780719088124</v>
      </c>
      <c r="H1393" t="s">
        <v>1540</v>
      </c>
      <c r="I1393">
        <v>320.54095694</v>
      </c>
      <c r="J1393" t="s">
        <v>3149</v>
      </c>
      <c r="K1393" t="s">
        <v>44</v>
      </c>
      <c r="N1393" t="s">
        <v>45</v>
      </c>
      <c r="O1393" t="s">
        <v>46</v>
      </c>
      <c r="P1393" t="s">
        <v>45</v>
      </c>
      <c r="Q1393" t="s">
        <v>47</v>
      </c>
      <c r="R1393" t="s">
        <v>44</v>
      </c>
      <c r="S1393">
        <v>0</v>
      </c>
      <c r="W1393" s="3">
        <v>5.7870370370370366E-5</v>
      </c>
      <c r="X1393" t="s">
        <v>121</v>
      </c>
      <c r="Y1393">
        <v>1</v>
      </c>
      <c r="Z1393">
        <v>0</v>
      </c>
      <c r="AA1393" t="s">
        <v>49</v>
      </c>
      <c r="AB1393">
        <v>0</v>
      </c>
      <c r="AC1393" t="s">
        <v>49</v>
      </c>
      <c r="AD1393">
        <v>0</v>
      </c>
      <c r="AE1393">
        <v>11556791</v>
      </c>
      <c r="AF1393" t="s">
        <v>50</v>
      </c>
      <c r="AG1393" t="s">
        <v>388</v>
      </c>
    </row>
    <row r="1394" spans="1:33" x14ac:dyDescent="0.35">
      <c r="A1394" s="1">
        <v>44871.888888888891</v>
      </c>
      <c r="B1394">
        <v>547329</v>
      </c>
      <c r="C1394" t="s">
        <v>3150</v>
      </c>
      <c r="D1394" t="s">
        <v>76</v>
      </c>
      <c r="E1394" s="2">
        <v>40393</v>
      </c>
      <c r="F1394" t="str">
        <f>"9780203848807"</f>
        <v>9780203848807</v>
      </c>
      <c r="G1394" t="str">
        <f>"9780415582285"</f>
        <v>9780415582285</v>
      </c>
      <c r="H1394" t="s">
        <v>419</v>
      </c>
      <c r="I1394">
        <v>320.95670000000001</v>
      </c>
      <c r="J1394" t="s">
        <v>3151</v>
      </c>
      <c r="K1394" t="s">
        <v>44</v>
      </c>
      <c r="N1394" t="s">
        <v>45</v>
      </c>
      <c r="O1394" t="s">
        <v>46</v>
      </c>
      <c r="P1394" t="s">
        <v>45</v>
      </c>
      <c r="Q1394" t="s">
        <v>47</v>
      </c>
      <c r="R1394" t="s">
        <v>44</v>
      </c>
      <c r="S1394">
        <v>0</v>
      </c>
      <c r="W1394" s="3">
        <v>7.5231481481481471E-4</v>
      </c>
      <c r="X1394" t="s">
        <v>3152</v>
      </c>
      <c r="Y1394">
        <v>5</v>
      </c>
      <c r="Z1394">
        <v>0</v>
      </c>
      <c r="AA1394" t="s">
        <v>49</v>
      </c>
      <c r="AB1394">
        <v>0</v>
      </c>
      <c r="AC1394" t="s">
        <v>49</v>
      </c>
      <c r="AD1394">
        <v>0</v>
      </c>
      <c r="AE1394">
        <v>10402318</v>
      </c>
      <c r="AF1394" t="s">
        <v>50</v>
      </c>
      <c r="AG1394" t="s">
        <v>388</v>
      </c>
    </row>
    <row r="1395" spans="1:33" x14ac:dyDescent="0.35">
      <c r="A1395" s="1">
        <v>44871.845138888886</v>
      </c>
      <c r="B1395">
        <v>1543552</v>
      </c>
      <c r="C1395" t="s">
        <v>3153</v>
      </c>
      <c r="D1395" t="s">
        <v>502</v>
      </c>
      <c r="E1395" s="2">
        <v>41547</v>
      </c>
      <c r="F1395" t="str">
        <f>"9781107468405"</f>
        <v>9781107468405</v>
      </c>
      <c r="G1395" t="str">
        <f>"9781107025547"</f>
        <v>9781107025547</v>
      </c>
      <c r="H1395" t="s">
        <v>3154</v>
      </c>
      <c r="I1395">
        <v>343.07862233818997</v>
      </c>
      <c r="J1395" t="s">
        <v>3155</v>
      </c>
      <c r="K1395" t="s">
        <v>44</v>
      </c>
      <c r="N1395" t="s">
        <v>45</v>
      </c>
      <c r="O1395" t="s">
        <v>46</v>
      </c>
      <c r="P1395" t="s">
        <v>45</v>
      </c>
      <c r="Q1395" t="s">
        <v>47</v>
      </c>
      <c r="R1395" t="s">
        <v>44</v>
      </c>
      <c r="S1395">
        <v>0</v>
      </c>
      <c r="W1395" s="3">
        <v>1.5162037037037036E-3</v>
      </c>
      <c r="X1395" t="s">
        <v>3156</v>
      </c>
      <c r="Y1395">
        <v>17</v>
      </c>
      <c r="Z1395">
        <v>0</v>
      </c>
      <c r="AA1395" t="s">
        <v>49</v>
      </c>
      <c r="AB1395">
        <v>0</v>
      </c>
      <c r="AC1395" t="s">
        <v>49</v>
      </c>
      <c r="AD1395">
        <v>0</v>
      </c>
      <c r="AE1395">
        <v>10774109</v>
      </c>
      <c r="AF1395" t="s">
        <v>50</v>
      </c>
      <c r="AG1395" t="s">
        <v>388</v>
      </c>
    </row>
    <row r="1396" spans="1:33" x14ac:dyDescent="0.35">
      <c r="A1396" s="1">
        <v>44871.84375</v>
      </c>
      <c r="B1396">
        <v>5430726</v>
      </c>
      <c r="C1396" t="s">
        <v>3157</v>
      </c>
      <c r="D1396" t="s">
        <v>861</v>
      </c>
      <c r="E1396" s="2">
        <v>43100</v>
      </c>
      <c r="F1396" t="str">
        <f>"9781630814953"</f>
        <v>9781630814953</v>
      </c>
      <c r="G1396" t="str">
        <f>"9781630811525"</f>
        <v>9781630811525</v>
      </c>
      <c r="H1396" t="s">
        <v>77</v>
      </c>
      <c r="I1396">
        <v>610.28</v>
      </c>
      <c r="J1396" t="s">
        <v>3158</v>
      </c>
      <c r="K1396" t="s">
        <v>44</v>
      </c>
      <c r="N1396" t="s">
        <v>45</v>
      </c>
      <c r="O1396" t="s">
        <v>46</v>
      </c>
      <c r="P1396" t="s">
        <v>45</v>
      </c>
      <c r="Q1396" t="s">
        <v>47</v>
      </c>
      <c r="R1396" t="s">
        <v>44</v>
      </c>
      <c r="S1396">
        <v>0</v>
      </c>
      <c r="W1396" s="3">
        <v>5.7870370370370366E-5</v>
      </c>
      <c r="X1396" t="s">
        <v>121</v>
      </c>
      <c r="Y1396">
        <v>1</v>
      </c>
      <c r="Z1396">
        <v>0</v>
      </c>
      <c r="AA1396" t="s">
        <v>49</v>
      </c>
      <c r="AB1396">
        <v>0</v>
      </c>
      <c r="AC1396" t="s">
        <v>49</v>
      </c>
      <c r="AD1396">
        <v>0</v>
      </c>
      <c r="AE1396">
        <v>-1</v>
      </c>
      <c r="AF1396" t="s">
        <v>50</v>
      </c>
      <c r="AG1396" t="s">
        <v>388</v>
      </c>
    </row>
    <row r="1397" spans="1:33" x14ac:dyDescent="0.35">
      <c r="A1397" s="1">
        <v>44871.837500000001</v>
      </c>
      <c r="B1397">
        <v>3386222</v>
      </c>
      <c r="C1397" t="s">
        <v>3159</v>
      </c>
      <c r="D1397" t="s">
        <v>2066</v>
      </c>
      <c r="E1397" s="2">
        <v>40277</v>
      </c>
      <c r="F1397" t="str">
        <f>"9781849644488"</f>
        <v>9781849644488</v>
      </c>
      <c r="G1397" t="str">
        <f>"9780745323244"</f>
        <v>9780745323244</v>
      </c>
      <c r="H1397" t="s">
        <v>712</v>
      </c>
      <c r="I1397">
        <v>341.26095694000003</v>
      </c>
      <c r="J1397" t="s">
        <v>3160</v>
      </c>
      <c r="K1397" t="s">
        <v>44</v>
      </c>
      <c r="N1397" t="s">
        <v>45</v>
      </c>
      <c r="O1397" t="s">
        <v>46</v>
      </c>
      <c r="P1397" t="s">
        <v>45</v>
      </c>
      <c r="Q1397" t="s">
        <v>47</v>
      </c>
      <c r="R1397" t="s">
        <v>44</v>
      </c>
      <c r="S1397">
        <v>0</v>
      </c>
      <c r="W1397" s="3">
        <v>0</v>
      </c>
      <c r="X1397" t="s">
        <v>49</v>
      </c>
      <c r="Y1397">
        <v>0</v>
      </c>
      <c r="Z1397">
        <v>0</v>
      </c>
      <c r="AA1397" t="s">
        <v>49</v>
      </c>
      <c r="AB1397">
        <v>0</v>
      </c>
      <c r="AC1397" t="s">
        <v>49</v>
      </c>
      <c r="AD1397">
        <v>0</v>
      </c>
      <c r="AE1397">
        <v>10479712</v>
      </c>
      <c r="AF1397" t="s">
        <v>50</v>
      </c>
      <c r="AG1397" t="s">
        <v>264</v>
      </c>
    </row>
    <row r="1398" spans="1:33" x14ac:dyDescent="0.35">
      <c r="A1398" s="1">
        <v>44871.833333333336</v>
      </c>
      <c r="B1398">
        <v>957520</v>
      </c>
      <c r="C1398" t="s">
        <v>3161</v>
      </c>
      <c r="D1398" t="s">
        <v>76</v>
      </c>
      <c r="E1398" s="2">
        <v>40891</v>
      </c>
      <c r="F1398" t="str">
        <f>"9780203802861"</f>
        <v>9780203802861</v>
      </c>
      <c r="G1398" t="str">
        <f>"9780415589758"</f>
        <v>9780415589758</v>
      </c>
      <c r="H1398" t="s">
        <v>1046</v>
      </c>
      <c r="I1398">
        <v>307.76010000000002</v>
      </c>
      <c r="J1398" t="s">
        <v>3162</v>
      </c>
      <c r="K1398" t="s">
        <v>44</v>
      </c>
      <c r="N1398" t="s">
        <v>45</v>
      </c>
      <c r="O1398" t="s">
        <v>46</v>
      </c>
      <c r="P1398" t="s">
        <v>45</v>
      </c>
      <c r="Q1398" t="s">
        <v>47</v>
      </c>
      <c r="R1398" t="s">
        <v>44</v>
      </c>
      <c r="S1398">
        <v>0</v>
      </c>
      <c r="W1398" s="3">
        <v>0</v>
      </c>
      <c r="X1398" t="s">
        <v>49</v>
      </c>
      <c r="Y1398">
        <v>0</v>
      </c>
      <c r="Z1398">
        <v>1</v>
      </c>
      <c r="AA1398" t="s">
        <v>3163</v>
      </c>
      <c r="AB1398">
        <v>27</v>
      </c>
      <c r="AC1398" t="s">
        <v>49</v>
      </c>
      <c r="AD1398">
        <v>0</v>
      </c>
      <c r="AE1398">
        <v>10542221</v>
      </c>
      <c r="AF1398" t="s">
        <v>50</v>
      </c>
      <c r="AG1398" t="s">
        <v>388</v>
      </c>
    </row>
    <row r="1399" spans="1:33" x14ac:dyDescent="0.35">
      <c r="A1399" s="1">
        <v>44871.830555555556</v>
      </c>
      <c r="B1399">
        <v>7103683</v>
      </c>
      <c r="C1399" t="s">
        <v>3164</v>
      </c>
      <c r="D1399" t="s">
        <v>59</v>
      </c>
      <c r="E1399" s="2">
        <v>41793</v>
      </c>
      <c r="F1399" t="str">
        <f>"9781118456514"</f>
        <v>9781118456514</v>
      </c>
      <c r="G1399" t="str">
        <f>"9781118456477"</f>
        <v>9781118456477</v>
      </c>
      <c r="H1399" t="s">
        <v>419</v>
      </c>
      <c r="K1399" t="s">
        <v>44</v>
      </c>
      <c r="N1399" t="s">
        <v>45</v>
      </c>
      <c r="O1399" t="s">
        <v>46</v>
      </c>
      <c r="P1399" t="s">
        <v>45</v>
      </c>
      <c r="Q1399" t="s">
        <v>47</v>
      </c>
      <c r="R1399" t="s">
        <v>44</v>
      </c>
      <c r="S1399">
        <v>0</v>
      </c>
      <c r="W1399" s="3">
        <v>0</v>
      </c>
      <c r="X1399" t="s">
        <v>49</v>
      </c>
      <c r="Y1399">
        <v>0</v>
      </c>
      <c r="Z1399">
        <v>2</v>
      </c>
      <c r="AA1399" t="s">
        <v>3165</v>
      </c>
      <c r="AB1399">
        <v>72</v>
      </c>
      <c r="AC1399" t="s">
        <v>49</v>
      </c>
      <c r="AD1399">
        <v>0</v>
      </c>
      <c r="AE1399">
        <v>-1</v>
      </c>
      <c r="AF1399" t="s">
        <v>50</v>
      </c>
      <c r="AG1399" t="s">
        <v>388</v>
      </c>
    </row>
    <row r="1400" spans="1:33" x14ac:dyDescent="0.35">
      <c r="A1400" s="1">
        <v>44871.828472222223</v>
      </c>
      <c r="B1400">
        <v>5615552</v>
      </c>
      <c r="C1400" t="s">
        <v>3166</v>
      </c>
      <c r="D1400" t="s">
        <v>59</v>
      </c>
      <c r="E1400" s="2">
        <v>43488</v>
      </c>
      <c r="F1400" t="str">
        <f>"9781119311447"</f>
        <v>9781119311447</v>
      </c>
      <c r="G1400" t="str">
        <f>"9781119089117"</f>
        <v>9781119089117</v>
      </c>
      <c r="H1400" t="s">
        <v>1112</v>
      </c>
      <c r="I1400">
        <v>660.28120000000001</v>
      </c>
      <c r="J1400" t="s">
        <v>3167</v>
      </c>
      <c r="K1400" t="s">
        <v>55</v>
      </c>
      <c r="N1400" t="s">
        <v>79</v>
      </c>
      <c r="P1400" t="s">
        <v>80</v>
      </c>
      <c r="Q1400" t="s">
        <v>47</v>
      </c>
      <c r="R1400" t="s">
        <v>44</v>
      </c>
      <c r="S1400">
        <v>1</v>
      </c>
      <c r="T1400">
        <v>60</v>
      </c>
      <c r="U1400" s="1">
        <v>44871.828472222223</v>
      </c>
      <c r="V1400" s="1">
        <v>44931.828472222223</v>
      </c>
      <c r="W1400" s="3">
        <v>0</v>
      </c>
      <c r="X1400" t="s">
        <v>49</v>
      </c>
      <c r="Y1400">
        <v>0</v>
      </c>
      <c r="Z1400">
        <v>0</v>
      </c>
      <c r="AA1400" t="s">
        <v>49</v>
      </c>
      <c r="AB1400">
        <v>0</v>
      </c>
      <c r="AC1400" t="s">
        <v>49</v>
      </c>
      <c r="AD1400">
        <v>0</v>
      </c>
      <c r="AE1400">
        <v>11640949</v>
      </c>
      <c r="AF1400" t="s">
        <v>63</v>
      </c>
      <c r="AG1400" t="s">
        <v>871</v>
      </c>
    </row>
    <row r="1401" spans="1:33" x14ac:dyDescent="0.35">
      <c r="A1401" s="1">
        <v>44871.822222222225</v>
      </c>
      <c r="B1401">
        <v>4183127</v>
      </c>
      <c r="C1401" t="s">
        <v>190</v>
      </c>
      <c r="D1401" t="s">
        <v>59</v>
      </c>
      <c r="E1401" s="2">
        <v>42310</v>
      </c>
      <c r="F1401" t="str">
        <f>"9783527684649"</f>
        <v>9783527684649</v>
      </c>
      <c r="G1401" t="str">
        <f>"9783527331659"</f>
        <v>9783527331659</v>
      </c>
      <c r="H1401" t="s">
        <v>191</v>
      </c>
      <c r="I1401" t="s">
        <v>192</v>
      </c>
      <c r="J1401" t="s">
        <v>193</v>
      </c>
      <c r="K1401" t="s">
        <v>44</v>
      </c>
      <c r="N1401" t="s">
        <v>45</v>
      </c>
      <c r="O1401" t="s">
        <v>46</v>
      </c>
      <c r="P1401" t="s">
        <v>45</v>
      </c>
      <c r="Q1401" t="s">
        <v>47</v>
      </c>
      <c r="R1401" t="s">
        <v>44</v>
      </c>
      <c r="S1401">
        <v>0</v>
      </c>
      <c r="W1401" s="3">
        <v>3.1944444444444442E-3</v>
      </c>
      <c r="X1401" t="s">
        <v>3168</v>
      </c>
      <c r="Y1401">
        <v>7</v>
      </c>
      <c r="Z1401">
        <v>0</v>
      </c>
      <c r="AA1401" t="s">
        <v>3169</v>
      </c>
      <c r="AB1401">
        <v>2</v>
      </c>
      <c r="AC1401" t="s">
        <v>49</v>
      </c>
      <c r="AD1401">
        <v>0</v>
      </c>
      <c r="AE1401">
        <v>11125579</v>
      </c>
      <c r="AF1401" t="s">
        <v>50</v>
      </c>
      <c r="AG1401" t="s">
        <v>388</v>
      </c>
    </row>
    <row r="1402" spans="1:33" x14ac:dyDescent="0.35">
      <c r="A1402" s="1">
        <v>44871.813194444447</v>
      </c>
      <c r="B1402">
        <v>6423996</v>
      </c>
      <c r="C1402" t="s">
        <v>3170</v>
      </c>
      <c r="D1402" t="s">
        <v>76</v>
      </c>
      <c r="E1402" s="2">
        <v>44187</v>
      </c>
      <c r="F1402" t="str">
        <f>"9780429511004"</f>
        <v>9780429511004</v>
      </c>
      <c r="G1402" t="str">
        <f>"9780367194390"</f>
        <v>9780367194390</v>
      </c>
      <c r="H1402" t="s">
        <v>483</v>
      </c>
      <c r="I1402">
        <v>720.28</v>
      </c>
      <c r="J1402" t="s">
        <v>3171</v>
      </c>
      <c r="K1402" t="s">
        <v>55</v>
      </c>
      <c r="N1402" t="s">
        <v>293</v>
      </c>
      <c r="P1402" t="s">
        <v>80</v>
      </c>
      <c r="Q1402" t="s">
        <v>47</v>
      </c>
      <c r="R1402" t="s">
        <v>44</v>
      </c>
      <c r="S1402">
        <v>0</v>
      </c>
      <c r="W1402" s="3">
        <v>2.3148148148148147E-5</v>
      </c>
      <c r="X1402" t="s">
        <v>49</v>
      </c>
      <c r="Y1402">
        <v>0</v>
      </c>
      <c r="Z1402">
        <v>7</v>
      </c>
      <c r="AA1402" t="s">
        <v>3172</v>
      </c>
      <c r="AB1402">
        <v>95</v>
      </c>
      <c r="AC1402" t="s">
        <v>49</v>
      </c>
      <c r="AD1402">
        <v>0</v>
      </c>
      <c r="AE1402">
        <v>-1</v>
      </c>
      <c r="AF1402" t="s">
        <v>63</v>
      </c>
      <c r="AG1402" t="s">
        <v>388</v>
      </c>
    </row>
    <row r="1403" spans="1:33" x14ac:dyDescent="0.35">
      <c r="A1403" s="1">
        <v>44871.781944444447</v>
      </c>
      <c r="B1403">
        <v>4462129</v>
      </c>
      <c r="C1403" t="s">
        <v>3035</v>
      </c>
      <c r="D1403" t="s">
        <v>507</v>
      </c>
      <c r="E1403" s="2">
        <v>38014</v>
      </c>
      <c r="F1403" t="str">
        <f>"9780748646500"</f>
        <v>9780748646500</v>
      </c>
      <c r="G1403" t="str">
        <f>"9780748618705"</f>
        <v>9780748618705</v>
      </c>
      <c r="H1403" t="s">
        <v>425</v>
      </c>
      <c r="I1403">
        <v>320.5570902</v>
      </c>
      <c r="J1403" t="s">
        <v>3036</v>
      </c>
      <c r="K1403" t="s">
        <v>44</v>
      </c>
      <c r="N1403" t="s">
        <v>45</v>
      </c>
      <c r="O1403" t="s">
        <v>46</v>
      </c>
      <c r="P1403" t="s">
        <v>45</v>
      </c>
      <c r="Q1403" t="s">
        <v>47</v>
      </c>
      <c r="R1403" t="s">
        <v>44</v>
      </c>
      <c r="S1403">
        <v>0</v>
      </c>
      <c r="W1403" s="3">
        <v>8.0671296296296307E-3</v>
      </c>
      <c r="X1403" t="s">
        <v>3173</v>
      </c>
      <c r="Y1403">
        <v>20</v>
      </c>
      <c r="Z1403">
        <v>0</v>
      </c>
      <c r="AA1403" t="s">
        <v>49</v>
      </c>
      <c r="AB1403">
        <v>0</v>
      </c>
      <c r="AC1403" t="s">
        <v>49</v>
      </c>
      <c r="AD1403">
        <v>0</v>
      </c>
      <c r="AE1403">
        <v>11188745</v>
      </c>
      <c r="AF1403" t="s">
        <v>63</v>
      </c>
      <c r="AG1403" t="s">
        <v>3037</v>
      </c>
    </row>
    <row r="1404" spans="1:33" x14ac:dyDescent="0.35">
      <c r="A1404" s="1">
        <v>44871.773611111108</v>
      </c>
      <c r="B1404">
        <v>3386044</v>
      </c>
      <c r="C1404" t="s">
        <v>3068</v>
      </c>
      <c r="D1404" t="s">
        <v>2066</v>
      </c>
      <c r="E1404" s="2">
        <v>36423</v>
      </c>
      <c r="F1404" t="str">
        <f>"9781849640374"</f>
        <v>9781849640374</v>
      </c>
      <c r="G1404" t="str">
        <f>"9780745314167"</f>
        <v>9780745314167</v>
      </c>
      <c r="H1404" t="s">
        <v>667</v>
      </c>
      <c r="I1404" t="s">
        <v>3069</v>
      </c>
      <c r="J1404" t="s">
        <v>3070</v>
      </c>
      <c r="K1404" t="s">
        <v>44</v>
      </c>
      <c r="N1404" t="s">
        <v>45</v>
      </c>
      <c r="O1404" t="s">
        <v>46</v>
      </c>
      <c r="P1404" t="s">
        <v>45</v>
      </c>
      <c r="Q1404" t="s">
        <v>47</v>
      </c>
      <c r="R1404" t="s">
        <v>44</v>
      </c>
      <c r="S1404">
        <v>0</v>
      </c>
      <c r="W1404" s="3">
        <v>0.12687499999999999</v>
      </c>
      <c r="X1404" t="s">
        <v>3174</v>
      </c>
      <c r="Y1404">
        <v>64</v>
      </c>
      <c r="Z1404">
        <v>0</v>
      </c>
      <c r="AA1404" t="s">
        <v>49</v>
      </c>
      <c r="AB1404">
        <v>0</v>
      </c>
      <c r="AC1404" t="s">
        <v>49</v>
      </c>
      <c r="AD1404">
        <v>0</v>
      </c>
      <c r="AE1404">
        <v>2001120</v>
      </c>
      <c r="AF1404" t="s">
        <v>50</v>
      </c>
      <c r="AG1404" t="s">
        <v>670</v>
      </c>
    </row>
    <row r="1405" spans="1:33" x14ac:dyDescent="0.35">
      <c r="A1405" s="1">
        <v>44871.772222222222</v>
      </c>
      <c r="B1405">
        <v>436781</v>
      </c>
      <c r="C1405" t="s">
        <v>3175</v>
      </c>
      <c r="D1405" t="s">
        <v>352</v>
      </c>
      <c r="E1405" s="2">
        <v>38883</v>
      </c>
      <c r="F1405" t="str">
        <f>"9780567449542"</f>
        <v>9780567449542</v>
      </c>
      <c r="G1405" t="str">
        <f>"9780567026620"</f>
        <v>9780567026620</v>
      </c>
      <c r="H1405" t="s">
        <v>2710</v>
      </c>
      <c r="I1405" t="s">
        <v>3176</v>
      </c>
      <c r="J1405" t="s">
        <v>3177</v>
      </c>
      <c r="K1405" t="s">
        <v>44</v>
      </c>
      <c r="N1405" t="s">
        <v>45</v>
      </c>
      <c r="O1405" t="s">
        <v>46</v>
      </c>
      <c r="P1405" t="s">
        <v>45</v>
      </c>
      <c r="Q1405" t="s">
        <v>47</v>
      </c>
      <c r="R1405" t="s">
        <v>44</v>
      </c>
      <c r="S1405">
        <v>0</v>
      </c>
      <c r="W1405" s="3">
        <v>0</v>
      </c>
      <c r="X1405" t="s">
        <v>49</v>
      </c>
      <c r="Y1405">
        <v>0</v>
      </c>
      <c r="Z1405">
        <v>0</v>
      </c>
      <c r="AA1405" t="s">
        <v>49</v>
      </c>
      <c r="AB1405">
        <v>0</v>
      </c>
      <c r="AC1405" t="s">
        <v>49</v>
      </c>
      <c r="AD1405">
        <v>0</v>
      </c>
      <c r="AE1405">
        <v>10250674</v>
      </c>
      <c r="AF1405" t="s">
        <v>50</v>
      </c>
      <c r="AG1405" t="s">
        <v>3178</v>
      </c>
    </row>
    <row r="1406" spans="1:33" x14ac:dyDescent="0.35">
      <c r="A1406" s="1">
        <v>44871.772222222222</v>
      </c>
      <c r="B1406">
        <v>1390990</v>
      </c>
      <c r="C1406" t="s">
        <v>3179</v>
      </c>
      <c r="D1406" t="s">
        <v>443</v>
      </c>
      <c r="E1406" s="2">
        <v>41544</v>
      </c>
      <c r="F1406" t="str">
        <f>"9780520956858"</f>
        <v>9780520956858</v>
      </c>
      <c r="G1406" t="str">
        <f>"9780520277809"</f>
        <v>9780520277809</v>
      </c>
      <c r="H1406" t="s">
        <v>667</v>
      </c>
      <c r="I1406">
        <v>956.04</v>
      </c>
      <c r="J1406" t="s">
        <v>3180</v>
      </c>
      <c r="K1406" t="s">
        <v>44</v>
      </c>
      <c r="N1406" t="s">
        <v>45</v>
      </c>
      <c r="O1406" t="s">
        <v>46</v>
      </c>
      <c r="P1406" t="s">
        <v>177</v>
      </c>
      <c r="Q1406" t="s">
        <v>47</v>
      </c>
      <c r="R1406" t="s">
        <v>55</v>
      </c>
      <c r="S1406">
        <v>0</v>
      </c>
      <c r="W1406" s="3">
        <v>0</v>
      </c>
      <c r="X1406" t="s">
        <v>49</v>
      </c>
      <c r="Y1406">
        <v>0</v>
      </c>
      <c r="Z1406">
        <v>0</v>
      </c>
      <c r="AA1406" t="s">
        <v>49</v>
      </c>
      <c r="AB1406">
        <v>0</v>
      </c>
      <c r="AC1406" t="s">
        <v>49</v>
      </c>
      <c r="AD1406">
        <v>0</v>
      </c>
      <c r="AE1406">
        <v>10763646</v>
      </c>
      <c r="AF1406" t="s">
        <v>50</v>
      </c>
      <c r="AG1406" t="s">
        <v>3178</v>
      </c>
    </row>
    <row r="1407" spans="1:33" x14ac:dyDescent="0.35">
      <c r="A1407" s="1">
        <v>44871.770138888889</v>
      </c>
      <c r="B1407">
        <v>430459</v>
      </c>
      <c r="C1407" t="s">
        <v>2875</v>
      </c>
      <c r="D1407" t="s">
        <v>125</v>
      </c>
      <c r="E1407" s="2">
        <v>35551</v>
      </c>
      <c r="F1407" t="str">
        <f>"9780195348774"</f>
        <v>9780195348774</v>
      </c>
      <c r="G1407" t="str">
        <f>"9780195149791"</f>
        <v>9780195149791</v>
      </c>
      <c r="H1407" t="s">
        <v>667</v>
      </c>
      <c r="I1407">
        <v>956.70442000000003</v>
      </c>
      <c r="J1407" t="s">
        <v>2876</v>
      </c>
      <c r="K1407" t="s">
        <v>44</v>
      </c>
      <c r="N1407" t="s">
        <v>45</v>
      </c>
      <c r="O1407" t="s">
        <v>46</v>
      </c>
      <c r="P1407" t="s">
        <v>45</v>
      </c>
      <c r="Q1407" t="s">
        <v>47</v>
      </c>
      <c r="R1407" t="s">
        <v>44</v>
      </c>
      <c r="S1407">
        <v>0</v>
      </c>
      <c r="W1407" s="3">
        <v>0.19495370370370368</v>
      </c>
      <c r="X1407" t="s">
        <v>3181</v>
      </c>
      <c r="Y1407">
        <v>190</v>
      </c>
      <c r="Z1407">
        <v>0</v>
      </c>
      <c r="AA1407" t="s">
        <v>49</v>
      </c>
      <c r="AB1407">
        <v>0</v>
      </c>
      <c r="AC1407" t="s">
        <v>3182</v>
      </c>
      <c r="AD1407">
        <v>15</v>
      </c>
      <c r="AE1407">
        <v>10358361</v>
      </c>
      <c r="AF1407" t="s">
        <v>50</v>
      </c>
      <c r="AG1407" t="s">
        <v>670</v>
      </c>
    </row>
    <row r="1408" spans="1:33" x14ac:dyDescent="0.35">
      <c r="A1408" s="1">
        <v>44871.770138888889</v>
      </c>
      <c r="B1408">
        <v>3443125</v>
      </c>
      <c r="C1408" t="s">
        <v>2870</v>
      </c>
      <c r="D1408" t="s">
        <v>2871</v>
      </c>
      <c r="E1408" s="2">
        <v>38078</v>
      </c>
      <c r="F1408" t="str">
        <f>"9780292797406"</f>
        <v>9780292797406</v>
      </c>
      <c r="G1408" t="str">
        <f>"9780292701601"</f>
        <v>9780292701601</v>
      </c>
      <c r="H1408" t="s">
        <v>667</v>
      </c>
      <c r="I1408" t="s">
        <v>2872</v>
      </c>
      <c r="J1408" t="s">
        <v>2873</v>
      </c>
      <c r="K1408" t="s">
        <v>44</v>
      </c>
      <c r="N1408" t="s">
        <v>45</v>
      </c>
      <c r="O1408" t="s">
        <v>46</v>
      </c>
      <c r="P1408" t="s">
        <v>45</v>
      </c>
      <c r="Q1408" t="s">
        <v>47</v>
      </c>
      <c r="R1408" t="s">
        <v>44</v>
      </c>
      <c r="S1408">
        <v>0</v>
      </c>
      <c r="W1408" s="3">
        <v>0.13513888888888889</v>
      </c>
      <c r="X1408" t="s">
        <v>3183</v>
      </c>
      <c r="Y1408">
        <v>131</v>
      </c>
      <c r="Z1408">
        <v>0</v>
      </c>
      <c r="AA1408" t="s">
        <v>49</v>
      </c>
      <c r="AB1408">
        <v>0</v>
      </c>
      <c r="AC1408" t="s">
        <v>3184</v>
      </c>
      <c r="AD1408">
        <v>3</v>
      </c>
      <c r="AE1408">
        <v>10194803</v>
      </c>
      <c r="AF1408" t="s">
        <v>50</v>
      </c>
      <c r="AG1408" t="s">
        <v>670</v>
      </c>
    </row>
    <row r="1409" spans="1:33" x14ac:dyDescent="0.35">
      <c r="A1409" s="1">
        <v>44871.765972222223</v>
      </c>
      <c r="B1409">
        <v>1143822</v>
      </c>
      <c r="C1409" t="s">
        <v>3185</v>
      </c>
      <c r="D1409" t="s">
        <v>76</v>
      </c>
      <c r="E1409" s="2">
        <v>41248</v>
      </c>
      <c r="F1409" t="str">
        <f>"9781136160691"</f>
        <v>9781136160691</v>
      </c>
      <c r="G1409" t="str">
        <f>"9780415778626"</f>
        <v>9780415778626</v>
      </c>
      <c r="H1409" t="s">
        <v>667</v>
      </c>
      <c r="I1409">
        <v>956.04</v>
      </c>
      <c r="J1409" t="s">
        <v>3186</v>
      </c>
      <c r="K1409" t="s">
        <v>44</v>
      </c>
      <c r="N1409" t="s">
        <v>45</v>
      </c>
      <c r="O1409" t="s">
        <v>46</v>
      </c>
      <c r="P1409" t="s">
        <v>45</v>
      </c>
      <c r="Q1409" t="s">
        <v>47</v>
      </c>
      <c r="R1409" t="s">
        <v>44</v>
      </c>
      <c r="S1409">
        <v>0</v>
      </c>
      <c r="W1409" s="3">
        <v>6.2500000000000001E-4</v>
      </c>
      <c r="X1409" t="s">
        <v>3187</v>
      </c>
      <c r="Y1409">
        <v>5</v>
      </c>
      <c r="Z1409">
        <v>0</v>
      </c>
      <c r="AA1409" t="s">
        <v>49</v>
      </c>
      <c r="AB1409">
        <v>0</v>
      </c>
      <c r="AC1409" t="s">
        <v>49</v>
      </c>
      <c r="AD1409">
        <v>0</v>
      </c>
      <c r="AE1409">
        <v>10672645</v>
      </c>
      <c r="AF1409" t="s">
        <v>50</v>
      </c>
      <c r="AG1409" t="s">
        <v>630</v>
      </c>
    </row>
    <row r="1410" spans="1:33" x14ac:dyDescent="0.35">
      <c r="A1410" s="1">
        <v>44871.738888888889</v>
      </c>
      <c r="B1410">
        <v>1426875</v>
      </c>
      <c r="C1410" t="s">
        <v>3188</v>
      </c>
      <c r="D1410" t="s">
        <v>76</v>
      </c>
      <c r="E1410" s="2">
        <v>41598</v>
      </c>
      <c r="F1410" t="str">
        <f>"9781409466352"</f>
        <v>9781409466352</v>
      </c>
      <c r="G1410" t="str">
        <f>"9781409466345"</f>
        <v>9781409466345</v>
      </c>
      <c r="H1410" t="s">
        <v>483</v>
      </c>
      <c r="I1410">
        <v>720.95362999999998</v>
      </c>
      <c r="J1410" t="s">
        <v>3189</v>
      </c>
      <c r="K1410" t="s">
        <v>44</v>
      </c>
      <c r="N1410" t="s">
        <v>45</v>
      </c>
      <c r="O1410" t="s">
        <v>46</v>
      </c>
      <c r="P1410" t="s">
        <v>45</v>
      </c>
      <c r="Q1410" t="s">
        <v>47</v>
      </c>
      <c r="R1410" t="s">
        <v>44</v>
      </c>
      <c r="S1410">
        <v>0</v>
      </c>
      <c r="W1410" s="3">
        <v>4.6296296296296294E-5</v>
      </c>
      <c r="X1410" t="s">
        <v>3190</v>
      </c>
      <c r="Y1410">
        <v>2</v>
      </c>
      <c r="Z1410">
        <v>0</v>
      </c>
      <c r="AA1410" t="s">
        <v>49</v>
      </c>
      <c r="AB1410">
        <v>0</v>
      </c>
      <c r="AC1410" t="s">
        <v>49</v>
      </c>
      <c r="AD1410">
        <v>0</v>
      </c>
      <c r="AE1410">
        <v>10768071</v>
      </c>
      <c r="AF1410" t="s">
        <v>63</v>
      </c>
      <c r="AG1410" t="s">
        <v>2241</v>
      </c>
    </row>
    <row r="1411" spans="1:33" x14ac:dyDescent="0.35">
      <c r="A1411" s="1">
        <v>44871.728472222225</v>
      </c>
      <c r="B1411">
        <v>1143822</v>
      </c>
      <c r="C1411" t="s">
        <v>3185</v>
      </c>
      <c r="D1411" t="s">
        <v>76</v>
      </c>
      <c r="E1411" s="2">
        <v>41248</v>
      </c>
      <c r="F1411" t="str">
        <f>"9781136160691"</f>
        <v>9781136160691</v>
      </c>
      <c r="G1411" t="str">
        <f>"9780415778626"</f>
        <v>9780415778626</v>
      </c>
      <c r="H1411" t="s">
        <v>667</v>
      </c>
      <c r="I1411">
        <v>956.04</v>
      </c>
      <c r="J1411" t="s">
        <v>3186</v>
      </c>
      <c r="K1411" t="s">
        <v>44</v>
      </c>
      <c r="N1411" t="s">
        <v>45</v>
      </c>
      <c r="O1411" t="s">
        <v>46</v>
      </c>
      <c r="P1411" t="s">
        <v>45</v>
      </c>
      <c r="Q1411" t="s">
        <v>47</v>
      </c>
      <c r="R1411" t="s">
        <v>44</v>
      </c>
      <c r="S1411">
        <v>0</v>
      </c>
      <c r="W1411" s="3">
        <v>8.9120370370370362E-4</v>
      </c>
      <c r="X1411" t="s">
        <v>3191</v>
      </c>
      <c r="Y1411">
        <v>7</v>
      </c>
      <c r="Z1411">
        <v>0</v>
      </c>
      <c r="AA1411" t="s">
        <v>49</v>
      </c>
      <c r="AB1411">
        <v>0</v>
      </c>
      <c r="AC1411" t="s">
        <v>49</v>
      </c>
      <c r="AD1411">
        <v>0</v>
      </c>
      <c r="AE1411">
        <v>10672645</v>
      </c>
      <c r="AF1411" t="s">
        <v>50</v>
      </c>
      <c r="AG1411" t="s">
        <v>630</v>
      </c>
    </row>
    <row r="1412" spans="1:33" x14ac:dyDescent="0.35">
      <c r="A1412" s="1">
        <v>44871.720833333333</v>
      </c>
      <c r="B1412">
        <v>305647</v>
      </c>
      <c r="C1412" t="s">
        <v>3192</v>
      </c>
      <c r="D1412" t="s">
        <v>65</v>
      </c>
      <c r="E1412" s="2">
        <v>39281</v>
      </c>
      <c r="F1412" t="str">
        <f>"9780080548883"</f>
        <v>9780080548883</v>
      </c>
      <c r="G1412" t="str">
        <f>"9780444527158"</f>
        <v>9780444527158</v>
      </c>
      <c r="H1412" t="s">
        <v>585</v>
      </c>
      <c r="I1412">
        <v>539.70000000000005</v>
      </c>
      <c r="J1412" t="s">
        <v>3193</v>
      </c>
      <c r="K1412" t="s">
        <v>44</v>
      </c>
      <c r="N1412" t="s">
        <v>45</v>
      </c>
      <c r="O1412" t="s">
        <v>46</v>
      </c>
      <c r="P1412" t="s">
        <v>45</v>
      </c>
      <c r="Q1412" t="s">
        <v>47</v>
      </c>
      <c r="R1412" t="s">
        <v>44</v>
      </c>
      <c r="S1412">
        <v>0</v>
      </c>
      <c r="W1412" s="3">
        <v>1.892361111111111E-2</v>
      </c>
      <c r="X1412" t="s">
        <v>3194</v>
      </c>
      <c r="Y1412">
        <v>36</v>
      </c>
      <c r="Z1412">
        <v>0</v>
      </c>
      <c r="AA1412" t="s">
        <v>49</v>
      </c>
      <c r="AB1412">
        <v>0</v>
      </c>
      <c r="AC1412" t="s">
        <v>49</v>
      </c>
      <c r="AD1412">
        <v>0</v>
      </c>
      <c r="AE1412">
        <v>10188643</v>
      </c>
      <c r="AF1412" t="s">
        <v>50</v>
      </c>
      <c r="AG1412" t="s">
        <v>388</v>
      </c>
    </row>
    <row r="1413" spans="1:33" x14ac:dyDescent="0.35">
      <c r="A1413" s="1">
        <v>44871.71597222222</v>
      </c>
      <c r="B1413">
        <v>3408923</v>
      </c>
      <c r="C1413" t="s">
        <v>3112</v>
      </c>
      <c r="D1413" t="s">
        <v>645</v>
      </c>
      <c r="E1413" s="2">
        <v>41913</v>
      </c>
      <c r="F1413" t="str">
        <f>"9781438452593"</f>
        <v>9781438452593</v>
      </c>
      <c r="G1413" t="str">
        <f>"9781438452579"</f>
        <v>9781438452579</v>
      </c>
      <c r="H1413" t="s">
        <v>498</v>
      </c>
      <c r="I1413">
        <v>194</v>
      </c>
      <c r="K1413" t="s">
        <v>44</v>
      </c>
      <c r="N1413" t="s">
        <v>45</v>
      </c>
      <c r="O1413" t="s">
        <v>46</v>
      </c>
      <c r="P1413" t="s">
        <v>45</v>
      </c>
      <c r="Q1413" t="s">
        <v>47</v>
      </c>
      <c r="R1413" t="s">
        <v>44</v>
      </c>
      <c r="S1413">
        <v>0</v>
      </c>
      <c r="W1413" s="3">
        <v>4.2002314814814812E-2</v>
      </c>
      <c r="X1413" t="s">
        <v>3195</v>
      </c>
      <c r="Y1413">
        <v>30</v>
      </c>
      <c r="Z1413">
        <v>0</v>
      </c>
      <c r="AA1413" t="s">
        <v>49</v>
      </c>
      <c r="AB1413">
        <v>0</v>
      </c>
      <c r="AC1413" t="s">
        <v>3196</v>
      </c>
      <c r="AD1413">
        <v>3</v>
      </c>
      <c r="AE1413">
        <v>10917911</v>
      </c>
      <c r="AF1413" t="s">
        <v>50</v>
      </c>
      <c r="AG1413" t="s">
        <v>388</v>
      </c>
    </row>
    <row r="1414" spans="1:33" x14ac:dyDescent="0.35">
      <c r="A1414" s="1">
        <v>44871.7</v>
      </c>
      <c r="B1414">
        <v>165398</v>
      </c>
      <c r="C1414" t="s">
        <v>1983</v>
      </c>
      <c r="D1414" t="s">
        <v>76</v>
      </c>
      <c r="E1414" s="2">
        <v>35999</v>
      </c>
      <c r="F1414" t="str">
        <f>"9780203017432"</f>
        <v>9780203017432</v>
      </c>
      <c r="G1414" t="str">
        <f>"9780415061322"</f>
        <v>9780415061322</v>
      </c>
      <c r="H1414" t="s">
        <v>1984</v>
      </c>
      <c r="I1414">
        <v>909.09749269999998</v>
      </c>
      <c r="J1414" t="s">
        <v>1985</v>
      </c>
      <c r="K1414" t="s">
        <v>44</v>
      </c>
      <c r="N1414" t="s">
        <v>45</v>
      </c>
      <c r="O1414" t="s">
        <v>46</v>
      </c>
      <c r="P1414" t="s">
        <v>45</v>
      </c>
      <c r="Q1414" t="s">
        <v>47</v>
      </c>
      <c r="R1414" t="s">
        <v>44</v>
      </c>
      <c r="S1414">
        <v>0</v>
      </c>
      <c r="W1414" s="3">
        <v>9.1782407407407403E-3</v>
      </c>
      <c r="X1414" t="s">
        <v>3197</v>
      </c>
      <c r="Y1414">
        <v>40</v>
      </c>
      <c r="Z1414">
        <v>0</v>
      </c>
      <c r="AA1414" t="s">
        <v>49</v>
      </c>
      <c r="AB1414">
        <v>0</v>
      </c>
      <c r="AC1414" t="s">
        <v>49</v>
      </c>
      <c r="AD1414">
        <v>0</v>
      </c>
      <c r="AE1414">
        <v>10017085</v>
      </c>
      <c r="AF1414" t="s">
        <v>50</v>
      </c>
      <c r="AG1414" t="s">
        <v>835</v>
      </c>
    </row>
    <row r="1415" spans="1:33" x14ac:dyDescent="0.35">
      <c r="A1415" s="1">
        <v>44871.694444444445</v>
      </c>
      <c r="B1415">
        <v>6129601</v>
      </c>
      <c r="C1415" t="s">
        <v>3198</v>
      </c>
      <c r="D1415" t="s">
        <v>3199</v>
      </c>
      <c r="E1415" s="2">
        <v>43830</v>
      </c>
      <c r="F1415" t="str">
        <f>"9781925612288"</f>
        <v>9781925612288</v>
      </c>
      <c r="G1415" t="str">
        <f>"9781925612257"</f>
        <v>9781925612257</v>
      </c>
      <c r="H1415" t="s">
        <v>1069</v>
      </c>
      <c r="I1415">
        <v>891.55110000000002</v>
      </c>
      <c r="J1415" t="s">
        <v>3200</v>
      </c>
      <c r="K1415" t="s">
        <v>55</v>
      </c>
      <c r="Q1415" t="s">
        <v>47</v>
      </c>
      <c r="R1415" t="s">
        <v>44</v>
      </c>
      <c r="S1415">
        <v>0</v>
      </c>
      <c r="W1415" s="3">
        <v>2.5949074074074072E-2</v>
      </c>
      <c r="X1415" t="s">
        <v>3201</v>
      </c>
      <c r="Y1415">
        <v>30</v>
      </c>
      <c r="Z1415">
        <v>0</v>
      </c>
      <c r="AA1415" t="s">
        <v>49</v>
      </c>
      <c r="AB1415">
        <v>0</v>
      </c>
      <c r="AC1415" t="s">
        <v>49</v>
      </c>
      <c r="AD1415">
        <v>0</v>
      </c>
      <c r="AE1415">
        <v>-1</v>
      </c>
      <c r="AF1415" t="s">
        <v>63</v>
      </c>
      <c r="AG1415" t="s">
        <v>866</v>
      </c>
    </row>
    <row r="1416" spans="1:33" x14ac:dyDescent="0.35">
      <c r="A1416" s="1">
        <v>44871.693749999999</v>
      </c>
      <c r="B1416">
        <v>5309559</v>
      </c>
      <c r="C1416" t="s">
        <v>2923</v>
      </c>
      <c r="D1416" t="s">
        <v>497</v>
      </c>
      <c r="E1416" s="2">
        <v>39964</v>
      </c>
      <c r="F1416" t="str">
        <f>"9781441164698"</f>
        <v>9781441164698</v>
      </c>
      <c r="G1416" t="str">
        <f>"9781847250407"</f>
        <v>9781847250407</v>
      </c>
      <c r="H1416" t="s">
        <v>667</v>
      </c>
      <c r="I1416">
        <v>956.94039999999995</v>
      </c>
      <c r="J1416" t="s">
        <v>2924</v>
      </c>
      <c r="K1416" t="s">
        <v>44</v>
      </c>
      <c r="N1416" t="s">
        <v>45</v>
      </c>
      <c r="O1416" t="s">
        <v>46</v>
      </c>
      <c r="P1416" t="s">
        <v>45</v>
      </c>
      <c r="Q1416" t="s">
        <v>47</v>
      </c>
      <c r="R1416" t="s">
        <v>44</v>
      </c>
      <c r="S1416">
        <v>0</v>
      </c>
      <c r="W1416" s="3">
        <v>8.1018518518518516E-5</v>
      </c>
      <c r="X1416" t="s">
        <v>3202</v>
      </c>
      <c r="Y1416">
        <v>2</v>
      </c>
      <c r="Z1416">
        <v>0</v>
      </c>
      <c r="AA1416" t="s">
        <v>49</v>
      </c>
      <c r="AB1416">
        <v>0</v>
      </c>
      <c r="AC1416" t="s">
        <v>49</v>
      </c>
      <c r="AD1416">
        <v>0</v>
      </c>
      <c r="AE1416">
        <v>11518527</v>
      </c>
      <c r="AF1416" t="s">
        <v>50</v>
      </c>
      <c r="AG1416" t="s">
        <v>388</v>
      </c>
    </row>
    <row r="1417" spans="1:33" x14ac:dyDescent="0.35">
      <c r="A1417" s="1">
        <v>44871.686805555553</v>
      </c>
      <c r="B1417">
        <v>5394389</v>
      </c>
      <c r="C1417" t="s">
        <v>3148</v>
      </c>
      <c r="D1417" t="s">
        <v>1101</v>
      </c>
      <c r="E1417" s="2">
        <v>41153</v>
      </c>
      <c r="F1417" t="str">
        <f>"9781526130358"</f>
        <v>9781526130358</v>
      </c>
      <c r="G1417" t="str">
        <f>"9780719088124"</f>
        <v>9780719088124</v>
      </c>
      <c r="H1417" t="s">
        <v>1540</v>
      </c>
      <c r="I1417">
        <v>320.54095694</v>
      </c>
      <c r="J1417" t="s">
        <v>3149</v>
      </c>
      <c r="K1417" t="s">
        <v>44</v>
      </c>
      <c r="N1417" t="s">
        <v>45</v>
      </c>
      <c r="O1417" t="s">
        <v>46</v>
      </c>
      <c r="P1417" t="s">
        <v>45</v>
      </c>
      <c r="Q1417" t="s">
        <v>47</v>
      </c>
      <c r="R1417" t="s">
        <v>44</v>
      </c>
      <c r="S1417">
        <v>0</v>
      </c>
      <c r="W1417" s="3">
        <v>5.8796296296296296E-3</v>
      </c>
      <c r="X1417" t="s">
        <v>3203</v>
      </c>
      <c r="Y1417">
        <v>22</v>
      </c>
      <c r="Z1417">
        <v>0</v>
      </c>
      <c r="AA1417" t="s">
        <v>49</v>
      </c>
      <c r="AB1417">
        <v>0</v>
      </c>
      <c r="AC1417" t="s">
        <v>49</v>
      </c>
      <c r="AD1417">
        <v>0</v>
      </c>
      <c r="AE1417">
        <v>11556791</v>
      </c>
      <c r="AF1417" t="s">
        <v>50</v>
      </c>
      <c r="AG1417" t="s">
        <v>388</v>
      </c>
    </row>
    <row r="1418" spans="1:33" x14ac:dyDescent="0.35">
      <c r="A1418" s="1">
        <v>44871.686111111114</v>
      </c>
      <c r="B1418">
        <v>430459</v>
      </c>
      <c r="C1418" t="s">
        <v>2875</v>
      </c>
      <c r="D1418" t="s">
        <v>125</v>
      </c>
      <c r="E1418" s="2">
        <v>35551</v>
      </c>
      <c r="F1418" t="str">
        <f>"9780195348774"</f>
        <v>9780195348774</v>
      </c>
      <c r="G1418" t="str">
        <f>"9780195149791"</f>
        <v>9780195149791</v>
      </c>
      <c r="H1418" t="s">
        <v>667</v>
      </c>
      <c r="I1418">
        <v>956.70442000000003</v>
      </c>
      <c r="J1418" t="s">
        <v>2876</v>
      </c>
      <c r="K1418" t="s">
        <v>44</v>
      </c>
      <c r="N1418" t="s">
        <v>45</v>
      </c>
      <c r="O1418" t="s">
        <v>46</v>
      </c>
      <c r="P1418" t="s">
        <v>45</v>
      </c>
      <c r="Q1418" t="s">
        <v>47</v>
      </c>
      <c r="R1418" t="s">
        <v>44</v>
      </c>
      <c r="S1418">
        <v>0</v>
      </c>
      <c r="W1418" s="3">
        <v>1.6828703703703703E-2</v>
      </c>
      <c r="X1418" t="s">
        <v>3204</v>
      </c>
      <c r="Y1418">
        <v>43</v>
      </c>
      <c r="Z1418">
        <v>1</v>
      </c>
      <c r="AA1418" t="s">
        <v>3205</v>
      </c>
      <c r="AB1418">
        <v>6</v>
      </c>
      <c r="AC1418" t="s">
        <v>49</v>
      </c>
      <c r="AD1418">
        <v>0</v>
      </c>
      <c r="AE1418">
        <v>10358361</v>
      </c>
      <c r="AF1418" t="s">
        <v>50</v>
      </c>
      <c r="AG1418" t="s">
        <v>670</v>
      </c>
    </row>
    <row r="1419" spans="1:33" x14ac:dyDescent="0.35">
      <c r="A1419" s="1">
        <v>44871.68472222222</v>
      </c>
      <c r="B1419">
        <v>1085122</v>
      </c>
      <c r="C1419" t="s">
        <v>3206</v>
      </c>
      <c r="D1419" t="s">
        <v>3207</v>
      </c>
      <c r="E1419" s="2">
        <v>41254</v>
      </c>
      <c r="F1419" t="str">
        <f>"9781611683530"</f>
        <v>9781611683530</v>
      </c>
      <c r="G1419" t="str">
        <f>"9781611683523"</f>
        <v>9781611683523</v>
      </c>
      <c r="H1419" t="s">
        <v>667</v>
      </c>
      <c r="I1419">
        <v>956.94</v>
      </c>
      <c r="J1419" t="s">
        <v>3208</v>
      </c>
      <c r="K1419" t="s">
        <v>44</v>
      </c>
      <c r="N1419" t="s">
        <v>45</v>
      </c>
      <c r="O1419" t="s">
        <v>46</v>
      </c>
      <c r="P1419" t="s">
        <v>45</v>
      </c>
      <c r="Q1419" t="s">
        <v>47</v>
      </c>
      <c r="R1419" t="s">
        <v>44</v>
      </c>
      <c r="S1419">
        <v>0</v>
      </c>
      <c r="W1419" s="3">
        <v>1.5185185185185185E-2</v>
      </c>
      <c r="X1419" t="s">
        <v>3209</v>
      </c>
      <c r="Y1419">
        <v>22</v>
      </c>
      <c r="Z1419">
        <v>0</v>
      </c>
      <c r="AA1419" t="s">
        <v>49</v>
      </c>
      <c r="AB1419">
        <v>0</v>
      </c>
      <c r="AC1419" t="s">
        <v>49</v>
      </c>
      <c r="AD1419">
        <v>0</v>
      </c>
      <c r="AE1419">
        <v>10628397</v>
      </c>
      <c r="AF1419" t="s">
        <v>50</v>
      </c>
      <c r="AG1419" t="s">
        <v>3178</v>
      </c>
    </row>
    <row r="1420" spans="1:33" x14ac:dyDescent="0.35">
      <c r="A1420" s="1">
        <v>44871.683333333334</v>
      </c>
      <c r="B1420">
        <v>4427874</v>
      </c>
      <c r="C1420" t="s">
        <v>3210</v>
      </c>
      <c r="D1420" t="s">
        <v>132</v>
      </c>
      <c r="E1420" s="2">
        <v>42473</v>
      </c>
      <c r="F1420" t="str">
        <f>"9780804798570"</f>
        <v>9780804798570</v>
      </c>
      <c r="G1420" t="str">
        <f>"9780804798525"</f>
        <v>9780804798525</v>
      </c>
      <c r="H1420" t="s">
        <v>1046</v>
      </c>
      <c r="I1420">
        <v>307.76095366999999</v>
      </c>
      <c r="J1420" t="s">
        <v>3211</v>
      </c>
      <c r="K1420" t="s">
        <v>44</v>
      </c>
      <c r="N1420" t="s">
        <v>45</v>
      </c>
      <c r="O1420" t="s">
        <v>46</v>
      </c>
      <c r="P1420" t="s">
        <v>45</v>
      </c>
      <c r="Q1420" t="s">
        <v>47</v>
      </c>
      <c r="R1420" t="s">
        <v>44</v>
      </c>
      <c r="S1420">
        <v>0</v>
      </c>
      <c r="W1420" s="3">
        <v>5.5555555555555556E-4</v>
      </c>
      <c r="X1420" t="s">
        <v>3212</v>
      </c>
      <c r="Y1420">
        <v>11</v>
      </c>
      <c r="Z1420">
        <v>0</v>
      </c>
      <c r="AA1420" t="s">
        <v>49</v>
      </c>
      <c r="AB1420">
        <v>0</v>
      </c>
      <c r="AC1420" t="s">
        <v>49</v>
      </c>
      <c r="AD1420">
        <v>0</v>
      </c>
      <c r="AE1420">
        <v>11176364</v>
      </c>
      <c r="AF1420" t="s">
        <v>50</v>
      </c>
      <c r="AG1420" t="s">
        <v>670</v>
      </c>
    </row>
    <row r="1421" spans="1:33" x14ac:dyDescent="0.35">
      <c r="A1421" s="1">
        <v>44871.679861111108</v>
      </c>
      <c r="B1421">
        <v>4183127</v>
      </c>
      <c r="C1421" t="s">
        <v>190</v>
      </c>
      <c r="D1421" t="s">
        <v>59</v>
      </c>
      <c r="E1421" s="2">
        <v>42310</v>
      </c>
      <c r="F1421" t="str">
        <f>"9783527684649"</f>
        <v>9783527684649</v>
      </c>
      <c r="G1421" t="str">
        <f>"9783527331659"</f>
        <v>9783527331659</v>
      </c>
      <c r="H1421" t="s">
        <v>191</v>
      </c>
      <c r="I1421" t="s">
        <v>192</v>
      </c>
      <c r="J1421" t="s">
        <v>193</v>
      </c>
      <c r="K1421" t="s">
        <v>44</v>
      </c>
      <c r="N1421" t="s">
        <v>45</v>
      </c>
      <c r="O1421" t="s">
        <v>46</v>
      </c>
      <c r="P1421" t="s">
        <v>45</v>
      </c>
      <c r="Q1421" t="s">
        <v>47</v>
      </c>
      <c r="R1421" t="s">
        <v>44</v>
      </c>
      <c r="S1421">
        <v>1</v>
      </c>
      <c r="W1421" s="3">
        <v>5.8101851851851856E-3</v>
      </c>
      <c r="X1421" t="s">
        <v>3213</v>
      </c>
      <c r="Y1421">
        <v>17</v>
      </c>
      <c r="Z1421">
        <v>0</v>
      </c>
      <c r="AA1421" t="s">
        <v>3214</v>
      </c>
      <c r="AB1421">
        <v>52</v>
      </c>
      <c r="AC1421" t="s">
        <v>49</v>
      </c>
      <c r="AD1421">
        <v>0</v>
      </c>
      <c r="AE1421">
        <v>11125579</v>
      </c>
      <c r="AF1421" t="s">
        <v>63</v>
      </c>
      <c r="AG1421" t="s">
        <v>388</v>
      </c>
    </row>
    <row r="1422" spans="1:33" x14ac:dyDescent="0.35">
      <c r="A1422" s="1">
        <v>44871.666666666664</v>
      </c>
      <c r="B1422">
        <v>5607639</v>
      </c>
      <c r="C1422" t="s">
        <v>3215</v>
      </c>
      <c r="D1422" t="s">
        <v>213</v>
      </c>
      <c r="E1422" s="2">
        <v>43437</v>
      </c>
      <c r="F1422" t="str">
        <f>"9780128150399"</f>
        <v>9780128150399</v>
      </c>
      <c r="G1422" t="str">
        <f>"9780128150382"</f>
        <v>9780128150382</v>
      </c>
      <c r="H1422" t="s">
        <v>60</v>
      </c>
      <c r="I1422">
        <v>388.4</v>
      </c>
      <c r="J1422" t="s">
        <v>3216</v>
      </c>
      <c r="K1422" t="s">
        <v>55</v>
      </c>
      <c r="Q1422" t="s">
        <v>47</v>
      </c>
      <c r="R1422" t="s">
        <v>44</v>
      </c>
      <c r="S1422">
        <v>0</v>
      </c>
      <c r="W1422" s="3">
        <v>8.1018518518518516E-5</v>
      </c>
      <c r="X1422" t="s">
        <v>49</v>
      </c>
      <c r="Y1422">
        <v>0</v>
      </c>
      <c r="Z1422">
        <v>0</v>
      </c>
      <c r="AA1422" t="s">
        <v>49</v>
      </c>
      <c r="AB1422">
        <v>0</v>
      </c>
      <c r="AC1422" t="s">
        <v>49</v>
      </c>
      <c r="AD1422">
        <v>0</v>
      </c>
      <c r="AE1422">
        <v>-1</v>
      </c>
      <c r="AF1422" t="s">
        <v>63</v>
      </c>
      <c r="AG1422" t="s">
        <v>388</v>
      </c>
    </row>
    <row r="1423" spans="1:33" x14ac:dyDescent="0.35">
      <c r="A1423" s="1">
        <v>44871.665277777778</v>
      </c>
      <c r="B1423">
        <v>4183127</v>
      </c>
      <c r="C1423" t="s">
        <v>190</v>
      </c>
      <c r="D1423" t="s">
        <v>59</v>
      </c>
      <c r="E1423" s="2">
        <v>42310</v>
      </c>
      <c r="F1423" t="str">
        <f>"9783527684649"</f>
        <v>9783527684649</v>
      </c>
      <c r="G1423" t="str">
        <f>"9783527331659"</f>
        <v>9783527331659</v>
      </c>
      <c r="H1423" t="s">
        <v>191</v>
      </c>
      <c r="I1423" t="s">
        <v>192</v>
      </c>
      <c r="J1423" t="s">
        <v>193</v>
      </c>
      <c r="K1423" t="s">
        <v>44</v>
      </c>
      <c r="N1423" t="s">
        <v>45</v>
      </c>
      <c r="O1423" t="s">
        <v>46</v>
      </c>
      <c r="P1423" t="s">
        <v>45</v>
      </c>
      <c r="Q1423" t="s">
        <v>47</v>
      </c>
      <c r="R1423" t="s">
        <v>44</v>
      </c>
      <c r="S1423">
        <v>0</v>
      </c>
      <c r="W1423" s="3">
        <v>1.4618055555555556E-2</v>
      </c>
      <c r="X1423" t="s">
        <v>3217</v>
      </c>
      <c r="Y1423">
        <v>37</v>
      </c>
      <c r="Z1423">
        <v>1</v>
      </c>
      <c r="AA1423" t="s">
        <v>3218</v>
      </c>
      <c r="AB1423">
        <v>2</v>
      </c>
      <c r="AC1423" t="s">
        <v>49</v>
      </c>
      <c r="AD1423">
        <v>0</v>
      </c>
      <c r="AE1423">
        <v>11125579</v>
      </c>
      <c r="AF1423" t="s">
        <v>63</v>
      </c>
      <c r="AG1423" t="s">
        <v>388</v>
      </c>
    </row>
    <row r="1424" spans="1:33" x14ac:dyDescent="0.35">
      <c r="A1424" s="1">
        <v>44871.643055555556</v>
      </c>
      <c r="B1424">
        <v>3386044</v>
      </c>
      <c r="C1424" t="s">
        <v>3068</v>
      </c>
      <c r="D1424" t="s">
        <v>2066</v>
      </c>
      <c r="E1424" s="2">
        <v>36423</v>
      </c>
      <c r="F1424" t="str">
        <f>"9781849640374"</f>
        <v>9781849640374</v>
      </c>
      <c r="G1424" t="str">
        <f>"9780745314167"</f>
        <v>9780745314167</v>
      </c>
      <c r="H1424" t="s">
        <v>667</v>
      </c>
      <c r="I1424" t="s">
        <v>3069</v>
      </c>
      <c r="J1424" t="s">
        <v>3070</v>
      </c>
      <c r="K1424" t="s">
        <v>44</v>
      </c>
      <c r="N1424" t="s">
        <v>45</v>
      </c>
      <c r="O1424" t="s">
        <v>46</v>
      </c>
      <c r="P1424" t="s">
        <v>45</v>
      </c>
      <c r="Q1424" t="s">
        <v>47</v>
      </c>
      <c r="R1424" t="s">
        <v>44</v>
      </c>
      <c r="S1424">
        <v>0</v>
      </c>
      <c r="W1424" s="3">
        <v>3.2511574074074075E-2</v>
      </c>
      <c r="X1424" t="s">
        <v>3219</v>
      </c>
      <c r="Y1424">
        <v>42</v>
      </c>
      <c r="Z1424">
        <v>1</v>
      </c>
      <c r="AA1424" t="s">
        <v>205</v>
      </c>
      <c r="AB1424">
        <v>2</v>
      </c>
      <c r="AC1424" t="s">
        <v>3220</v>
      </c>
      <c r="AD1424">
        <v>2</v>
      </c>
      <c r="AE1424">
        <v>2001120</v>
      </c>
      <c r="AF1424" t="s">
        <v>50</v>
      </c>
      <c r="AG1424" t="s">
        <v>670</v>
      </c>
    </row>
    <row r="1425" spans="1:33" x14ac:dyDescent="0.35">
      <c r="A1425" s="1">
        <v>44871.637499999997</v>
      </c>
      <c r="B1425">
        <v>3443125</v>
      </c>
      <c r="C1425" t="s">
        <v>2870</v>
      </c>
      <c r="D1425" t="s">
        <v>2871</v>
      </c>
      <c r="E1425" s="2">
        <v>38078</v>
      </c>
      <c r="F1425" t="str">
        <f>"9780292797406"</f>
        <v>9780292797406</v>
      </c>
      <c r="G1425" t="str">
        <f>"9780292701601"</f>
        <v>9780292701601</v>
      </c>
      <c r="H1425" t="s">
        <v>667</v>
      </c>
      <c r="I1425" t="s">
        <v>2872</v>
      </c>
      <c r="J1425" t="s">
        <v>2873</v>
      </c>
      <c r="K1425" t="s">
        <v>44</v>
      </c>
      <c r="N1425" t="s">
        <v>45</v>
      </c>
      <c r="O1425" t="s">
        <v>46</v>
      </c>
      <c r="P1425" t="s">
        <v>45</v>
      </c>
      <c r="Q1425" t="s">
        <v>47</v>
      </c>
      <c r="R1425" t="s">
        <v>44</v>
      </c>
      <c r="S1425">
        <v>0</v>
      </c>
      <c r="W1425" s="3">
        <v>3.0324074074074073E-2</v>
      </c>
      <c r="X1425" t="s">
        <v>3221</v>
      </c>
      <c r="Y1425">
        <v>32</v>
      </c>
      <c r="Z1425">
        <v>1</v>
      </c>
      <c r="AA1425" t="s">
        <v>3222</v>
      </c>
      <c r="AB1425">
        <v>7</v>
      </c>
      <c r="AC1425" t="s">
        <v>49</v>
      </c>
      <c r="AD1425">
        <v>0</v>
      </c>
      <c r="AE1425">
        <v>10194803</v>
      </c>
      <c r="AF1425" t="s">
        <v>50</v>
      </c>
      <c r="AG1425" t="s">
        <v>670</v>
      </c>
    </row>
    <row r="1426" spans="1:33" x14ac:dyDescent="0.35">
      <c r="A1426" s="1">
        <v>44871.619444444441</v>
      </c>
      <c r="B1426">
        <v>4397268</v>
      </c>
      <c r="C1426" t="s">
        <v>3223</v>
      </c>
      <c r="D1426" t="s">
        <v>2871</v>
      </c>
      <c r="E1426" s="2">
        <v>42323</v>
      </c>
      <c r="F1426" t="str">
        <f>"9781477305614"</f>
        <v>9781477305614</v>
      </c>
      <c r="G1426" t="str">
        <f>"9781477305607"</f>
        <v>9781477305607</v>
      </c>
      <c r="H1426" t="s">
        <v>667</v>
      </c>
      <c r="I1426">
        <v>956.04</v>
      </c>
      <c r="J1426" t="s">
        <v>3224</v>
      </c>
      <c r="K1426" t="s">
        <v>44</v>
      </c>
      <c r="N1426" t="s">
        <v>45</v>
      </c>
      <c r="O1426" t="s">
        <v>46</v>
      </c>
      <c r="P1426" t="s">
        <v>45</v>
      </c>
      <c r="Q1426" t="s">
        <v>47</v>
      </c>
      <c r="R1426" t="s">
        <v>44</v>
      </c>
      <c r="S1426">
        <v>0</v>
      </c>
      <c r="W1426" s="3">
        <v>4.6296296296296294E-5</v>
      </c>
      <c r="X1426" t="s">
        <v>121</v>
      </c>
      <c r="Y1426">
        <v>1</v>
      </c>
      <c r="Z1426">
        <v>0</v>
      </c>
      <c r="AA1426" t="s">
        <v>49</v>
      </c>
      <c r="AB1426">
        <v>0</v>
      </c>
      <c r="AC1426" t="s">
        <v>49</v>
      </c>
      <c r="AD1426">
        <v>0</v>
      </c>
      <c r="AE1426">
        <v>11255352</v>
      </c>
      <c r="AF1426" t="s">
        <v>50</v>
      </c>
      <c r="AG1426" t="s">
        <v>630</v>
      </c>
    </row>
    <row r="1427" spans="1:33" x14ac:dyDescent="0.35">
      <c r="A1427" s="1">
        <v>44871.61041666667</v>
      </c>
      <c r="B1427">
        <v>848526</v>
      </c>
      <c r="C1427" t="s">
        <v>2541</v>
      </c>
      <c r="D1427" t="s">
        <v>59</v>
      </c>
      <c r="E1427" s="2">
        <v>41212</v>
      </c>
      <c r="F1427" t="str">
        <f>"9781118310069"</f>
        <v>9781118310069</v>
      </c>
      <c r="G1427" t="str">
        <f>"9780470566671"</f>
        <v>9780470566671</v>
      </c>
      <c r="H1427" t="s">
        <v>2542</v>
      </c>
      <c r="I1427">
        <v>610.28</v>
      </c>
      <c r="J1427" t="s">
        <v>2543</v>
      </c>
      <c r="K1427" t="s">
        <v>44</v>
      </c>
      <c r="N1427" t="s">
        <v>45</v>
      </c>
      <c r="O1427" t="s">
        <v>46</v>
      </c>
      <c r="P1427" t="s">
        <v>45</v>
      </c>
      <c r="Q1427" t="s">
        <v>47</v>
      </c>
      <c r="R1427" t="s">
        <v>44</v>
      </c>
      <c r="S1427">
        <v>1</v>
      </c>
      <c r="W1427" s="3">
        <v>0</v>
      </c>
      <c r="X1427" t="s">
        <v>49</v>
      </c>
      <c r="Y1427">
        <v>0</v>
      </c>
      <c r="Z1427">
        <v>0</v>
      </c>
      <c r="AA1427" t="s">
        <v>49</v>
      </c>
      <c r="AB1427">
        <v>0</v>
      </c>
      <c r="AC1427" t="s">
        <v>49</v>
      </c>
      <c r="AD1427">
        <v>0</v>
      </c>
      <c r="AE1427">
        <v>10615085</v>
      </c>
      <c r="AF1427" t="s">
        <v>63</v>
      </c>
      <c r="AG1427" t="s">
        <v>388</v>
      </c>
    </row>
    <row r="1428" spans="1:33" x14ac:dyDescent="0.35">
      <c r="A1428" s="1">
        <v>44871.604861111111</v>
      </c>
      <c r="B1428">
        <v>4183127</v>
      </c>
      <c r="C1428" t="s">
        <v>190</v>
      </c>
      <c r="D1428" t="s">
        <v>59</v>
      </c>
      <c r="E1428" s="2">
        <v>42310</v>
      </c>
      <c r="F1428" t="str">
        <f>"9783527684649"</f>
        <v>9783527684649</v>
      </c>
      <c r="G1428" t="str">
        <f>"9783527331659"</f>
        <v>9783527331659</v>
      </c>
      <c r="H1428" t="s">
        <v>191</v>
      </c>
      <c r="I1428" t="s">
        <v>192</v>
      </c>
      <c r="J1428" t="s">
        <v>193</v>
      </c>
      <c r="K1428" t="s">
        <v>44</v>
      </c>
      <c r="N1428" t="s">
        <v>45</v>
      </c>
      <c r="O1428" t="s">
        <v>46</v>
      </c>
      <c r="P1428" t="s">
        <v>45</v>
      </c>
      <c r="Q1428" t="s">
        <v>47</v>
      </c>
      <c r="R1428" t="s">
        <v>44</v>
      </c>
      <c r="S1428">
        <v>0</v>
      </c>
      <c r="W1428" s="3">
        <v>4.7453703703703704E-4</v>
      </c>
      <c r="X1428" t="s">
        <v>242</v>
      </c>
      <c r="Y1428">
        <v>3</v>
      </c>
      <c r="Z1428">
        <v>0</v>
      </c>
      <c r="AA1428" t="s">
        <v>49</v>
      </c>
      <c r="AB1428">
        <v>0</v>
      </c>
      <c r="AC1428" t="s">
        <v>49</v>
      </c>
      <c r="AD1428">
        <v>0</v>
      </c>
      <c r="AE1428">
        <v>11125579</v>
      </c>
      <c r="AF1428" t="s">
        <v>50</v>
      </c>
      <c r="AG1428" t="s">
        <v>1699</v>
      </c>
    </row>
    <row r="1429" spans="1:33" x14ac:dyDescent="0.35">
      <c r="A1429" s="1">
        <v>44871.59375</v>
      </c>
      <c r="B1429">
        <v>5309559</v>
      </c>
      <c r="C1429" t="s">
        <v>2923</v>
      </c>
      <c r="D1429" t="s">
        <v>497</v>
      </c>
      <c r="E1429" s="2">
        <v>39964</v>
      </c>
      <c r="F1429" t="str">
        <f>"9781441164698"</f>
        <v>9781441164698</v>
      </c>
      <c r="G1429" t="str">
        <f>"9781847250407"</f>
        <v>9781847250407</v>
      </c>
      <c r="H1429" t="s">
        <v>667</v>
      </c>
      <c r="I1429">
        <v>956.94039999999995</v>
      </c>
      <c r="J1429" t="s">
        <v>2924</v>
      </c>
      <c r="K1429" t="s">
        <v>44</v>
      </c>
      <c r="N1429" t="s">
        <v>45</v>
      </c>
      <c r="O1429" t="s">
        <v>46</v>
      </c>
      <c r="P1429" t="s">
        <v>45</v>
      </c>
      <c r="Q1429" t="s">
        <v>47</v>
      </c>
      <c r="R1429" t="s">
        <v>44</v>
      </c>
      <c r="S1429">
        <v>0</v>
      </c>
      <c r="W1429" s="3">
        <v>1.9745370370370371E-2</v>
      </c>
      <c r="X1429" t="s">
        <v>3225</v>
      </c>
      <c r="Y1429">
        <v>6</v>
      </c>
      <c r="Z1429">
        <v>0</v>
      </c>
      <c r="AA1429" t="s">
        <v>49</v>
      </c>
      <c r="AB1429">
        <v>0</v>
      </c>
      <c r="AC1429" t="s">
        <v>49</v>
      </c>
      <c r="AD1429">
        <v>0</v>
      </c>
      <c r="AE1429">
        <v>11518527</v>
      </c>
      <c r="AF1429" t="s">
        <v>50</v>
      </c>
      <c r="AG1429" t="s">
        <v>388</v>
      </c>
    </row>
    <row r="1430" spans="1:33" x14ac:dyDescent="0.35">
      <c r="A1430" s="1">
        <v>44871.583333333336</v>
      </c>
      <c r="B1430">
        <v>3418140</v>
      </c>
      <c r="C1430" t="s">
        <v>3226</v>
      </c>
      <c r="D1430" t="s">
        <v>627</v>
      </c>
      <c r="E1430" s="2">
        <v>38628</v>
      </c>
      <c r="F1430" t="str">
        <f>"9781451167085"</f>
        <v>9781451167085</v>
      </c>
      <c r="G1430" t="str">
        <f>"9780781757850"</f>
        <v>9780781757850</v>
      </c>
      <c r="H1430" t="s">
        <v>1220</v>
      </c>
      <c r="I1430" t="s">
        <v>3227</v>
      </c>
      <c r="J1430" t="s">
        <v>3228</v>
      </c>
      <c r="K1430" t="s">
        <v>44</v>
      </c>
      <c r="N1430" t="s">
        <v>45</v>
      </c>
      <c r="O1430" t="s">
        <v>46</v>
      </c>
      <c r="P1430" t="s">
        <v>45</v>
      </c>
      <c r="Q1430" t="s">
        <v>47</v>
      </c>
      <c r="R1430" t="s">
        <v>44</v>
      </c>
      <c r="S1430">
        <v>0</v>
      </c>
      <c r="W1430" s="3">
        <v>4.363425925925926E-3</v>
      </c>
      <c r="X1430" t="s">
        <v>3229</v>
      </c>
      <c r="Y1430">
        <v>78</v>
      </c>
      <c r="Z1430">
        <v>0</v>
      </c>
      <c r="AA1430" t="s">
        <v>49</v>
      </c>
      <c r="AB1430">
        <v>0</v>
      </c>
      <c r="AC1430" t="s">
        <v>49</v>
      </c>
      <c r="AD1430">
        <v>0</v>
      </c>
      <c r="AE1430">
        <v>10825216</v>
      </c>
      <c r="AF1430" t="s">
        <v>50</v>
      </c>
      <c r="AG1430" t="s">
        <v>2241</v>
      </c>
    </row>
    <row r="1431" spans="1:33" x14ac:dyDescent="0.35">
      <c r="A1431" s="1">
        <v>44871.579861111109</v>
      </c>
      <c r="B1431">
        <v>5394389</v>
      </c>
      <c r="C1431" t="s">
        <v>3148</v>
      </c>
      <c r="D1431" t="s">
        <v>1101</v>
      </c>
      <c r="E1431" s="2">
        <v>41153</v>
      </c>
      <c r="F1431" t="str">
        <f>"9781526130358"</f>
        <v>9781526130358</v>
      </c>
      <c r="G1431" t="str">
        <f>"9780719088124"</f>
        <v>9780719088124</v>
      </c>
      <c r="H1431" t="s">
        <v>1540</v>
      </c>
      <c r="I1431">
        <v>320.54095694</v>
      </c>
      <c r="J1431" t="s">
        <v>3149</v>
      </c>
      <c r="K1431" t="s">
        <v>44</v>
      </c>
      <c r="N1431" t="s">
        <v>45</v>
      </c>
      <c r="O1431" t="s">
        <v>46</v>
      </c>
      <c r="P1431" t="s">
        <v>45</v>
      </c>
      <c r="Q1431" t="s">
        <v>47</v>
      </c>
      <c r="R1431" t="s">
        <v>44</v>
      </c>
      <c r="S1431">
        <v>0</v>
      </c>
      <c r="W1431" s="3">
        <v>8.0092592592592594E-3</v>
      </c>
      <c r="X1431" t="s">
        <v>3230</v>
      </c>
      <c r="Y1431">
        <v>16</v>
      </c>
      <c r="Z1431">
        <v>0</v>
      </c>
      <c r="AA1431" t="s">
        <v>49</v>
      </c>
      <c r="AB1431">
        <v>0</v>
      </c>
      <c r="AC1431" t="s">
        <v>49</v>
      </c>
      <c r="AD1431">
        <v>0</v>
      </c>
      <c r="AE1431">
        <v>11556791</v>
      </c>
      <c r="AF1431" t="s">
        <v>50</v>
      </c>
      <c r="AG1431" t="s">
        <v>388</v>
      </c>
    </row>
    <row r="1432" spans="1:33" x14ac:dyDescent="0.35">
      <c r="A1432" s="1">
        <v>44871.55972222222</v>
      </c>
      <c r="B1432">
        <v>3386222</v>
      </c>
      <c r="C1432" t="s">
        <v>3159</v>
      </c>
      <c r="D1432" t="s">
        <v>2066</v>
      </c>
      <c r="E1432" s="2">
        <v>40277</v>
      </c>
      <c r="F1432" t="str">
        <f>"9781849644488"</f>
        <v>9781849644488</v>
      </c>
      <c r="G1432" t="str">
        <f>"9780745323244"</f>
        <v>9780745323244</v>
      </c>
      <c r="H1432" t="s">
        <v>712</v>
      </c>
      <c r="I1432">
        <v>341.26095694000003</v>
      </c>
      <c r="J1432" t="s">
        <v>3160</v>
      </c>
      <c r="K1432" t="s">
        <v>44</v>
      </c>
      <c r="N1432" t="s">
        <v>45</v>
      </c>
      <c r="O1432" t="s">
        <v>46</v>
      </c>
      <c r="P1432" t="s">
        <v>45</v>
      </c>
      <c r="Q1432" t="s">
        <v>47</v>
      </c>
      <c r="R1432" t="s">
        <v>44</v>
      </c>
      <c r="S1432">
        <v>0</v>
      </c>
      <c r="W1432" s="3">
        <v>4.5138888888888892E-4</v>
      </c>
      <c r="X1432" t="s">
        <v>3231</v>
      </c>
      <c r="Y1432">
        <v>3</v>
      </c>
      <c r="Z1432">
        <v>1</v>
      </c>
      <c r="AA1432" t="s">
        <v>3232</v>
      </c>
      <c r="AB1432">
        <v>7</v>
      </c>
      <c r="AC1432" t="s">
        <v>49</v>
      </c>
      <c r="AD1432">
        <v>0</v>
      </c>
      <c r="AE1432">
        <v>10479712</v>
      </c>
      <c r="AF1432" t="s">
        <v>50</v>
      </c>
      <c r="AG1432" t="s">
        <v>264</v>
      </c>
    </row>
    <row r="1433" spans="1:33" x14ac:dyDescent="0.35">
      <c r="A1433" s="1">
        <v>44871.559027777781</v>
      </c>
      <c r="B1433">
        <v>310690</v>
      </c>
      <c r="C1433" t="s">
        <v>3233</v>
      </c>
      <c r="D1433" t="s">
        <v>2754</v>
      </c>
      <c r="E1433" s="2">
        <v>38412</v>
      </c>
      <c r="F1433" t="str">
        <f>"9780816696321"</f>
        <v>9780816696321</v>
      </c>
      <c r="G1433" t="str">
        <f>"9780816644100"</f>
        <v>9780816644100</v>
      </c>
      <c r="H1433" t="s">
        <v>3234</v>
      </c>
      <c r="I1433">
        <v>322.10956099999999</v>
      </c>
      <c r="J1433" t="s">
        <v>3235</v>
      </c>
      <c r="K1433" t="s">
        <v>44</v>
      </c>
      <c r="N1433" t="s">
        <v>45</v>
      </c>
      <c r="O1433" t="s">
        <v>46</v>
      </c>
      <c r="P1433" t="s">
        <v>45</v>
      </c>
      <c r="Q1433" t="s">
        <v>47</v>
      </c>
      <c r="R1433" t="s">
        <v>44</v>
      </c>
      <c r="S1433">
        <v>0</v>
      </c>
      <c r="W1433" s="3">
        <v>8.1018518518518516E-5</v>
      </c>
      <c r="X1433" t="s">
        <v>205</v>
      </c>
      <c r="Y1433">
        <v>2</v>
      </c>
      <c r="Z1433">
        <v>0</v>
      </c>
      <c r="AA1433" t="s">
        <v>49</v>
      </c>
      <c r="AB1433">
        <v>0</v>
      </c>
      <c r="AC1433" t="s">
        <v>49</v>
      </c>
      <c r="AD1433">
        <v>0</v>
      </c>
      <c r="AE1433">
        <v>10151200</v>
      </c>
      <c r="AF1433" t="s">
        <v>50</v>
      </c>
      <c r="AG1433" t="s">
        <v>388</v>
      </c>
    </row>
    <row r="1434" spans="1:33" x14ac:dyDescent="0.35">
      <c r="A1434" s="1">
        <v>44871.554861111108</v>
      </c>
      <c r="B1434">
        <v>4444970</v>
      </c>
      <c r="C1434" t="s">
        <v>3236</v>
      </c>
      <c r="D1434" t="s">
        <v>59</v>
      </c>
      <c r="E1434" s="2">
        <v>41813</v>
      </c>
      <c r="F1434" t="str">
        <f>"9781118633977"</f>
        <v>9781118633977</v>
      </c>
      <c r="G1434" t="str">
        <f>"9781118633953"</f>
        <v>9781118633953</v>
      </c>
      <c r="H1434" t="s">
        <v>77</v>
      </c>
      <c r="I1434" t="s">
        <v>3237</v>
      </c>
      <c r="J1434" t="s">
        <v>3238</v>
      </c>
      <c r="K1434" t="s">
        <v>44</v>
      </c>
      <c r="N1434" t="s">
        <v>45</v>
      </c>
      <c r="O1434" t="s">
        <v>46</v>
      </c>
      <c r="P1434" t="s">
        <v>45</v>
      </c>
      <c r="Q1434" t="s">
        <v>47</v>
      </c>
      <c r="R1434" t="s">
        <v>44</v>
      </c>
      <c r="S1434">
        <v>0</v>
      </c>
      <c r="W1434" s="3">
        <v>1.7708333333333332E-3</v>
      </c>
      <c r="X1434" t="s">
        <v>3239</v>
      </c>
      <c r="Y1434">
        <v>38</v>
      </c>
      <c r="Z1434">
        <v>0</v>
      </c>
      <c r="AA1434" t="s">
        <v>49</v>
      </c>
      <c r="AB1434">
        <v>0</v>
      </c>
      <c r="AC1434" t="s">
        <v>49</v>
      </c>
      <c r="AD1434">
        <v>0</v>
      </c>
      <c r="AE1434">
        <v>11459203</v>
      </c>
      <c r="AF1434" t="s">
        <v>50</v>
      </c>
      <c r="AG1434" t="s">
        <v>388</v>
      </c>
    </row>
    <row r="1435" spans="1:33" x14ac:dyDescent="0.35">
      <c r="A1435" s="1">
        <v>44871.526388888888</v>
      </c>
      <c r="B1435">
        <v>668424</v>
      </c>
      <c r="C1435" t="s">
        <v>3129</v>
      </c>
      <c r="D1435" t="s">
        <v>76</v>
      </c>
      <c r="E1435" s="2">
        <v>40613</v>
      </c>
      <c r="F1435" t="str">
        <f>"9780203832509"</f>
        <v>9780203832509</v>
      </c>
      <c r="G1435" t="str">
        <f>"9780415492157"</f>
        <v>9780415492157</v>
      </c>
      <c r="H1435" t="s">
        <v>667</v>
      </c>
      <c r="I1435" t="s">
        <v>2023</v>
      </c>
      <c r="J1435" t="s">
        <v>3130</v>
      </c>
      <c r="K1435" t="s">
        <v>44</v>
      </c>
      <c r="N1435" t="s">
        <v>45</v>
      </c>
      <c r="O1435" t="s">
        <v>46</v>
      </c>
      <c r="P1435" t="s">
        <v>45</v>
      </c>
      <c r="Q1435" t="s">
        <v>47</v>
      </c>
      <c r="R1435" t="s">
        <v>44</v>
      </c>
      <c r="S1435">
        <v>0</v>
      </c>
      <c r="W1435" s="3">
        <v>4.6296296296296294E-5</v>
      </c>
      <c r="X1435" t="s">
        <v>121</v>
      </c>
      <c r="Y1435">
        <v>1</v>
      </c>
      <c r="Z1435">
        <v>0</v>
      </c>
      <c r="AA1435" t="s">
        <v>49</v>
      </c>
      <c r="AB1435">
        <v>0</v>
      </c>
      <c r="AC1435" t="s">
        <v>49</v>
      </c>
      <c r="AD1435">
        <v>0</v>
      </c>
      <c r="AE1435">
        <v>10452737</v>
      </c>
      <c r="AF1435" t="s">
        <v>50</v>
      </c>
      <c r="AG1435" t="s">
        <v>388</v>
      </c>
    </row>
    <row r="1436" spans="1:33" x14ac:dyDescent="0.35">
      <c r="A1436" s="1">
        <v>44871.522916666669</v>
      </c>
      <c r="B1436">
        <v>279494</v>
      </c>
      <c r="C1436" t="s">
        <v>1333</v>
      </c>
      <c r="D1436" t="s">
        <v>125</v>
      </c>
      <c r="E1436" s="2">
        <v>37280</v>
      </c>
      <c r="F1436" t="str">
        <f>"9780198032953"</f>
        <v>9780198032953</v>
      </c>
      <c r="G1436" t="str">
        <f>"9780195144208"</f>
        <v>9780195144208</v>
      </c>
      <c r="H1436" t="s">
        <v>667</v>
      </c>
      <c r="I1436" t="s">
        <v>1334</v>
      </c>
      <c r="J1436" t="s">
        <v>1335</v>
      </c>
      <c r="K1436" t="s">
        <v>44</v>
      </c>
      <c r="N1436" t="s">
        <v>45</v>
      </c>
      <c r="O1436" t="s">
        <v>46</v>
      </c>
      <c r="P1436" t="s">
        <v>45</v>
      </c>
      <c r="Q1436" t="s">
        <v>47</v>
      </c>
      <c r="R1436" t="s">
        <v>44</v>
      </c>
      <c r="S1436">
        <v>0</v>
      </c>
      <c r="W1436" s="3">
        <v>3.9351851851851852E-4</v>
      </c>
      <c r="X1436" t="s">
        <v>3240</v>
      </c>
      <c r="Y1436">
        <v>10</v>
      </c>
      <c r="Z1436">
        <v>0</v>
      </c>
      <c r="AA1436" t="s">
        <v>49</v>
      </c>
      <c r="AB1436">
        <v>0</v>
      </c>
      <c r="AC1436" t="s">
        <v>49</v>
      </c>
      <c r="AD1436">
        <v>0</v>
      </c>
      <c r="AE1436">
        <v>11303309</v>
      </c>
      <c r="AF1436" t="s">
        <v>50</v>
      </c>
      <c r="AG1436" t="s">
        <v>670</v>
      </c>
    </row>
    <row r="1437" spans="1:33" x14ac:dyDescent="0.35">
      <c r="A1437" s="1">
        <v>44871.508333333331</v>
      </c>
      <c r="B1437">
        <v>3034795</v>
      </c>
      <c r="C1437" t="s">
        <v>3241</v>
      </c>
      <c r="D1437" t="s">
        <v>473</v>
      </c>
      <c r="E1437" s="2">
        <v>40909</v>
      </c>
      <c r="F1437" t="str">
        <f>"9789460919671"</f>
        <v>9789460919671</v>
      </c>
      <c r="G1437" t="str">
        <f>"9789460919657"</f>
        <v>9789460919657</v>
      </c>
      <c r="H1437" t="s">
        <v>90</v>
      </c>
      <c r="J1437" t="s">
        <v>3051</v>
      </c>
      <c r="K1437" t="s">
        <v>44</v>
      </c>
      <c r="N1437" t="s">
        <v>45</v>
      </c>
      <c r="O1437" t="s">
        <v>46</v>
      </c>
      <c r="P1437" t="s">
        <v>45</v>
      </c>
      <c r="Q1437" t="s">
        <v>47</v>
      </c>
      <c r="R1437" t="s">
        <v>44</v>
      </c>
      <c r="S1437">
        <v>0</v>
      </c>
      <c r="W1437" s="3">
        <v>4.6296296296296294E-5</v>
      </c>
      <c r="X1437" t="s">
        <v>196</v>
      </c>
      <c r="Y1437">
        <v>2</v>
      </c>
      <c r="Z1437">
        <v>0</v>
      </c>
      <c r="AA1437" t="s">
        <v>49</v>
      </c>
      <c r="AB1437">
        <v>0</v>
      </c>
      <c r="AC1437" t="s">
        <v>49</v>
      </c>
      <c r="AD1437">
        <v>0</v>
      </c>
      <c r="AE1437">
        <v>10687677</v>
      </c>
      <c r="AF1437" t="s">
        <v>50</v>
      </c>
      <c r="AG1437" t="s">
        <v>388</v>
      </c>
    </row>
    <row r="1438" spans="1:33" x14ac:dyDescent="0.35">
      <c r="A1438" s="1">
        <v>44871.508333333331</v>
      </c>
      <c r="B1438">
        <v>6135149</v>
      </c>
      <c r="C1438" t="s">
        <v>3242</v>
      </c>
      <c r="D1438" t="s">
        <v>105</v>
      </c>
      <c r="E1438" s="2">
        <v>43907</v>
      </c>
      <c r="F1438" t="str">
        <f>"9783030239251"</f>
        <v>9783030239251</v>
      </c>
      <c r="G1438" t="str">
        <f>"9783030239244"</f>
        <v>9783030239244</v>
      </c>
      <c r="H1438" t="s">
        <v>2915</v>
      </c>
      <c r="I1438">
        <v>307.34160939999998</v>
      </c>
      <c r="J1438" t="s">
        <v>3243</v>
      </c>
      <c r="K1438" t="s">
        <v>55</v>
      </c>
      <c r="Q1438" t="s">
        <v>47</v>
      </c>
      <c r="R1438" t="s">
        <v>44</v>
      </c>
      <c r="S1438">
        <v>0</v>
      </c>
      <c r="W1438" s="3">
        <v>0</v>
      </c>
      <c r="X1438" t="s">
        <v>49</v>
      </c>
      <c r="Y1438">
        <v>0</v>
      </c>
      <c r="Z1438">
        <v>0</v>
      </c>
      <c r="AA1438" t="s">
        <v>49</v>
      </c>
      <c r="AB1438">
        <v>0</v>
      </c>
      <c r="AC1438" t="s">
        <v>49</v>
      </c>
      <c r="AD1438">
        <v>0</v>
      </c>
      <c r="AE1438">
        <v>-1</v>
      </c>
      <c r="AF1438" t="s">
        <v>63</v>
      </c>
      <c r="AG1438" t="s">
        <v>388</v>
      </c>
    </row>
    <row r="1439" spans="1:33" x14ac:dyDescent="0.35">
      <c r="A1439" s="1">
        <v>44871.505555555559</v>
      </c>
      <c r="B1439">
        <v>3443125</v>
      </c>
      <c r="C1439" t="s">
        <v>2870</v>
      </c>
      <c r="D1439" t="s">
        <v>2871</v>
      </c>
      <c r="E1439" s="2">
        <v>38078</v>
      </c>
      <c r="F1439" t="str">
        <f>"9780292797406"</f>
        <v>9780292797406</v>
      </c>
      <c r="G1439" t="str">
        <f>"9780292701601"</f>
        <v>9780292701601</v>
      </c>
      <c r="H1439" t="s">
        <v>667</v>
      </c>
      <c r="I1439" t="s">
        <v>2872</v>
      </c>
      <c r="J1439" t="s">
        <v>2873</v>
      </c>
      <c r="K1439" t="s">
        <v>44</v>
      </c>
      <c r="N1439" t="s">
        <v>45</v>
      </c>
      <c r="O1439" t="s">
        <v>46</v>
      </c>
      <c r="P1439" t="s">
        <v>45</v>
      </c>
      <c r="Q1439" t="s">
        <v>47</v>
      </c>
      <c r="R1439" t="s">
        <v>44</v>
      </c>
      <c r="S1439">
        <v>0</v>
      </c>
      <c r="W1439" s="3">
        <v>9.9537037037037042E-4</v>
      </c>
      <c r="X1439" t="s">
        <v>3244</v>
      </c>
      <c r="Y1439">
        <v>15</v>
      </c>
      <c r="Z1439">
        <v>0</v>
      </c>
      <c r="AA1439" t="s">
        <v>49</v>
      </c>
      <c r="AB1439">
        <v>0</v>
      </c>
      <c r="AC1439" t="s">
        <v>49</v>
      </c>
      <c r="AD1439">
        <v>0</v>
      </c>
      <c r="AE1439">
        <v>10194803</v>
      </c>
      <c r="AF1439" t="s">
        <v>50</v>
      </c>
      <c r="AG1439" t="s">
        <v>2446</v>
      </c>
    </row>
    <row r="1440" spans="1:33" x14ac:dyDescent="0.35">
      <c r="A1440" s="1">
        <v>44871.503472222219</v>
      </c>
      <c r="B1440">
        <v>6369619</v>
      </c>
      <c r="C1440" t="s">
        <v>3245</v>
      </c>
      <c r="D1440" t="s">
        <v>614</v>
      </c>
      <c r="E1440" s="2">
        <v>44112</v>
      </c>
      <c r="F1440" t="str">
        <f>"9789811381263"</f>
        <v>9789811381263</v>
      </c>
      <c r="G1440" t="str">
        <f>"9789811381256"</f>
        <v>9789811381256</v>
      </c>
      <c r="H1440" t="s">
        <v>90</v>
      </c>
      <c r="I1440">
        <v>370.1</v>
      </c>
      <c r="J1440" t="s">
        <v>3246</v>
      </c>
      <c r="K1440" t="s">
        <v>55</v>
      </c>
      <c r="Q1440" t="s">
        <v>47</v>
      </c>
      <c r="R1440" t="s">
        <v>44</v>
      </c>
      <c r="S1440">
        <v>0</v>
      </c>
      <c r="W1440" s="3">
        <v>5.7870370370370366E-5</v>
      </c>
      <c r="X1440" t="s">
        <v>196</v>
      </c>
      <c r="Y1440">
        <v>2</v>
      </c>
      <c r="Z1440">
        <v>0</v>
      </c>
      <c r="AA1440" t="s">
        <v>49</v>
      </c>
      <c r="AB1440">
        <v>0</v>
      </c>
      <c r="AC1440" t="s">
        <v>49</v>
      </c>
      <c r="AD1440">
        <v>0</v>
      </c>
      <c r="AE1440">
        <v>-1</v>
      </c>
      <c r="AF1440" t="s">
        <v>50</v>
      </c>
      <c r="AG1440" t="s">
        <v>388</v>
      </c>
    </row>
    <row r="1441" spans="1:33" x14ac:dyDescent="0.35">
      <c r="A1441" s="1">
        <v>44871.502083333333</v>
      </c>
      <c r="B1441">
        <v>982015</v>
      </c>
      <c r="C1441" t="s">
        <v>3247</v>
      </c>
      <c r="D1441" t="s">
        <v>76</v>
      </c>
      <c r="E1441" s="2">
        <v>41017</v>
      </c>
      <c r="F1441" t="str">
        <f>"9781136302312"</f>
        <v>9781136302312</v>
      </c>
      <c r="G1441" t="str">
        <f>"9780415517492"</f>
        <v>9780415517492</v>
      </c>
      <c r="H1441" t="s">
        <v>90</v>
      </c>
      <c r="I1441" t="s">
        <v>3248</v>
      </c>
      <c r="J1441" t="s">
        <v>3249</v>
      </c>
      <c r="K1441" t="s">
        <v>44</v>
      </c>
      <c r="N1441" t="s">
        <v>45</v>
      </c>
      <c r="O1441" t="s">
        <v>46</v>
      </c>
      <c r="P1441" t="s">
        <v>45</v>
      </c>
      <c r="Q1441" t="s">
        <v>47</v>
      </c>
      <c r="R1441" t="s">
        <v>44</v>
      </c>
      <c r="S1441">
        <v>0</v>
      </c>
      <c r="W1441" s="3">
        <v>9.4907407407407408E-4</v>
      </c>
      <c r="X1441" t="s">
        <v>3250</v>
      </c>
      <c r="Y1441">
        <v>5</v>
      </c>
      <c r="Z1441">
        <v>0</v>
      </c>
      <c r="AA1441" t="s">
        <v>49</v>
      </c>
      <c r="AB1441">
        <v>0</v>
      </c>
      <c r="AC1441" t="s">
        <v>49</v>
      </c>
      <c r="AD1441">
        <v>0</v>
      </c>
      <c r="AE1441">
        <v>10568502</v>
      </c>
      <c r="AF1441" t="s">
        <v>50</v>
      </c>
      <c r="AG1441" t="s">
        <v>388</v>
      </c>
    </row>
    <row r="1442" spans="1:33" x14ac:dyDescent="0.35">
      <c r="A1442" s="1">
        <v>44871.481944444444</v>
      </c>
      <c r="B1442">
        <v>655556</v>
      </c>
      <c r="C1442" t="s">
        <v>3251</v>
      </c>
      <c r="D1442" t="s">
        <v>844</v>
      </c>
      <c r="E1442" s="2">
        <v>40526</v>
      </c>
      <c r="F1442" t="str">
        <f>"9780857243485"</f>
        <v>9780857243485</v>
      </c>
      <c r="G1442" t="str">
        <f>"9780857243478"</f>
        <v>9780857243478</v>
      </c>
      <c r="H1442" t="s">
        <v>1046</v>
      </c>
      <c r="I1442">
        <v>307.76</v>
      </c>
      <c r="J1442" t="s">
        <v>3252</v>
      </c>
      <c r="K1442" t="s">
        <v>44</v>
      </c>
      <c r="N1442" t="s">
        <v>45</v>
      </c>
      <c r="O1442" t="s">
        <v>46</v>
      </c>
      <c r="P1442" t="s">
        <v>45</v>
      </c>
      <c r="Q1442" t="s">
        <v>47</v>
      </c>
      <c r="R1442" t="s">
        <v>44</v>
      </c>
      <c r="S1442">
        <v>0</v>
      </c>
      <c r="W1442" s="3">
        <v>0</v>
      </c>
      <c r="X1442" t="s">
        <v>49</v>
      </c>
      <c r="Y1442">
        <v>0</v>
      </c>
      <c r="Z1442">
        <v>1</v>
      </c>
      <c r="AA1442" t="s">
        <v>3253</v>
      </c>
      <c r="AB1442">
        <v>34</v>
      </c>
      <c r="AC1442" t="s">
        <v>49</v>
      </c>
      <c r="AD1442">
        <v>0</v>
      </c>
      <c r="AE1442">
        <v>10445345</v>
      </c>
      <c r="AF1442" t="s">
        <v>50</v>
      </c>
      <c r="AG1442" t="s">
        <v>388</v>
      </c>
    </row>
    <row r="1443" spans="1:33" x14ac:dyDescent="0.35">
      <c r="A1443" s="1">
        <v>44871.468055555553</v>
      </c>
      <c r="B1443">
        <v>1084832</v>
      </c>
      <c r="C1443" t="s">
        <v>494</v>
      </c>
      <c r="D1443" t="s">
        <v>53</v>
      </c>
      <c r="E1443" s="2">
        <v>41329</v>
      </c>
      <c r="F1443" t="str">
        <f>"9781400846146"</f>
        <v>9781400846146</v>
      </c>
      <c r="G1443" t="str">
        <f>"9780691158044"</f>
        <v>9780691158044</v>
      </c>
      <c r="H1443" t="s">
        <v>419</v>
      </c>
      <c r="I1443">
        <v>320.96199999999999</v>
      </c>
      <c r="J1443" t="s">
        <v>495</v>
      </c>
      <c r="K1443" t="s">
        <v>44</v>
      </c>
      <c r="N1443" t="s">
        <v>45</v>
      </c>
      <c r="O1443" t="s">
        <v>46</v>
      </c>
      <c r="P1443" t="s">
        <v>45</v>
      </c>
      <c r="Q1443" t="s">
        <v>47</v>
      </c>
      <c r="R1443" t="s">
        <v>44</v>
      </c>
      <c r="S1443">
        <v>0</v>
      </c>
      <c r="W1443" s="3">
        <v>1.1574074074074073E-5</v>
      </c>
      <c r="X1443" t="s">
        <v>49</v>
      </c>
      <c r="Y1443">
        <v>0</v>
      </c>
      <c r="Z1443">
        <v>1</v>
      </c>
      <c r="AA1443" t="s">
        <v>3254</v>
      </c>
      <c r="AB1443">
        <v>33</v>
      </c>
      <c r="AC1443" t="s">
        <v>49</v>
      </c>
      <c r="AD1443">
        <v>0</v>
      </c>
      <c r="AE1443">
        <v>10645129</v>
      </c>
      <c r="AF1443" t="s">
        <v>50</v>
      </c>
      <c r="AG1443" t="s">
        <v>866</v>
      </c>
    </row>
    <row r="1444" spans="1:33" x14ac:dyDescent="0.35">
      <c r="A1444" s="1">
        <v>44871.46597222222</v>
      </c>
      <c r="B1444">
        <v>1635561</v>
      </c>
      <c r="C1444" t="s">
        <v>3255</v>
      </c>
      <c r="D1444" t="s">
        <v>125</v>
      </c>
      <c r="E1444" s="2">
        <v>41736</v>
      </c>
      <c r="F1444" t="str">
        <f>"9780199314065"</f>
        <v>9780199314065</v>
      </c>
      <c r="G1444" t="str">
        <f>"9780199314058"</f>
        <v>9780199314058</v>
      </c>
      <c r="H1444" t="s">
        <v>3234</v>
      </c>
      <c r="I1444">
        <v>324.21820955999999</v>
      </c>
      <c r="J1444" t="s">
        <v>3256</v>
      </c>
      <c r="K1444" t="s">
        <v>44</v>
      </c>
      <c r="N1444" t="s">
        <v>45</v>
      </c>
      <c r="O1444" t="s">
        <v>46</v>
      </c>
      <c r="P1444" t="s">
        <v>45</v>
      </c>
      <c r="Q1444" t="s">
        <v>47</v>
      </c>
      <c r="R1444" t="s">
        <v>44</v>
      </c>
      <c r="S1444">
        <v>0</v>
      </c>
      <c r="W1444" s="3">
        <v>1.1574074074074073E-5</v>
      </c>
      <c r="X1444" t="s">
        <v>49</v>
      </c>
      <c r="Y1444">
        <v>0</v>
      </c>
      <c r="Z1444">
        <v>1</v>
      </c>
      <c r="AA1444" t="s">
        <v>3257</v>
      </c>
      <c r="AB1444">
        <v>25</v>
      </c>
      <c r="AC1444" t="s">
        <v>49</v>
      </c>
      <c r="AD1444">
        <v>0</v>
      </c>
      <c r="AE1444">
        <v>10838527</v>
      </c>
      <c r="AF1444" t="s">
        <v>50</v>
      </c>
      <c r="AG1444" t="s">
        <v>866</v>
      </c>
    </row>
    <row r="1445" spans="1:33" x14ac:dyDescent="0.35">
      <c r="A1445" s="1">
        <v>44871.463194444441</v>
      </c>
      <c r="B1445">
        <v>460279</v>
      </c>
      <c r="C1445" t="s">
        <v>3258</v>
      </c>
      <c r="D1445" t="s">
        <v>76</v>
      </c>
      <c r="E1445" s="2">
        <v>40137</v>
      </c>
      <c r="F1445" t="str">
        <f>"9780203869871"</f>
        <v>9780203869871</v>
      </c>
      <c r="G1445" t="str">
        <f>"9780415773799"</f>
        <v>9780415773799</v>
      </c>
      <c r="H1445" t="s">
        <v>419</v>
      </c>
      <c r="I1445">
        <v>320.95600000000002</v>
      </c>
      <c r="J1445" t="s">
        <v>3259</v>
      </c>
      <c r="K1445" t="s">
        <v>44</v>
      </c>
      <c r="N1445" t="s">
        <v>45</v>
      </c>
      <c r="O1445" t="s">
        <v>46</v>
      </c>
      <c r="P1445" t="s">
        <v>45</v>
      </c>
      <c r="Q1445" t="s">
        <v>47</v>
      </c>
      <c r="R1445" t="s">
        <v>44</v>
      </c>
      <c r="S1445">
        <v>0</v>
      </c>
      <c r="W1445" s="3">
        <v>1.0879629629629629E-3</v>
      </c>
      <c r="X1445" t="s">
        <v>3260</v>
      </c>
      <c r="Y1445">
        <v>6</v>
      </c>
      <c r="Z1445">
        <v>0</v>
      </c>
      <c r="AA1445" t="s">
        <v>3261</v>
      </c>
      <c r="AB1445">
        <v>54</v>
      </c>
      <c r="AC1445" t="s">
        <v>49</v>
      </c>
      <c r="AD1445">
        <v>0</v>
      </c>
      <c r="AE1445">
        <v>10349567</v>
      </c>
      <c r="AF1445" t="s">
        <v>50</v>
      </c>
      <c r="AG1445" t="s">
        <v>866</v>
      </c>
    </row>
    <row r="1446" spans="1:33" x14ac:dyDescent="0.35">
      <c r="A1446" s="1">
        <v>44871.4375</v>
      </c>
      <c r="B1446">
        <v>279494</v>
      </c>
      <c r="C1446" t="s">
        <v>1333</v>
      </c>
      <c r="D1446" t="s">
        <v>125</v>
      </c>
      <c r="E1446" s="2">
        <v>37280</v>
      </c>
      <c r="F1446" t="str">
        <f>"9780198032953"</f>
        <v>9780198032953</v>
      </c>
      <c r="G1446" t="str">
        <f>"9780195144208"</f>
        <v>9780195144208</v>
      </c>
      <c r="H1446" t="s">
        <v>667</v>
      </c>
      <c r="I1446" t="s">
        <v>1334</v>
      </c>
      <c r="J1446" t="s">
        <v>1335</v>
      </c>
      <c r="K1446" t="s">
        <v>44</v>
      </c>
      <c r="N1446" t="s">
        <v>45</v>
      </c>
      <c r="O1446" t="s">
        <v>46</v>
      </c>
      <c r="P1446" t="s">
        <v>45</v>
      </c>
      <c r="Q1446" t="s">
        <v>47</v>
      </c>
      <c r="R1446" t="s">
        <v>44</v>
      </c>
      <c r="S1446">
        <v>0</v>
      </c>
      <c r="W1446" s="3">
        <v>2.809027777777778E-2</v>
      </c>
      <c r="X1446" t="s">
        <v>3262</v>
      </c>
      <c r="Y1446">
        <v>25</v>
      </c>
      <c r="Z1446">
        <v>0</v>
      </c>
      <c r="AA1446" t="s">
        <v>49</v>
      </c>
      <c r="AB1446">
        <v>0</v>
      </c>
      <c r="AC1446" t="s">
        <v>49</v>
      </c>
      <c r="AD1446">
        <v>0</v>
      </c>
      <c r="AE1446">
        <v>11303309</v>
      </c>
      <c r="AF1446" t="s">
        <v>50</v>
      </c>
      <c r="AG1446" t="s">
        <v>3098</v>
      </c>
    </row>
    <row r="1447" spans="1:33" x14ac:dyDescent="0.35">
      <c r="A1447" s="1">
        <v>44871.270138888889</v>
      </c>
      <c r="B1447">
        <v>5394389</v>
      </c>
      <c r="C1447" t="s">
        <v>3148</v>
      </c>
      <c r="D1447" t="s">
        <v>1101</v>
      </c>
      <c r="E1447" s="2">
        <v>41153</v>
      </c>
      <c r="F1447" t="str">
        <f>"9781526130358"</f>
        <v>9781526130358</v>
      </c>
      <c r="G1447" t="str">
        <f>"9780719088124"</f>
        <v>9780719088124</v>
      </c>
      <c r="H1447" t="s">
        <v>1540</v>
      </c>
      <c r="I1447">
        <v>320.54095694</v>
      </c>
      <c r="J1447" t="s">
        <v>3149</v>
      </c>
      <c r="K1447" t="s">
        <v>44</v>
      </c>
      <c r="N1447" t="s">
        <v>45</v>
      </c>
      <c r="O1447" t="s">
        <v>46</v>
      </c>
      <c r="P1447" t="s">
        <v>45</v>
      </c>
      <c r="Q1447" t="s">
        <v>47</v>
      </c>
      <c r="R1447" t="s">
        <v>44</v>
      </c>
      <c r="S1447">
        <v>0</v>
      </c>
      <c r="W1447" s="3">
        <v>2.9513888888888888E-3</v>
      </c>
      <c r="X1447" t="s">
        <v>3263</v>
      </c>
      <c r="Y1447">
        <v>14</v>
      </c>
      <c r="Z1447">
        <v>0</v>
      </c>
      <c r="AA1447" t="s">
        <v>49</v>
      </c>
      <c r="AB1447">
        <v>0</v>
      </c>
      <c r="AC1447" t="s">
        <v>49</v>
      </c>
      <c r="AD1447">
        <v>0</v>
      </c>
      <c r="AE1447">
        <v>11556791</v>
      </c>
      <c r="AF1447" t="s">
        <v>50</v>
      </c>
      <c r="AG1447" t="s">
        <v>388</v>
      </c>
    </row>
    <row r="1448" spans="1:33" x14ac:dyDescent="0.35">
      <c r="A1448" s="1">
        <v>44871.052777777775</v>
      </c>
      <c r="B1448">
        <v>6407637</v>
      </c>
      <c r="C1448" t="s">
        <v>3264</v>
      </c>
      <c r="D1448" t="s">
        <v>3265</v>
      </c>
      <c r="E1448" s="2">
        <v>44136</v>
      </c>
      <c r="F1448" t="str">
        <f>"9789048544011"</f>
        <v>9789048544011</v>
      </c>
      <c r="G1448" t="str">
        <f>""</f>
        <v/>
      </c>
      <c r="H1448" t="s">
        <v>1046</v>
      </c>
      <c r="I1448">
        <v>307.764095</v>
      </c>
      <c r="K1448" t="s">
        <v>55</v>
      </c>
      <c r="Q1448" t="s">
        <v>47</v>
      </c>
      <c r="R1448" t="s">
        <v>44</v>
      </c>
      <c r="S1448">
        <v>0</v>
      </c>
      <c r="W1448" s="3">
        <v>1.9675925925925926E-4</v>
      </c>
      <c r="X1448" t="s">
        <v>49</v>
      </c>
      <c r="Y1448">
        <v>0</v>
      </c>
      <c r="Z1448">
        <v>0</v>
      </c>
      <c r="AA1448" t="s">
        <v>49</v>
      </c>
      <c r="AB1448">
        <v>0</v>
      </c>
      <c r="AC1448" t="s">
        <v>49</v>
      </c>
      <c r="AD1448">
        <v>0</v>
      </c>
      <c r="AE1448">
        <v>-1</v>
      </c>
      <c r="AF1448" t="s">
        <v>63</v>
      </c>
      <c r="AG1448" t="s">
        <v>1536</v>
      </c>
    </row>
    <row r="1449" spans="1:33" x14ac:dyDescent="0.35">
      <c r="A1449" s="1">
        <v>44871.036805555559</v>
      </c>
      <c r="B1449">
        <v>848526</v>
      </c>
      <c r="C1449" t="s">
        <v>2541</v>
      </c>
      <c r="D1449" t="s">
        <v>59</v>
      </c>
      <c r="E1449" s="2">
        <v>41212</v>
      </c>
      <c r="F1449" t="str">
        <f>"9781118310069"</f>
        <v>9781118310069</v>
      </c>
      <c r="G1449" t="str">
        <f>"9780470566671"</f>
        <v>9780470566671</v>
      </c>
      <c r="H1449" t="s">
        <v>2542</v>
      </c>
      <c r="I1449">
        <v>610.28</v>
      </c>
      <c r="J1449" t="s">
        <v>2543</v>
      </c>
      <c r="K1449" t="s">
        <v>44</v>
      </c>
      <c r="N1449" t="s">
        <v>45</v>
      </c>
      <c r="O1449" t="s">
        <v>46</v>
      </c>
      <c r="P1449" t="s">
        <v>45</v>
      </c>
      <c r="Q1449" t="s">
        <v>47</v>
      </c>
      <c r="R1449" t="s">
        <v>44</v>
      </c>
      <c r="S1449">
        <v>0</v>
      </c>
      <c r="W1449" s="3">
        <v>0</v>
      </c>
      <c r="X1449" t="s">
        <v>49</v>
      </c>
      <c r="Y1449">
        <v>0</v>
      </c>
      <c r="Z1449">
        <v>3</v>
      </c>
      <c r="AA1449" t="s">
        <v>2690</v>
      </c>
      <c r="AB1449">
        <v>78</v>
      </c>
      <c r="AC1449" t="s">
        <v>49</v>
      </c>
      <c r="AD1449">
        <v>0</v>
      </c>
      <c r="AE1449">
        <v>10615085</v>
      </c>
      <c r="AF1449" t="s">
        <v>50</v>
      </c>
      <c r="AG1449" t="s">
        <v>1536</v>
      </c>
    </row>
    <row r="1450" spans="1:33" x14ac:dyDescent="0.35">
      <c r="A1450" s="1">
        <v>44871.036805555559</v>
      </c>
      <c r="B1450">
        <v>1390990</v>
      </c>
      <c r="C1450" t="s">
        <v>3179</v>
      </c>
      <c r="D1450" t="s">
        <v>443</v>
      </c>
      <c r="E1450" s="2">
        <v>41544</v>
      </c>
      <c r="F1450" t="str">
        <f>"9780520956858"</f>
        <v>9780520956858</v>
      </c>
      <c r="G1450" t="str">
        <f>"9780520277809"</f>
        <v>9780520277809</v>
      </c>
      <c r="H1450" t="s">
        <v>667</v>
      </c>
      <c r="I1450">
        <v>956.04</v>
      </c>
      <c r="J1450" t="s">
        <v>3180</v>
      </c>
      <c r="K1450" t="s">
        <v>44</v>
      </c>
      <c r="N1450" t="s">
        <v>45</v>
      </c>
      <c r="O1450" t="s">
        <v>46</v>
      </c>
      <c r="P1450" t="s">
        <v>177</v>
      </c>
      <c r="Q1450" t="s">
        <v>47</v>
      </c>
      <c r="R1450" t="s">
        <v>55</v>
      </c>
      <c r="S1450">
        <v>0</v>
      </c>
      <c r="W1450" s="3">
        <v>4.8611111111111104E-4</v>
      </c>
      <c r="X1450" t="s">
        <v>3266</v>
      </c>
      <c r="Y1450">
        <v>3</v>
      </c>
      <c r="Z1450">
        <v>0</v>
      </c>
      <c r="AA1450" t="s">
        <v>49</v>
      </c>
      <c r="AB1450">
        <v>0</v>
      </c>
      <c r="AC1450" t="s">
        <v>49</v>
      </c>
      <c r="AD1450">
        <v>0</v>
      </c>
      <c r="AE1450">
        <v>10763646</v>
      </c>
      <c r="AF1450" t="s">
        <v>50</v>
      </c>
      <c r="AG1450" t="s">
        <v>3178</v>
      </c>
    </row>
    <row r="1451" spans="1:33" x14ac:dyDescent="0.35">
      <c r="A1451" s="1">
        <v>44871.029166666667</v>
      </c>
      <c r="B1451">
        <v>436781</v>
      </c>
      <c r="C1451" t="s">
        <v>3175</v>
      </c>
      <c r="D1451" t="s">
        <v>352</v>
      </c>
      <c r="E1451" s="2">
        <v>38883</v>
      </c>
      <c r="F1451" t="str">
        <f>"9780567449542"</f>
        <v>9780567449542</v>
      </c>
      <c r="G1451" t="str">
        <f>"9780567026620"</f>
        <v>9780567026620</v>
      </c>
      <c r="H1451" t="s">
        <v>2710</v>
      </c>
      <c r="I1451" t="s">
        <v>3176</v>
      </c>
      <c r="J1451" t="s">
        <v>3177</v>
      </c>
      <c r="K1451" t="s">
        <v>44</v>
      </c>
      <c r="N1451" t="s">
        <v>45</v>
      </c>
      <c r="O1451" t="s">
        <v>46</v>
      </c>
      <c r="P1451" t="s">
        <v>45</v>
      </c>
      <c r="Q1451" t="s">
        <v>47</v>
      </c>
      <c r="R1451" t="s">
        <v>44</v>
      </c>
      <c r="S1451">
        <v>0</v>
      </c>
      <c r="W1451" s="3">
        <v>7.5925925925925926E-3</v>
      </c>
      <c r="X1451" t="s">
        <v>3267</v>
      </c>
      <c r="Y1451">
        <v>15</v>
      </c>
      <c r="Z1451">
        <v>0</v>
      </c>
      <c r="AA1451" t="s">
        <v>49</v>
      </c>
      <c r="AB1451">
        <v>0</v>
      </c>
      <c r="AC1451" t="s">
        <v>49</v>
      </c>
      <c r="AD1451">
        <v>0</v>
      </c>
      <c r="AE1451">
        <v>10250674</v>
      </c>
      <c r="AF1451" t="s">
        <v>50</v>
      </c>
      <c r="AG1451" t="s">
        <v>3178</v>
      </c>
    </row>
    <row r="1452" spans="1:33" x14ac:dyDescent="0.35">
      <c r="A1452" s="1">
        <v>44870.979861111111</v>
      </c>
      <c r="B1452">
        <v>5607639</v>
      </c>
      <c r="C1452" t="s">
        <v>3215</v>
      </c>
      <c r="D1452" t="s">
        <v>213</v>
      </c>
      <c r="E1452" s="2">
        <v>43437</v>
      </c>
      <c r="F1452" t="str">
        <f>"9780128150399"</f>
        <v>9780128150399</v>
      </c>
      <c r="G1452" t="str">
        <f>"9780128150382"</f>
        <v>9780128150382</v>
      </c>
      <c r="H1452" t="s">
        <v>60</v>
      </c>
      <c r="I1452">
        <v>388.4</v>
      </c>
      <c r="J1452" t="s">
        <v>3216</v>
      </c>
      <c r="K1452" t="s">
        <v>55</v>
      </c>
      <c r="Q1452" t="s">
        <v>47</v>
      </c>
      <c r="R1452" t="s">
        <v>44</v>
      </c>
      <c r="S1452">
        <v>0</v>
      </c>
      <c r="W1452" s="3">
        <v>1.1574074074074073E-5</v>
      </c>
      <c r="X1452" t="s">
        <v>49</v>
      </c>
      <c r="Y1452">
        <v>0</v>
      </c>
      <c r="Z1452">
        <v>0</v>
      </c>
      <c r="AA1452" t="s">
        <v>49</v>
      </c>
      <c r="AB1452">
        <v>0</v>
      </c>
      <c r="AC1452" t="s">
        <v>49</v>
      </c>
      <c r="AD1452">
        <v>0</v>
      </c>
      <c r="AE1452">
        <v>-1</v>
      </c>
      <c r="AF1452" t="s">
        <v>63</v>
      </c>
      <c r="AG1452" t="s">
        <v>1536</v>
      </c>
    </row>
    <row r="1453" spans="1:33" x14ac:dyDescent="0.35">
      <c r="A1453" s="1">
        <v>44870.979166666664</v>
      </c>
      <c r="B1453">
        <v>5607639</v>
      </c>
      <c r="C1453" t="s">
        <v>3215</v>
      </c>
      <c r="D1453" t="s">
        <v>213</v>
      </c>
      <c r="E1453" s="2">
        <v>43437</v>
      </c>
      <c r="F1453" t="str">
        <f>"9780128150399"</f>
        <v>9780128150399</v>
      </c>
      <c r="G1453" t="str">
        <f>"9780128150382"</f>
        <v>9780128150382</v>
      </c>
      <c r="H1453" t="s">
        <v>60</v>
      </c>
      <c r="I1453">
        <v>388.4</v>
      </c>
      <c r="J1453" t="s">
        <v>3216</v>
      </c>
      <c r="K1453" t="s">
        <v>55</v>
      </c>
      <c r="Q1453" t="s">
        <v>47</v>
      </c>
      <c r="R1453" t="s">
        <v>44</v>
      </c>
      <c r="S1453">
        <v>0</v>
      </c>
      <c r="W1453" s="3">
        <v>3.9351851851851852E-4</v>
      </c>
      <c r="X1453" t="s">
        <v>49</v>
      </c>
      <c r="Y1453">
        <v>0</v>
      </c>
      <c r="Z1453">
        <v>0</v>
      </c>
      <c r="AA1453" t="s">
        <v>49</v>
      </c>
      <c r="AB1453">
        <v>0</v>
      </c>
      <c r="AC1453" t="s">
        <v>49</v>
      </c>
      <c r="AD1453">
        <v>0</v>
      </c>
      <c r="AE1453">
        <v>-1</v>
      </c>
      <c r="AF1453" t="s">
        <v>63</v>
      </c>
      <c r="AG1453" t="s">
        <v>1536</v>
      </c>
    </row>
    <row r="1454" spans="1:33" x14ac:dyDescent="0.35">
      <c r="A1454" s="1">
        <v>44870.974305555559</v>
      </c>
      <c r="B1454">
        <v>433165</v>
      </c>
      <c r="C1454" t="s">
        <v>3268</v>
      </c>
      <c r="D1454" t="s">
        <v>2754</v>
      </c>
      <c r="E1454" s="2">
        <v>39814</v>
      </c>
      <c r="F1454" t="str">
        <f>"9780816666478"</f>
        <v>9780816666478</v>
      </c>
      <c r="G1454" t="str">
        <f>"9780816656387"</f>
        <v>9780816656387</v>
      </c>
      <c r="H1454" t="s">
        <v>3269</v>
      </c>
      <c r="I1454" t="s">
        <v>3270</v>
      </c>
      <c r="J1454" t="s">
        <v>3271</v>
      </c>
      <c r="K1454" t="s">
        <v>44</v>
      </c>
      <c r="N1454" t="s">
        <v>45</v>
      </c>
      <c r="O1454" t="s">
        <v>46</v>
      </c>
      <c r="P1454" t="s">
        <v>45</v>
      </c>
      <c r="Q1454" t="s">
        <v>47</v>
      </c>
      <c r="R1454" t="s">
        <v>44</v>
      </c>
      <c r="S1454">
        <v>0</v>
      </c>
      <c r="W1454" s="3">
        <v>0</v>
      </c>
      <c r="X1454" t="s">
        <v>49</v>
      </c>
      <c r="Y1454">
        <v>0</v>
      </c>
      <c r="Z1454">
        <v>1</v>
      </c>
      <c r="AA1454" t="s">
        <v>3272</v>
      </c>
      <c r="AB1454">
        <v>74</v>
      </c>
      <c r="AC1454" t="s">
        <v>49</v>
      </c>
      <c r="AD1454">
        <v>0</v>
      </c>
      <c r="AE1454">
        <v>10280045</v>
      </c>
      <c r="AF1454" t="s">
        <v>50</v>
      </c>
      <c r="AG1454" t="s">
        <v>866</v>
      </c>
    </row>
    <row r="1455" spans="1:33" x14ac:dyDescent="0.35">
      <c r="A1455" s="1">
        <v>44870.960416666669</v>
      </c>
      <c r="B1455">
        <v>433165</v>
      </c>
      <c r="C1455" t="s">
        <v>3268</v>
      </c>
      <c r="D1455" t="s">
        <v>2754</v>
      </c>
      <c r="E1455" s="2">
        <v>39814</v>
      </c>
      <c r="F1455" t="str">
        <f>"9780816666478"</f>
        <v>9780816666478</v>
      </c>
      <c r="G1455" t="str">
        <f>"9780816656387"</f>
        <v>9780816656387</v>
      </c>
      <c r="H1455" t="s">
        <v>3269</v>
      </c>
      <c r="I1455" t="s">
        <v>3270</v>
      </c>
      <c r="J1455" t="s">
        <v>3271</v>
      </c>
      <c r="K1455" t="s">
        <v>44</v>
      </c>
      <c r="N1455" t="s">
        <v>45</v>
      </c>
      <c r="O1455" t="s">
        <v>46</v>
      </c>
      <c r="P1455" t="s">
        <v>45</v>
      </c>
      <c r="Q1455" t="s">
        <v>47</v>
      </c>
      <c r="R1455" t="s">
        <v>44</v>
      </c>
      <c r="S1455">
        <v>0</v>
      </c>
      <c r="W1455" s="3">
        <v>6.9444444444444444E-5</v>
      </c>
      <c r="X1455" t="s">
        <v>1717</v>
      </c>
      <c r="Y1455">
        <v>1</v>
      </c>
      <c r="Z1455">
        <v>7</v>
      </c>
      <c r="AA1455" t="s">
        <v>3273</v>
      </c>
      <c r="AB1455">
        <v>356</v>
      </c>
      <c r="AC1455" t="s">
        <v>49</v>
      </c>
      <c r="AD1455">
        <v>0</v>
      </c>
      <c r="AE1455">
        <v>10280045</v>
      </c>
      <c r="AF1455" t="s">
        <v>63</v>
      </c>
      <c r="AG1455" t="s">
        <v>1536</v>
      </c>
    </row>
    <row r="1456" spans="1:33" x14ac:dyDescent="0.35">
      <c r="A1456" s="1">
        <v>44870.905555555553</v>
      </c>
      <c r="B1456">
        <v>6460416</v>
      </c>
      <c r="C1456" t="s">
        <v>3274</v>
      </c>
      <c r="D1456" t="s">
        <v>105</v>
      </c>
      <c r="E1456" s="2">
        <v>44216</v>
      </c>
      <c r="F1456" t="str">
        <f>"9783030569099"</f>
        <v>9783030569099</v>
      </c>
      <c r="G1456" t="str">
        <f>"9783030569082"</f>
        <v>9783030569082</v>
      </c>
      <c r="H1456" t="s">
        <v>3275</v>
      </c>
      <c r="I1456">
        <v>612.01576999999997</v>
      </c>
      <c r="J1456" t="s">
        <v>3276</v>
      </c>
      <c r="K1456" t="s">
        <v>55</v>
      </c>
      <c r="Q1456" t="s">
        <v>47</v>
      </c>
      <c r="R1456" t="s">
        <v>44</v>
      </c>
      <c r="S1456">
        <v>0</v>
      </c>
      <c r="W1456" s="3">
        <v>8.6805555555555551E-4</v>
      </c>
      <c r="X1456" t="s">
        <v>3277</v>
      </c>
      <c r="Y1456">
        <v>11</v>
      </c>
      <c r="Z1456">
        <v>0</v>
      </c>
      <c r="AA1456" t="s">
        <v>49</v>
      </c>
      <c r="AB1456">
        <v>0</v>
      </c>
      <c r="AC1456" t="s">
        <v>49</v>
      </c>
      <c r="AD1456">
        <v>0</v>
      </c>
      <c r="AE1456">
        <v>-1</v>
      </c>
      <c r="AF1456" t="s">
        <v>50</v>
      </c>
      <c r="AG1456" t="s">
        <v>388</v>
      </c>
    </row>
    <row r="1457" spans="1:33" x14ac:dyDescent="0.35">
      <c r="A1457" s="1">
        <v>44870.861111111109</v>
      </c>
      <c r="B1457">
        <v>5394389</v>
      </c>
      <c r="C1457" t="s">
        <v>3148</v>
      </c>
      <c r="D1457" t="s">
        <v>1101</v>
      </c>
      <c r="E1457" s="2">
        <v>41153</v>
      </c>
      <c r="F1457" t="str">
        <f>"9781526130358"</f>
        <v>9781526130358</v>
      </c>
      <c r="G1457" t="str">
        <f>"9780719088124"</f>
        <v>9780719088124</v>
      </c>
      <c r="H1457" t="s">
        <v>1540</v>
      </c>
      <c r="I1457">
        <v>320.54095694</v>
      </c>
      <c r="J1457" t="s">
        <v>3149</v>
      </c>
      <c r="K1457" t="s">
        <v>44</v>
      </c>
      <c r="N1457" t="s">
        <v>45</v>
      </c>
      <c r="O1457" t="s">
        <v>46</v>
      </c>
      <c r="P1457" t="s">
        <v>45</v>
      </c>
      <c r="Q1457" t="s">
        <v>47</v>
      </c>
      <c r="R1457" t="s">
        <v>44</v>
      </c>
      <c r="S1457">
        <v>0</v>
      </c>
      <c r="W1457" s="3">
        <v>1.9675925925925926E-4</v>
      </c>
      <c r="X1457" t="s">
        <v>3278</v>
      </c>
      <c r="Y1457">
        <v>2</v>
      </c>
      <c r="Z1457">
        <v>0</v>
      </c>
      <c r="AA1457" t="s">
        <v>49</v>
      </c>
      <c r="AB1457">
        <v>0</v>
      </c>
      <c r="AC1457" t="s">
        <v>49</v>
      </c>
      <c r="AD1457">
        <v>0</v>
      </c>
      <c r="AE1457">
        <v>11556791</v>
      </c>
      <c r="AF1457" t="s">
        <v>50</v>
      </c>
      <c r="AG1457" t="s">
        <v>388</v>
      </c>
    </row>
    <row r="1458" spans="1:33" x14ac:dyDescent="0.35">
      <c r="A1458" s="1">
        <v>44870.850694444445</v>
      </c>
      <c r="B1458">
        <v>668424</v>
      </c>
      <c r="C1458" t="s">
        <v>3129</v>
      </c>
      <c r="D1458" t="s">
        <v>76</v>
      </c>
      <c r="E1458" s="2">
        <v>40613</v>
      </c>
      <c r="F1458" t="str">
        <f>"9780203832509"</f>
        <v>9780203832509</v>
      </c>
      <c r="G1458" t="str">
        <f>"9780415492157"</f>
        <v>9780415492157</v>
      </c>
      <c r="H1458" t="s">
        <v>667</v>
      </c>
      <c r="I1458" t="s">
        <v>2023</v>
      </c>
      <c r="J1458" t="s">
        <v>3130</v>
      </c>
      <c r="K1458" t="s">
        <v>44</v>
      </c>
      <c r="N1458" t="s">
        <v>45</v>
      </c>
      <c r="O1458" t="s">
        <v>46</v>
      </c>
      <c r="P1458" t="s">
        <v>45</v>
      </c>
      <c r="Q1458" t="s">
        <v>47</v>
      </c>
      <c r="R1458" t="s">
        <v>44</v>
      </c>
      <c r="S1458">
        <v>0</v>
      </c>
      <c r="W1458" s="3">
        <v>1.9699074074074074E-2</v>
      </c>
      <c r="X1458" t="s">
        <v>1283</v>
      </c>
      <c r="Y1458">
        <v>3</v>
      </c>
      <c r="Z1458">
        <v>0</v>
      </c>
      <c r="AA1458" t="s">
        <v>49</v>
      </c>
      <c r="AB1458">
        <v>0</v>
      </c>
      <c r="AC1458" t="s">
        <v>49</v>
      </c>
      <c r="AD1458">
        <v>0</v>
      </c>
      <c r="AE1458">
        <v>10452737</v>
      </c>
      <c r="AF1458" t="s">
        <v>50</v>
      </c>
      <c r="AG1458" t="s">
        <v>388</v>
      </c>
    </row>
    <row r="1459" spans="1:33" x14ac:dyDescent="0.35">
      <c r="A1459" s="1">
        <v>44870.849305555559</v>
      </c>
      <c r="B1459">
        <v>5309559</v>
      </c>
      <c r="C1459" t="s">
        <v>2923</v>
      </c>
      <c r="D1459" t="s">
        <v>497</v>
      </c>
      <c r="E1459" s="2">
        <v>39964</v>
      </c>
      <c r="F1459" t="str">
        <f>"9781441164698"</f>
        <v>9781441164698</v>
      </c>
      <c r="G1459" t="str">
        <f>"9781847250407"</f>
        <v>9781847250407</v>
      </c>
      <c r="H1459" t="s">
        <v>667</v>
      </c>
      <c r="I1459">
        <v>956.94039999999995</v>
      </c>
      <c r="J1459" t="s">
        <v>2924</v>
      </c>
      <c r="K1459" t="s">
        <v>44</v>
      </c>
      <c r="N1459" t="s">
        <v>45</v>
      </c>
      <c r="O1459" t="s">
        <v>46</v>
      </c>
      <c r="P1459" t="s">
        <v>45</v>
      </c>
      <c r="Q1459" t="s">
        <v>47</v>
      </c>
      <c r="R1459" t="s">
        <v>44</v>
      </c>
      <c r="S1459">
        <v>0</v>
      </c>
      <c r="W1459" s="3">
        <v>1.087962962962963E-2</v>
      </c>
      <c r="X1459" t="s">
        <v>3279</v>
      </c>
      <c r="Y1459">
        <v>26</v>
      </c>
      <c r="Z1459">
        <v>0</v>
      </c>
      <c r="AA1459" t="s">
        <v>49</v>
      </c>
      <c r="AB1459">
        <v>0</v>
      </c>
      <c r="AC1459" t="s">
        <v>2197</v>
      </c>
      <c r="AD1459">
        <v>1</v>
      </c>
      <c r="AE1459">
        <v>11518527</v>
      </c>
      <c r="AF1459" t="s">
        <v>50</v>
      </c>
      <c r="AG1459" t="s">
        <v>388</v>
      </c>
    </row>
    <row r="1460" spans="1:33" x14ac:dyDescent="0.35">
      <c r="A1460" s="1">
        <v>44870.844444444447</v>
      </c>
      <c r="B1460">
        <v>179295</v>
      </c>
      <c r="C1460" t="s">
        <v>3280</v>
      </c>
      <c r="D1460" t="s">
        <v>76</v>
      </c>
      <c r="E1460" s="2">
        <v>34145</v>
      </c>
      <c r="F1460" t="str">
        <f>"9780203416808"</f>
        <v>9780203416808</v>
      </c>
      <c r="G1460" t="str">
        <f>"9780415073950"</f>
        <v>9780415073950</v>
      </c>
      <c r="H1460" t="s">
        <v>1069</v>
      </c>
      <c r="I1460">
        <v>892.73599999999999</v>
      </c>
      <c r="J1460">
        <v>92028677</v>
      </c>
      <c r="K1460" t="s">
        <v>44</v>
      </c>
      <c r="N1460" t="s">
        <v>45</v>
      </c>
      <c r="O1460" t="s">
        <v>46</v>
      </c>
      <c r="P1460" t="s">
        <v>45</v>
      </c>
      <c r="Q1460" t="s">
        <v>47</v>
      </c>
      <c r="R1460" t="s">
        <v>44</v>
      </c>
      <c r="S1460">
        <v>0</v>
      </c>
      <c r="W1460" s="3">
        <v>9.5381944444444436E-2</v>
      </c>
      <c r="X1460" t="s">
        <v>3281</v>
      </c>
      <c r="Y1460">
        <v>58</v>
      </c>
      <c r="Z1460">
        <v>0</v>
      </c>
      <c r="AA1460" t="s">
        <v>49</v>
      </c>
      <c r="AB1460">
        <v>0</v>
      </c>
      <c r="AC1460" t="s">
        <v>3282</v>
      </c>
      <c r="AD1460">
        <v>10</v>
      </c>
      <c r="AE1460">
        <v>10095834</v>
      </c>
      <c r="AF1460" t="s">
        <v>50</v>
      </c>
      <c r="AG1460" t="s">
        <v>493</v>
      </c>
    </row>
    <row r="1461" spans="1:33" x14ac:dyDescent="0.35">
      <c r="A1461" s="1">
        <v>44870.830555555556</v>
      </c>
      <c r="B1461">
        <v>1069079</v>
      </c>
      <c r="C1461" t="s">
        <v>3283</v>
      </c>
      <c r="D1461" t="s">
        <v>507</v>
      </c>
      <c r="E1461" s="2">
        <v>41108</v>
      </c>
      <c r="F1461" t="str">
        <f>"9780748669189"</f>
        <v>9780748669189</v>
      </c>
      <c r="G1461" t="str">
        <f>"9780748639267"</f>
        <v>9780748639267</v>
      </c>
      <c r="H1461" t="s">
        <v>1069</v>
      </c>
      <c r="I1461">
        <v>892.73609350000004</v>
      </c>
      <c r="J1461" t="s">
        <v>3284</v>
      </c>
      <c r="K1461" t="s">
        <v>44</v>
      </c>
      <c r="N1461" t="s">
        <v>45</v>
      </c>
      <c r="O1461" t="s">
        <v>46</v>
      </c>
      <c r="P1461" t="s">
        <v>45</v>
      </c>
      <c r="Q1461" t="s">
        <v>47</v>
      </c>
      <c r="R1461" t="s">
        <v>44</v>
      </c>
      <c r="S1461">
        <v>0</v>
      </c>
      <c r="W1461" s="3">
        <v>3.2754629629629631E-3</v>
      </c>
      <c r="X1461" t="s">
        <v>3285</v>
      </c>
      <c r="Y1461">
        <v>16</v>
      </c>
      <c r="Z1461">
        <v>0</v>
      </c>
      <c r="AA1461" t="s">
        <v>49</v>
      </c>
      <c r="AB1461">
        <v>0</v>
      </c>
      <c r="AC1461" t="s">
        <v>3286</v>
      </c>
      <c r="AD1461">
        <v>1</v>
      </c>
      <c r="AE1461">
        <v>10624598</v>
      </c>
      <c r="AF1461" t="s">
        <v>50</v>
      </c>
      <c r="AG1461" t="s">
        <v>493</v>
      </c>
    </row>
    <row r="1462" spans="1:33" x14ac:dyDescent="0.35">
      <c r="A1462" s="1">
        <v>44870.806944444441</v>
      </c>
      <c r="B1462">
        <v>5394389</v>
      </c>
      <c r="C1462" t="s">
        <v>3148</v>
      </c>
      <c r="D1462" t="s">
        <v>1101</v>
      </c>
      <c r="E1462" s="2">
        <v>41153</v>
      </c>
      <c r="F1462" t="str">
        <f>"9781526130358"</f>
        <v>9781526130358</v>
      </c>
      <c r="G1462" t="str">
        <f>"9780719088124"</f>
        <v>9780719088124</v>
      </c>
      <c r="H1462" t="s">
        <v>1540</v>
      </c>
      <c r="I1462">
        <v>320.54095694</v>
      </c>
      <c r="J1462" t="s">
        <v>3149</v>
      </c>
      <c r="K1462" t="s">
        <v>44</v>
      </c>
      <c r="N1462" t="s">
        <v>45</v>
      </c>
      <c r="O1462" t="s">
        <v>46</v>
      </c>
      <c r="P1462" t="s">
        <v>45</v>
      </c>
      <c r="Q1462" t="s">
        <v>47</v>
      </c>
      <c r="R1462" t="s">
        <v>44</v>
      </c>
      <c r="S1462">
        <v>0</v>
      </c>
      <c r="W1462" s="3">
        <v>1.3888888888888889E-3</v>
      </c>
      <c r="X1462" t="s">
        <v>3287</v>
      </c>
      <c r="Y1462">
        <v>5</v>
      </c>
      <c r="Z1462">
        <v>0</v>
      </c>
      <c r="AA1462" t="s">
        <v>49</v>
      </c>
      <c r="AB1462">
        <v>0</v>
      </c>
      <c r="AC1462" t="s">
        <v>49</v>
      </c>
      <c r="AD1462">
        <v>0</v>
      </c>
      <c r="AE1462">
        <v>11556791</v>
      </c>
      <c r="AF1462" t="s">
        <v>50</v>
      </c>
      <c r="AG1462" t="s">
        <v>388</v>
      </c>
    </row>
    <row r="1463" spans="1:33" x14ac:dyDescent="0.35">
      <c r="A1463" s="1">
        <v>44870.800694444442</v>
      </c>
      <c r="B1463">
        <v>3378790</v>
      </c>
      <c r="C1463" t="s">
        <v>3288</v>
      </c>
      <c r="D1463" t="s">
        <v>175</v>
      </c>
      <c r="E1463" s="2">
        <v>40245</v>
      </c>
      <c r="F1463" t="str">
        <f>"9780309139472"</f>
        <v>9780309139472</v>
      </c>
      <c r="G1463" t="str">
        <f>"9780309139465"</f>
        <v>9780309139465</v>
      </c>
      <c r="H1463" t="s">
        <v>3289</v>
      </c>
      <c r="I1463">
        <v>500.5</v>
      </c>
      <c r="J1463" t="s">
        <v>3290</v>
      </c>
      <c r="K1463" t="s">
        <v>44</v>
      </c>
      <c r="N1463" t="s">
        <v>45</v>
      </c>
      <c r="O1463" t="s">
        <v>46</v>
      </c>
      <c r="P1463" t="s">
        <v>177</v>
      </c>
      <c r="Q1463" t="s">
        <v>47</v>
      </c>
      <c r="R1463" t="s">
        <v>55</v>
      </c>
      <c r="S1463">
        <v>0</v>
      </c>
      <c r="W1463" s="3">
        <v>8.1018518518518516E-5</v>
      </c>
      <c r="X1463" t="s">
        <v>3291</v>
      </c>
      <c r="Y1463">
        <v>2</v>
      </c>
      <c r="Z1463">
        <v>0</v>
      </c>
      <c r="AA1463" t="s">
        <v>49</v>
      </c>
      <c r="AB1463">
        <v>0</v>
      </c>
      <c r="AC1463" t="s">
        <v>49</v>
      </c>
      <c r="AD1463">
        <v>0</v>
      </c>
      <c r="AE1463">
        <v>10478242</v>
      </c>
      <c r="AF1463" t="s">
        <v>50</v>
      </c>
      <c r="AG1463" t="s">
        <v>1536</v>
      </c>
    </row>
    <row r="1464" spans="1:33" x14ac:dyDescent="0.35">
      <c r="A1464" s="1">
        <v>44870.79583333333</v>
      </c>
      <c r="B1464">
        <v>5309559</v>
      </c>
      <c r="C1464" t="s">
        <v>2923</v>
      </c>
      <c r="D1464" t="s">
        <v>497</v>
      </c>
      <c r="E1464" s="2">
        <v>39964</v>
      </c>
      <c r="F1464" t="str">
        <f>"9781441164698"</f>
        <v>9781441164698</v>
      </c>
      <c r="G1464" t="str">
        <f>"9781847250407"</f>
        <v>9781847250407</v>
      </c>
      <c r="H1464" t="s">
        <v>667</v>
      </c>
      <c r="I1464">
        <v>956.94039999999995</v>
      </c>
      <c r="J1464" t="s">
        <v>2924</v>
      </c>
      <c r="K1464" t="s">
        <v>44</v>
      </c>
      <c r="N1464" t="s">
        <v>45</v>
      </c>
      <c r="O1464" t="s">
        <v>46</v>
      </c>
      <c r="P1464" t="s">
        <v>45</v>
      </c>
      <c r="Q1464" t="s">
        <v>47</v>
      </c>
      <c r="R1464" t="s">
        <v>44</v>
      </c>
      <c r="S1464">
        <v>0</v>
      </c>
      <c r="W1464" s="3">
        <v>5.6365740740740742E-3</v>
      </c>
      <c r="X1464" t="s">
        <v>3292</v>
      </c>
      <c r="Y1464">
        <v>18</v>
      </c>
      <c r="Z1464">
        <v>0</v>
      </c>
      <c r="AA1464" t="s">
        <v>49</v>
      </c>
      <c r="AB1464">
        <v>0</v>
      </c>
      <c r="AC1464" t="s">
        <v>49</v>
      </c>
      <c r="AD1464">
        <v>0</v>
      </c>
      <c r="AE1464">
        <v>11518527</v>
      </c>
      <c r="AF1464" t="s">
        <v>50</v>
      </c>
      <c r="AG1464" t="s">
        <v>388</v>
      </c>
    </row>
    <row r="1465" spans="1:33" x14ac:dyDescent="0.35">
      <c r="A1465" s="1">
        <v>44870.794444444444</v>
      </c>
      <c r="B1465">
        <v>436781</v>
      </c>
      <c r="C1465" t="s">
        <v>3175</v>
      </c>
      <c r="D1465" t="s">
        <v>352</v>
      </c>
      <c r="E1465" s="2">
        <v>38883</v>
      </c>
      <c r="F1465" t="str">
        <f>"9780567449542"</f>
        <v>9780567449542</v>
      </c>
      <c r="G1465" t="str">
        <f>"9780567026620"</f>
        <v>9780567026620</v>
      </c>
      <c r="H1465" t="s">
        <v>2710</v>
      </c>
      <c r="I1465" t="s">
        <v>3176</v>
      </c>
      <c r="J1465" t="s">
        <v>3177</v>
      </c>
      <c r="K1465" t="s">
        <v>44</v>
      </c>
      <c r="N1465" t="s">
        <v>45</v>
      </c>
      <c r="O1465" t="s">
        <v>46</v>
      </c>
      <c r="P1465" t="s">
        <v>45</v>
      </c>
      <c r="Q1465" t="s">
        <v>47</v>
      </c>
      <c r="R1465" t="s">
        <v>44</v>
      </c>
      <c r="S1465">
        <v>0</v>
      </c>
      <c r="W1465" s="3">
        <v>1.3182870370370371E-2</v>
      </c>
      <c r="X1465" t="s">
        <v>3293</v>
      </c>
      <c r="Y1465">
        <v>14</v>
      </c>
      <c r="Z1465">
        <v>0</v>
      </c>
      <c r="AA1465" t="s">
        <v>49</v>
      </c>
      <c r="AB1465">
        <v>0</v>
      </c>
      <c r="AC1465" t="s">
        <v>49</v>
      </c>
      <c r="AD1465">
        <v>0</v>
      </c>
      <c r="AE1465">
        <v>10250674</v>
      </c>
      <c r="AF1465" t="s">
        <v>50</v>
      </c>
      <c r="AG1465" t="s">
        <v>3178</v>
      </c>
    </row>
    <row r="1466" spans="1:33" x14ac:dyDescent="0.35">
      <c r="A1466" s="1">
        <v>44870.784722222219</v>
      </c>
      <c r="B1466">
        <v>1390990</v>
      </c>
      <c r="C1466" t="s">
        <v>3179</v>
      </c>
      <c r="D1466" t="s">
        <v>443</v>
      </c>
      <c r="E1466" s="2">
        <v>41544</v>
      </c>
      <c r="F1466" t="str">
        <f>"9780520956858"</f>
        <v>9780520956858</v>
      </c>
      <c r="G1466" t="str">
        <f>"9780520277809"</f>
        <v>9780520277809</v>
      </c>
      <c r="H1466" t="s">
        <v>667</v>
      </c>
      <c r="I1466">
        <v>956.04</v>
      </c>
      <c r="J1466" t="s">
        <v>3180</v>
      </c>
      <c r="K1466" t="s">
        <v>44</v>
      </c>
      <c r="N1466" t="s">
        <v>45</v>
      </c>
      <c r="O1466" t="s">
        <v>46</v>
      </c>
      <c r="P1466" t="s">
        <v>177</v>
      </c>
      <c r="Q1466" t="s">
        <v>47</v>
      </c>
      <c r="R1466" t="s">
        <v>55</v>
      </c>
      <c r="S1466">
        <v>0</v>
      </c>
      <c r="W1466" s="3">
        <v>4.2245370370370371E-3</v>
      </c>
      <c r="X1466" t="s">
        <v>196</v>
      </c>
      <c r="Y1466">
        <v>2</v>
      </c>
      <c r="Z1466">
        <v>0</v>
      </c>
      <c r="AA1466" t="s">
        <v>49</v>
      </c>
      <c r="AB1466">
        <v>0</v>
      </c>
      <c r="AC1466" t="s">
        <v>49</v>
      </c>
      <c r="AD1466">
        <v>0</v>
      </c>
      <c r="AE1466">
        <v>10763646</v>
      </c>
      <c r="AF1466" t="s">
        <v>50</v>
      </c>
      <c r="AG1466" t="s">
        <v>3178</v>
      </c>
    </row>
    <row r="1467" spans="1:33" x14ac:dyDescent="0.35">
      <c r="A1467" s="1">
        <v>44870.777083333334</v>
      </c>
      <c r="B1467">
        <v>3378790</v>
      </c>
      <c r="C1467" t="s">
        <v>3288</v>
      </c>
      <c r="D1467" t="s">
        <v>175</v>
      </c>
      <c r="E1467" s="2">
        <v>40245</v>
      </c>
      <c r="F1467" t="str">
        <f>"9780309139472"</f>
        <v>9780309139472</v>
      </c>
      <c r="G1467" t="str">
        <f>"9780309139465"</f>
        <v>9780309139465</v>
      </c>
      <c r="H1467" t="s">
        <v>3289</v>
      </c>
      <c r="I1467">
        <v>500.5</v>
      </c>
      <c r="J1467" t="s">
        <v>3290</v>
      </c>
      <c r="K1467" t="s">
        <v>44</v>
      </c>
      <c r="N1467" t="s">
        <v>45</v>
      </c>
      <c r="O1467" t="s">
        <v>46</v>
      </c>
      <c r="P1467" t="s">
        <v>177</v>
      </c>
      <c r="Q1467" t="s">
        <v>47</v>
      </c>
      <c r="R1467" t="s">
        <v>55</v>
      </c>
      <c r="S1467">
        <v>0</v>
      </c>
      <c r="W1467" s="3">
        <v>1.7361111111111112E-4</v>
      </c>
      <c r="X1467" t="s">
        <v>3294</v>
      </c>
      <c r="Y1467">
        <v>2</v>
      </c>
      <c r="Z1467">
        <v>0</v>
      </c>
      <c r="AA1467" t="s">
        <v>49</v>
      </c>
      <c r="AB1467">
        <v>0</v>
      </c>
      <c r="AC1467" t="s">
        <v>49</v>
      </c>
      <c r="AD1467">
        <v>0</v>
      </c>
      <c r="AE1467">
        <v>10478242</v>
      </c>
      <c r="AF1467" t="s">
        <v>50</v>
      </c>
      <c r="AG1467" t="s">
        <v>1536</v>
      </c>
    </row>
    <row r="1468" spans="1:33" x14ac:dyDescent="0.35">
      <c r="A1468" s="1">
        <v>44870.758333333331</v>
      </c>
      <c r="B1468">
        <v>179295</v>
      </c>
      <c r="C1468" t="s">
        <v>3280</v>
      </c>
      <c r="D1468" t="s">
        <v>76</v>
      </c>
      <c r="E1468" s="2">
        <v>34145</v>
      </c>
      <c r="F1468" t="str">
        <f>"9780203416808"</f>
        <v>9780203416808</v>
      </c>
      <c r="G1468" t="str">
        <f>"9780415073950"</f>
        <v>9780415073950</v>
      </c>
      <c r="H1468" t="s">
        <v>1069</v>
      </c>
      <c r="I1468">
        <v>892.73599999999999</v>
      </c>
      <c r="J1468">
        <v>92028677</v>
      </c>
      <c r="K1468" t="s">
        <v>44</v>
      </c>
      <c r="N1468" t="s">
        <v>45</v>
      </c>
      <c r="O1468" t="s">
        <v>46</v>
      </c>
      <c r="P1468" t="s">
        <v>45</v>
      </c>
      <c r="Q1468" t="s">
        <v>47</v>
      </c>
      <c r="R1468" t="s">
        <v>44</v>
      </c>
      <c r="S1468">
        <v>0</v>
      </c>
      <c r="W1468" s="3">
        <v>2.8310185185185185E-2</v>
      </c>
      <c r="X1468" t="s">
        <v>3295</v>
      </c>
      <c r="Y1468">
        <v>53</v>
      </c>
      <c r="Z1468">
        <v>0</v>
      </c>
      <c r="AA1468" t="s">
        <v>49</v>
      </c>
      <c r="AB1468">
        <v>0</v>
      </c>
      <c r="AC1468" t="s">
        <v>3296</v>
      </c>
      <c r="AD1468">
        <v>3</v>
      </c>
      <c r="AE1468">
        <v>10095834</v>
      </c>
      <c r="AF1468" t="s">
        <v>63</v>
      </c>
      <c r="AG1468" t="s">
        <v>493</v>
      </c>
    </row>
    <row r="1469" spans="1:33" x14ac:dyDescent="0.35">
      <c r="A1469" s="1">
        <v>44870.744444444441</v>
      </c>
      <c r="B1469">
        <v>3114731</v>
      </c>
      <c r="C1469" t="s">
        <v>3297</v>
      </c>
      <c r="D1469" t="s">
        <v>336</v>
      </c>
      <c r="E1469" s="2">
        <v>36526</v>
      </c>
      <c r="F1469" t="str">
        <f>"9781936190539"</f>
        <v>9781936190539</v>
      </c>
      <c r="G1469" t="str">
        <f>"9789774161254"</f>
        <v>9789774161254</v>
      </c>
      <c r="H1469" t="s">
        <v>1069</v>
      </c>
      <c r="J1469" t="s">
        <v>3298</v>
      </c>
      <c r="K1469" t="s">
        <v>44</v>
      </c>
      <c r="N1469" t="s">
        <v>45</v>
      </c>
      <c r="O1469" t="s">
        <v>46</v>
      </c>
      <c r="P1469" t="s">
        <v>45</v>
      </c>
      <c r="Q1469" t="s">
        <v>47</v>
      </c>
      <c r="R1469" t="s">
        <v>44</v>
      </c>
      <c r="S1469">
        <v>0</v>
      </c>
      <c r="W1469" s="3">
        <v>2.4305555555555552E-4</v>
      </c>
      <c r="X1469" t="s">
        <v>3299</v>
      </c>
      <c r="Y1469">
        <v>4</v>
      </c>
      <c r="Z1469">
        <v>0</v>
      </c>
      <c r="AA1469" t="s">
        <v>49</v>
      </c>
      <c r="AB1469">
        <v>0</v>
      </c>
      <c r="AC1469" t="s">
        <v>49</v>
      </c>
      <c r="AD1469">
        <v>0</v>
      </c>
      <c r="AE1469">
        <v>10409542</v>
      </c>
      <c r="AF1469" t="s">
        <v>63</v>
      </c>
      <c r="AG1469" t="s">
        <v>493</v>
      </c>
    </row>
    <row r="1470" spans="1:33" x14ac:dyDescent="0.35">
      <c r="A1470" s="1">
        <v>44870.739583333336</v>
      </c>
      <c r="B1470">
        <v>1390990</v>
      </c>
      <c r="C1470" t="s">
        <v>3179</v>
      </c>
      <c r="D1470" t="s">
        <v>443</v>
      </c>
      <c r="E1470" s="2">
        <v>41544</v>
      </c>
      <c r="F1470" t="str">
        <f>"9780520956858"</f>
        <v>9780520956858</v>
      </c>
      <c r="G1470" t="str">
        <f>"9780520277809"</f>
        <v>9780520277809</v>
      </c>
      <c r="H1470" t="s">
        <v>667</v>
      </c>
      <c r="I1470">
        <v>956.04</v>
      </c>
      <c r="J1470" t="s">
        <v>3180</v>
      </c>
      <c r="K1470" t="s">
        <v>44</v>
      </c>
      <c r="N1470" t="s">
        <v>45</v>
      </c>
      <c r="O1470" t="s">
        <v>46</v>
      </c>
      <c r="P1470" t="s">
        <v>177</v>
      </c>
      <c r="Q1470" t="s">
        <v>47</v>
      </c>
      <c r="R1470" t="s">
        <v>55</v>
      </c>
      <c r="S1470">
        <v>0</v>
      </c>
      <c r="W1470" s="3">
        <v>6.6203703703703702E-3</v>
      </c>
      <c r="X1470" t="s">
        <v>3300</v>
      </c>
      <c r="Y1470">
        <v>30</v>
      </c>
      <c r="Z1470">
        <v>0</v>
      </c>
      <c r="AA1470" t="s">
        <v>49</v>
      </c>
      <c r="AB1470">
        <v>0</v>
      </c>
      <c r="AC1470" t="s">
        <v>49</v>
      </c>
      <c r="AD1470">
        <v>0</v>
      </c>
      <c r="AE1470">
        <v>10763646</v>
      </c>
      <c r="AF1470" t="s">
        <v>50</v>
      </c>
      <c r="AG1470" t="s">
        <v>3178</v>
      </c>
    </row>
    <row r="1471" spans="1:33" x14ac:dyDescent="0.35">
      <c r="A1471" s="1">
        <v>44870.739583333336</v>
      </c>
      <c r="B1471">
        <v>1791140</v>
      </c>
      <c r="C1471" t="s">
        <v>3301</v>
      </c>
      <c r="D1471" t="s">
        <v>336</v>
      </c>
      <c r="E1471" s="2">
        <v>41754</v>
      </c>
      <c r="F1471" t="str">
        <f>"9781617975585"</f>
        <v>9781617975585</v>
      </c>
      <c r="G1471" t="str">
        <f>"9789774166204"</f>
        <v>9789774166204</v>
      </c>
      <c r="H1471" t="s">
        <v>3302</v>
      </c>
      <c r="I1471">
        <v>892.73699999999997</v>
      </c>
      <c r="J1471" t="s">
        <v>3303</v>
      </c>
      <c r="K1471" t="s">
        <v>44</v>
      </c>
      <c r="N1471" t="s">
        <v>45</v>
      </c>
      <c r="O1471" t="s">
        <v>46</v>
      </c>
      <c r="P1471" t="s">
        <v>45</v>
      </c>
      <c r="Q1471" t="s">
        <v>47</v>
      </c>
      <c r="R1471" t="s">
        <v>44</v>
      </c>
      <c r="S1471">
        <v>0</v>
      </c>
      <c r="W1471" s="3">
        <v>1.8518518518518518E-4</v>
      </c>
      <c r="X1471" t="s">
        <v>577</v>
      </c>
      <c r="Y1471">
        <v>2</v>
      </c>
      <c r="Z1471">
        <v>0</v>
      </c>
      <c r="AA1471" t="s">
        <v>49</v>
      </c>
      <c r="AB1471">
        <v>0</v>
      </c>
      <c r="AC1471" t="s">
        <v>49</v>
      </c>
      <c r="AD1471">
        <v>0</v>
      </c>
      <c r="AE1471">
        <v>11305173</v>
      </c>
      <c r="AF1471" t="s">
        <v>50</v>
      </c>
      <c r="AG1471" t="s">
        <v>493</v>
      </c>
    </row>
    <row r="1472" spans="1:33" x14ac:dyDescent="0.35">
      <c r="A1472" s="1">
        <v>44870.738194444442</v>
      </c>
      <c r="B1472">
        <v>6676544</v>
      </c>
      <c r="C1472" t="s">
        <v>3304</v>
      </c>
      <c r="D1472" t="s">
        <v>1101</v>
      </c>
      <c r="E1472" s="2">
        <v>44425</v>
      </c>
      <c r="F1472" t="str">
        <f>"9781526149107"</f>
        <v>9781526149107</v>
      </c>
      <c r="G1472" t="str">
        <f>"9781526149091"</f>
        <v>9781526149091</v>
      </c>
      <c r="H1472" t="s">
        <v>3305</v>
      </c>
      <c r="I1472">
        <v>330.95600000000002</v>
      </c>
      <c r="K1472" t="s">
        <v>55</v>
      </c>
      <c r="N1472" t="s">
        <v>79</v>
      </c>
      <c r="P1472" t="s">
        <v>950</v>
      </c>
      <c r="Q1472" t="s">
        <v>47</v>
      </c>
      <c r="R1472" t="s">
        <v>55</v>
      </c>
      <c r="S1472">
        <v>0</v>
      </c>
      <c r="W1472" s="3">
        <v>3.1030092592592592E-2</v>
      </c>
      <c r="X1472" t="s">
        <v>3306</v>
      </c>
      <c r="Y1472">
        <v>17</v>
      </c>
      <c r="Z1472">
        <v>0</v>
      </c>
      <c r="AA1472" t="s">
        <v>49</v>
      </c>
      <c r="AB1472">
        <v>0</v>
      </c>
      <c r="AC1472" t="s">
        <v>49</v>
      </c>
      <c r="AD1472">
        <v>0</v>
      </c>
      <c r="AE1472">
        <v>-1</v>
      </c>
      <c r="AF1472" t="s">
        <v>50</v>
      </c>
      <c r="AG1472" t="s">
        <v>2128</v>
      </c>
    </row>
    <row r="1473" spans="1:33" x14ac:dyDescent="0.35">
      <c r="A1473" s="1">
        <v>44870.738194444442</v>
      </c>
      <c r="B1473">
        <v>6190112</v>
      </c>
      <c r="C1473" t="s">
        <v>3307</v>
      </c>
      <c r="D1473" t="s">
        <v>507</v>
      </c>
      <c r="E1473" s="2">
        <v>44044</v>
      </c>
      <c r="F1473" t="str">
        <f>"9781474467063"</f>
        <v>9781474467063</v>
      </c>
      <c r="G1473" t="str">
        <f>"9781474467032"</f>
        <v>9781474467032</v>
      </c>
      <c r="H1473" t="s">
        <v>1069</v>
      </c>
      <c r="I1473">
        <v>809.39955999999995</v>
      </c>
      <c r="K1473" t="s">
        <v>55</v>
      </c>
      <c r="Q1473" t="s">
        <v>47</v>
      </c>
      <c r="R1473" t="s">
        <v>44</v>
      </c>
      <c r="S1473">
        <v>0</v>
      </c>
      <c r="W1473" s="3">
        <v>1.2407407407407409E-2</v>
      </c>
      <c r="X1473" t="s">
        <v>3308</v>
      </c>
      <c r="Y1473">
        <v>13</v>
      </c>
      <c r="Z1473">
        <v>0</v>
      </c>
      <c r="AA1473" t="s">
        <v>49</v>
      </c>
      <c r="AB1473">
        <v>0</v>
      </c>
      <c r="AC1473" t="s">
        <v>49</v>
      </c>
      <c r="AD1473">
        <v>0</v>
      </c>
      <c r="AE1473">
        <v>-1</v>
      </c>
      <c r="AF1473" t="s">
        <v>63</v>
      </c>
      <c r="AG1473" t="s">
        <v>493</v>
      </c>
    </row>
    <row r="1474" spans="1:33" x14ac:dyDescent="0.35">
      <c r="A1474" s="1">
        <v>44870.722222222219</v>
      </c>
      <c r="B1474">
        <v>4794591</v>
      </c>
      <c r="C1474" t="s">
        <v>3309</v>
      </c>
      <c r="D1474" t="s">
        <v>2018</v>
      </c>
      <c r="E1474" s="2">
        <v>42597</v>
      </c>
      <c r="F1474" t="str">
        <f>"9781909942783"</f>
        <v>9781909942783</v>
      </c>
      <c r="G1474" t="str">
        <f>"9781909942776"</f>
        <v>9781909942776</v>
      </c>
      <c r="H1474" t="s">
        <v>1069</v>
      </c>
      <c r="I1474" t="s">
        <v>3310</v>
      </c>
      <c r="J1474" t="s">
        <v>3311</v>
      </c>
      <c r="K1474" t="s">
        <v>44</v>
      </c>
      <c r="N1474" t="s">
        <v>45</v>
      </c>
      <c r="O1474" t="s">
        <v>46</v>
      </c>
      <c r="P1474" t="s">
        <v>45</v>
      </c>
      <c r="Q1474" t="s">
        <v>47</v>
      </c>
      <c r="R1474" t="s">
        <v>44</v>
      </c>
      <c r="S1474">
        <v>0</v>
      </c>
      <c r="W1474" s="3">
        <v>1.6782407407407409E-2</v>
      </c>
      <c r="X1474" t="s">
        <v>3312</v>
      </c>
      <c r="Y1474">
        <v>31</v>
      </c>
      <c r="Z1474">
        <v>0</v>
      </c>
      <c r="AA1474" t="s">
        <v>49</v>
      </c>
      <c r="AB1474">
        <v>0</v>
      </c>
      <c r="AC1474" t="s">
        <v>752</v>
      </c>
      <c r="AD1474">
        <v>1</v>
      </c>
      <c r="AE1474">
        <v>11335261</v>
      </c>
      <c r="AF1474" t="s">
        <v>63</v>
      </c>
      <c r="AG1474" t="s">
        <v>493</v>
      </c>
    </row>
    <row r="1475" spans="1:33" x14ac:dyDescent="0.35">
      <c r="A1475" s="1">
        <v>44870.667361111111</v>
      </c>
      <c r="B1475">
        <v>5884138</v>
      </c>
      <c r="C1475" t="s">
        <v>3313</v>
      </c>
      <c r="D1475" t="s">
        <v>76</v>
      </c>
      <c r="E1475" s="2">
        <v>43720</v>
      </c>
      <c r="F1475" t="str">
        <f>"9781000729733"</f>
        <v>9781000729733</v>
      </c>
      <c r="G1475" t="str">
        <f>"9780367417703"</f>
        <v>9780367417703</v>
      </c>
      <c r="H1475" t="s">
        <v>525</v>
      </c>
      <c r="I1475">
        <v>362.29300000000001</v>
      </c>
      <c r="J1475" t="s">
        <v>3314</v>
      </c>
      <c r="K1475" t="s">
        <v>55</v>
      </c>
      <c r="Q1475" t="s">
        <v>47</v>
      </c>
      <c r="R1475" t="s">
        <v>44</v>
      </c>
      <c r="S1475">
        <v>0</v>
      </c>
      <c r="W1475" s="3">
        <v>1.1458333333333333E-3</v>
      </c>
      <c r="X1475" t="s">
        <v>3315</v>
      </c>
      <c r="Y1475">
        <v>7</v>
      </c>
      <c r="Z1475">
        <v>0</v>
      </c>
      <c r="AA1475" t="s">
        <v>49</v>
      </c>
      <c r="AB1475">
        <v>0</v>
      </c>
      <c r="AC1475" t="s">
        <v>49</v>
      </c>
      <c r="AD1475">
        <v>0</v>
      </c>
      <c r="AE1475">
        <v>-1</v>
      </c>
      <c r="AF1475" t="s">
        <v>50</v>
      </c>
      <c r="AG1475" t="s">
        <v>2241</v>
      </c>
    </row>
    <row r="1476" spans="1:33" x14ac:dyDescent="0.35">
      <c r="A1476" s="1">
        <v>44870.665972222225</v>
      </c>
      <c r="B1476">
        <v>3386263</v>
      </c>
      <c r="C1476" t="s">
        <v>3316</v>
      </c>
      <c r="D1476" t="s">
        <v>2066</v>
      </c>
      <c r="E1476" s="2">
        <v>38980</v>
      </c>
      <c r="F1476" t="str">
        <f>"9781849643160"</f>
        <v>9781849643160</v>
      </c>
      <c r="G1476" t="str">
        <f>"9780745325668"</f>
        <v>9780745325668</v>
      </c>
      <c r="H1476" t="s">
        <v>667</v>
      </c>
      <c r="I1476">
        <v>956</v>
      </c>
      <c r="J1476" t="s">
        <v>3317</v>
      </c>
      <c r="K1476" t="s">
        <v>44</v>
      </c>
      <c r="N1476" t="s">
        <v>45</v>
      </c>
      <c r="O1476" t="s">
        <v>46</v>
      </c>
      <c r="P1476" t="s">
        <v>45</v>
      </c>
      <c r="Q1476" t="s">
        <v>47</v>
      </c>
      <c r="R1476" t="s">
        <v>44</v>
      </c>
      <c r="S1476">
        <v>0</v>
      </c>
      <c r="W1476" s="3">
        <v>4.4328703703703709E-3</v>
      </c>
      <c r="X1476" t="s">
        <v>3318</v>
      </c>
      <c r="Y1476">
        <v>11</v>
      </c>
      <c r="Z1476">
        <v>0</v>
      </c>
      <c r="AA1476" t="s">
        <v>49</v>
      </c>
      <c r="AB1476">
        <v>0</v>
      </c>
      <c r="AC1476" t="s">
        <v>49</v>
      </c>
      <c r="AD1476">
        <v>0</v>
      </c>
      <c r="AE1476">
        <v>10479771</v>
      </c>
      <c r="AF1476" t="s">
        <v>50</v>
      </c>
      <c r="AG1476" t="s">
        <v>3178</v>
      </c>
    </row>
    <row r="1477" spans="1:33" x14ac:dyDescent="0.35">
      <c r="A1477" s="1">
        <v>44870.665277777778</v>
      </c>
      <c r="B1477">
        <v>3443329</v>
      </c>
      <c r="C1477" t="s">
        <v>3319</v>
      </c>
      <c r="D1477" t="s">
        <v>2871</v>
      </c>
      <c r="E1477" s="2">
        <v>39022</v>
      </c>
      <c r="F1477" t="str">
        <f>"9780292795709"</f>
        <v>9780292795709</v>
      </c>
      <c r="G1477" t="str">
        <f>"9780292714151"</f>
        <v>9780292714151</v>
      </c>
      <c r="H1477" t="s">
        <v>667</v>
      </c>
      <c r="I1477" t="s">
        <v>3320</v>
      </c>
      <c r="J1477" t="s">
        <v>3321</v>
      </c>
      <c r="K1477" t="s">
        <v>44</v>
      </c>
      <c r="N1477" t="s">
        <v>45</v>
      </c>
      <c r="O1477" t="s">
        <v>46</v>
      </c>
      <c r="P1477" t="s">
        <v>45</v>
      </c>
      <c r="Q1477" t="s">
        <v>47</v>
      </c>
      <c r="R1477" t="s">
        <v>44</v>
      </c>
      <c r="S1477">
        <v>0</v>
      </c>
      <c r="W1477" s="3">
        <v>4.0509259259259258E-4</v>
      </c>
      <c r="X1477" t="s">
        <v>3322</v>
      </c>
      <c r="Y1477">
        <v>3</v>
      </c>
      <c r="Z1477">
        <v>0</v>
      </c>
      <c r="AA1477" t="s">
        <v>49</v>
      </c>
      <c r="AB1477">
        <v>0</v>
      </c>
      <c r="AC1477" t="s">
        <v>49</v>
      </c>
      <c r="AD1477">
        <v>0</v>
      </c>
      <c r="AE1477">
        <v>10245823</v>
      </c>
      <c r="AF1477" t="s">
        <v>50</v>
      </c>
      <c r="AG1477" t="s">
        <v>1536</v>
      </c>
    </row>
    <row r="1478" spans="1:33" x14ac:dyDescent="0.35">
      <c r="A1478" s="1">
        <v>44870.609027777777</v>
      </c>
      <c r="B1478">
        <v>3386273</v>
      </c>
      <c r="C1478" t="s">
        <v>3323</v>
      </c>
      <c r="D1478" t="s">
        <v>2066</v>
      </c>
      <c r="E1478" s="2">
        <v>39010</v>
      </c>
      <c r="F1478" t="str">
        <f>"9781849642408"</f>
        <v>9781849642408</v>
      </c>
      <c r="G1478" t="str">
        <f>"9780745322353"</f>
        <v>9780745322353</v>
      </c>
      <c r="H1478" t="s">
        <v>667</v>
      </c>
      <c r="I1478">
        <v>956.04</v>
      </c>
      <c r="J1478" t="s">
        <v>3324</v>
      </c>
      <c r="K1478" t="s">
        <v>44</v>
      </c>
      <c r="N1478" t="s">
        <v>45</v>
      </c>
      <c r="O1478" t="s">
        <v>46</v>
      </c>
      <c r="P1478" t="s">
        <v>45</v>
      </c>
      <c r="Q1478" t="s">
        <v>47</v>
      </c>
      <c r="R1478" t="s">
        <v>44</v>
      </c>
      <c r="S1478">
        <v>0</v>
      </c>
      <c r="W1478" s="3">
        <v>3.37962962962963E-3</v>
      </c>
      <c r="X1478" t="s">
        <v>3325</v>
      </c>
      <c r="Y1478">
        <v>5</v>
      </c>
      <c r="Z1478">
        <v>0</v>
      </c>
      <c r="AA1478" t="s">
        <v>49</v>
      </c>
      <c r="AB1478">
        <v>0</v>
      </c>
      <c r="AC1478" t="s">
        <v>49</v>
      </c>
      <c r="AD1478">
        <v>0</v>
      </c>
      <c r="AE1478">
        <v>10479788</v>
      </c>
      <c r="AF1478" t="s">
        <v>50</v>
      </c>
      <c r="AG1478" t="s">
        <v>630</v>
      </c>
    </row>
    <row r="1479" spans="1:33" x14ac:dyDescent="0.35">
      <c r="A1479" s="1">
        <v>44870.609027777777</v>
      </c>
      <c r="B1479">
        <v>467565</v>
      </c>
      <c r="C1479" t="s">
        <v>3326</v>
      </c>
      <c r="D1479" t="s">
        <v>473</v>
      </c>
      <c r="E1479" s="2">
        <v>39926</v>
      </c>
      <c r="F1479" t="str">
        <f>"9789047428787"</f>
        <v>9789047428787</v>
      </c>
      <c r="G1479" t="str">
        <f>"9789004175341"</f>
        <v>9789004175341</v>
      </c>
      <c r="H1479" t="s">
        <v>3327</v>
      </c>
      <c r="I1479">
        <v>956.04</v>
      </c>
      <c r="J1479" t="s">
        <v>3328</v>
      </c>
      <c r="K1479" t="s">
        <v>44</v>
      </c>
      <c r="N1479" t="s">
        <v>45</v>
      </c>
      <c r="O1479" t="s">
        <v>46</v>
      </c>
      <c r="P1479" t="s">
        <v>45</v>
      </c>
      <c r="Q1479" t="s">
        <v>47</v>
      </c>
      <c r="R1479" t="s">
        <v>44</v>
      </c>
      <c r="S1479">
        <v>0</v>
      </c>
      <c r="W1479" s="3">
        <v>2.6504629629629625E-3</v>
      </c>
      <c r="X1479" t="s">
        <v>3329</v>
      </c>
      <c r="Y1479">
        <v>7</v>
      </c>
      <c r="Z1479">
        <v>0</v>
      </c>
      <c r="AA1479" t="s">
        <v>49</v>
      </c>
      <c r="AB1479">
        <v>0</v>
      </c>
      <c r="AC1479" t="s">
        <v>3330</v>
      </c>
      <c r="AD1479">
        <v>2</v>
      </c>
      <c r="AE1479">
        <v>10349309</v>
      </c>
      <c r="AF1479" t="s">
        <v>50</v>
      </c>
      <c r="AG1479" t="s">
        <v>630</v>
      </c>
    </row>
    <row r="1480" spans="1:33" x14ac:dyDescent="0.35">
      <c r="A1480" s="1">
        <v>44870.600694444445</v>
      </c>
      <c r="B1480">
        <v>1069079</v>
      </c>
      <c r="C1480" t="s">
        <v>3283</v>
      </c>
      <c r="D1480" t="s">
        <v>507</v>
      </c>
      <c r="E1480" s="2">
        <v>41108</v>
      </c>
      <c r="F1480" t="str">
        <f>"9780748669189"</f>
        <v>9780748669189</v>
      </c>
      <c r="G1480" t="str">
        <f>"9780748639267"</f>
        <v>9780748639267</v>
      </c>
      <c r="H1480" t="s">
        <v>1069</v>
      </c>
      <c r="I1480">
        <v>892.73609350000004</v>
      </c>
      <c r="J1480" t="s">
        <v>3284</v>
      </c>
      <c r="K1480" t="s">
        <v>44</v>
      </c>
      <c r="N1480" t="s">
        <v>45</v>
      </c>
      <c r="O1480" t="s">
        <v>46</v>
      </c>
      <c r="P1480" t="s">
        <v>45</v>
      </c>
      <c r="Q1480" t="s">
        <v>47</v>
      </c>
      <c r="R1480" t="s">
        <v>44</v>
      </c>
      <c r="S1480">
        <v>0</v>
      </c>
      <c r="W1480" s="3">
        <v>5.8564814814814825E-3</v>
      </c>
      <c r="X1480" t="s">
        <v>3331</v>
      </c>
      <c r="Y1480">
        <v>3</v>
      </c>
      <c r="Z1480">
        <v>0</v>
      </c>
      <c r="AA1480" t="s">
        <v>49</v>
      </c>
      <c r="AB1480">
        <v>0</v>
      </c>
      <c r="AC1480" t="s">
        <v>49</v>
      </c>
      <c r="AD1480">
        <v>0</v>
      </c>
      <c r="AE1480">
        <v>10624598</v>
      </c>
      <c r="AF1480" t="s">
        <v>50</v>
      </c>
      <c r="AG1480" t="s">
        <v>493</v>
      </c>
    </row>
    <row r="1481" spans="1:33" x14ac:dyDescent="0.35">
      <c r="A1481" s="1">
        <v>44870.570138888892</v>
      </c>
      <c r="B1481">
        <v>1446433</v>
      </c>
      <c r="C1481" t="s">
        <v>597</v>
      </c>
      <c r="D1481" t="s">
        <v>76</v>
      </c>
      <c r="E1481" s="2">
        <v>40491</v>
      </c>
      <c r="F1481" t="str">
        <f>"9781439895092"</f>
        <v>9781439895092</v>
      </c>
      <c r="G1481" t="str">
        <f>"9781420061918"</f>
        <v>9781420061918</v>
      </c>
      <c r="H1481" t="s">
        <v>261</v>
      </c>
      <c r="I1481">
        <v>628.16200000000003</v>
      </c>
      <c r="J1481" t="s">
        <v>598</v>
      </c>
      <c r="K1481" t="s">
        <v>44</v>
      </c>
      <c r="N1481" t="s">
        <v>45</v>
      </c>
      <c r="O1481" t="s">
        <v>46</v>
      </c>
      <c r="P1481" t="s">
        <v>45</v>
      </c>
      <c r="Q1481" t="s">
        <v>47</v>
      </c>
      <c r="R1481" t="s">
        <v>44</v>
      </c>
      <c r="S1481">
        <v>0</v>
      </c>
      <c r="W1481" s="3">
        <v>1.3287037037037036E-2</v>
      </c>
      <c r="X1481" t="s">
        <v>3332</v>
      </c>
      <c r="Y1481">
        <v>17</v>
      </c>
      <c r="Z1481">
        <v>0</v>
      </c>
      <c r="AA1481" t="s">
        <v>49</v>
      </c>
      <c r="AB1481">
        <v>0</v>
      </c>
      <c r="AC1481" t="s">
        <v>49</v>
      </c>
      <c r="AD1481">
        <v>0</v>
      </c>
      <c r="AE1481">
        <v>11166019</v>
      </c>
      <c r="AF1481" t="s">
        <v>50</v>
      </c>
      <c r="AG1481" t="s">
        <v>388</v>
      </c>
    </row>
    <row r="1482" spans="1:33" x14ac:dyDescent="0.35">
      <c r="A1482" s="1">
        <v>44870.560416666667</v>
      </c>
      <c r="B1482">
        <v>848526</v>
      </c>
      <c r="C1482" t="s">
        <v>2541</v>
      </c>
      <c r="D1482" t="s">
        <v>59</v>
      </c>
      <c r="E1482" s="2">
        <v>41212</v>
      </c>
      <c r="F1482" t="str">
        <f>"9781118310069"</f>
        <v>9781118310069</v>
      </c>
      <c r="G1482" t="str">
        <f>"9780470566671"</f>
        <v>9780470566671</v>
      </c>
      <c r="H1482" t="s">
        <v>2542</v>
      </c>
      <c r="I1482">
        <v>610.28</v>
      </c>
      <c r="J1482" t="s">
        <v>2543</v>
      </c>
      <c r="K1482" t="s">
        <v>44</v>
      </c>
      <c r="N1482" t="s">
        <v>45</v>
      </c>
      <c r="O1482" t="s">
        <v>46</v>
      </c>
      <c r="P1482" t="s">
        <v>45</v>
      </c>
      <c r="Q1482" t="s">
        <v>47</v>
      </c>
      <c r="R1482" t="s">
        <v>44</v>
      </c>
      <c r="S1482">
        <v>0</v>
      </c>
      <c r="W1482" s="3">
        <v>1.6782407407407409E-2</v>
      </c>
      <c r="X1482" t="s">
        <v>3333</v>
      </c>
      <c r="Y1482">
        <v>19</v>
      </c>
      <c r="Z1482">
        <v>3</v>
      </c>
      <c r="AA1482" t="s">
        <v>3334</v>
      </c>
      <c r="AB1482">
        <v>78</v>
      </c>
      <c r="AC1482" t="s">
        <v>49</v>
      </c>
      <c r="AD1482">
        <v>0</v>
      </c>
      <c r="AE1482">
        <v>10615085</v>
      </c>
      <c r="AF1482" t="s">
        <v>50</v>
      </c>
      <c r="AG1482" t="s">
        <v>388</v>
      </c>
    </row>
    <row r="1483" spans="1:33" x14ac:dyDescent="0.35">
      <c r="A1483" s="1">
        <v>44870.558333333334</v>
      </c>
      <c r="B1483">
        <v>1069079</v>
      </c>
      <c r="C1483" t="s">
        <v>3283</v>
      </c>
      <c r="D1483" t="s">
        <v>507</v>
      </c>
      <c r="E1483" s="2">
        <v>41108</v>
      </c>
      <c r="F1483" t="str">
        <f>"9780748669189"</f>
        <v>9780748669189</v>
      </c>
      <c r="G1483" t="str">
        <f>"9780748639267"</f>
        <v>9780748639267</v>
      </c>
      <c r="H1483" t="s">
        <v>1069</v>
      </c>
      <c r="I1483">
        <v>892.73609350000004</v>
      </c>
      <c r="J1483" t="s">
        <v>3284</v>
      </c>
      <c r="K1483" t="s">
        <v>44</v>
      </c>
      <c r="N1483" t="s">
        <v>45</v>
      </c>
      <c r="O1483" t="s">
        <v>46</v>
      </c>
      <c r="P1483" t="s">
        <v>45</v>
      </c>
      <c r="Q1483" t="s">
        <v>47</v>
      </c>
      <c r="R1483" t="s">
        <v>44</v>
      </c>
      <c r="S1483">
        <v>0</v>
      </c>
      <c r="W1483" s="3">
        <v>3.2407407407407406E-4</v>
      </c>
      <c r="X1483" t="s">
        <v>3335</v>
      </c>
      <c r="Y1483">
        <v>7</v>
      </c>
      <c r="Z1483">
        <v>0</v>
      </c>
      <c r="AA1483" t="s">
        <v>49</v>
      </c>
      <c r="AB1483">
        <v>0</v>
      </c>
      <c r="AC1483" t="s">
        <v>49</v>
      </c>
      <c r="AD1483">
        <v>0</v>
      </c>
      <c r="AE1483">
        <v>10624598</v>
      </c>
      <c r="AF1483" t="s">
        <v>63</v>
      </c>
      <c r="AG1483" t="s">
        <v>493</v>
      </c>
    </row>
    <row r="1484" spans="1:33" x14ac:dyDescent="0.35">
      <c r="A1484" s="1">
        <v>44870.51458333333</v>
      </c>
      <c r="B1484">
        <v>5493325</v>
      </c>
      <c r="C1484" t="s">
        <v>3336</v>
      </c>
      <c r="D1484" t="s">
        <v>769</v>
      </c>
      <c r="E1484" s="2">
        <v>43355</v>
      </c>
      <c r="F1484" t="str">
        <f>"9781351978972"</f>
        <v>9781351978972</v>
      </c>
      <c r="G1484" t="str">
        <f>"9781138035119"</f>
        <v>9781138035119</v>
      </c>
      <c r="H1484" t="s">
        <v>43</v>
      </c>
      <c r="I1484" t="s">
        <v>3337</v>
      </c>
      <c r="J1484" t="s">
        <v>3338</v>
      </c>
      <c r="K1484" t="s">
        <v>55</v>
      </c>
      <c r="Q1484" t="s">
        <v>47</v>
      </c>
      <c r="R1484" t="s">
        <v>44</v>
      </c>
      <c r="S1484">
        <v>0</v>
      </c>
      <c r="W1484" s="3">
        <v>0</v>
      </c>
      <c r="X1484" t="s">
        <v>49</v>
      </c>
      <c r="Y1484">
        <v>0</v>
      </c>
      <c r="Z1484">
        <v>0</v>
      </c>
      <c r="AA1484" t="s">
        <v>49</v>
      </c>
      <c r="AB1484">
        <v>0</v>
      </c>
      <c r="AC1484" t="s">
        <v>49</v>
      </c>
      <c r="AD1484">
        <v>0</v>
      </c>
      <c r="AE1484">
        <v>-1</v>
      </c>
      <c r="AF1484" t="s">
        <v>63</v>
      </c>
      <c r="AG1484" t="s">
        <v>264</v>
      </c>
    </row>
    <row r="1485" spans="1:33" x14ac:dyDescent="0.35">
      <c r="A1485" s="1">
        <v>44870.421527777777</v>
      </c>
      <c r="B1485">
        <v>6260886</v>
      </c>
      <c r="C1485" t="s">
        <v>3339</v>
      </c>
      <c r="D1485" t="s">
        <v>969</v>
      </c>
      <c r="E1485" s="2">
        <v>43006</v>
      </c>
      <c r="F1485" t="str">
        <f>"9781683730637"</f>
        <v>9781683730637</v>
      </c>
      <c r="G1485" t="str">
        <f>"9781683730620"</f>
        <v>9781683730620</v>
      </c>
      <c r="H1485" t="s">
        <v>244</v>
      </c>
      <c r="I1485">
        <v>158.13</v>
      </c>
      <c r="J1485" t="s">
        <v>3340</v>
      </c>
      <c r="K1485" t="s">
        <v>44</v>
      </c>
      <c r="N1485" t="s">
        <v>45</v>
      </c>
      <c r="O1485" t="s">
        <v>46</v>
      </c>
      <c r="P1485" t="s">
        <v>45</v>
      </c>
      <c r="Q1485" t="s">
        <v>47</v>
      </c>
      <c r="R1485" t="s">
        <v>44</v>
      </c>
      <c r="S1485">
        <v>0</v>
      </c>
      <c r="W1485" s="3">
        <v>1.2731481481481483E-3</v>
      </c>
      <c r="X1485" t="s">
        <v>3341</v>
      </c>
      <c r="Y1485">
        <v>9</v>
      </c>
      <c r="Z1485">
        <v>0</v>
      </c>
      <c r="AA1485" t="s">
        <v>49</v>
      </c>
      <c r="AB1485">
        <v>0</v>
      </c>
      <c r="AC1485" t="s">
        <v>49</v>
      </c>
      <c r="AD1485">
        <v>0</v>
      </c>
      <c r="AE1485">
        <v>-1</v>
      </c>
      <c r="AF1485" t="s">
        <v>50</v>
      </c>
      <c r="AG1485" t="s">
        <v>3342</v>
      </c>
    </row>
    <row r="1486" spans="1:33" x14ac:dyDescent="0.35">
      <c r="A1486" s="1">
        <v>44870.401388888888</v>
      </c>
      <c r="B1486">
        <v>279494</v>
      </c>
      <c r="C1486" t="s">
        <v>1333</v>
      </c>
      <c r="D1486" t="s">
        <v>125</v>
      </c>
      <c r="E1486" s="2">
        <v>37280</v>
      </c>
      <c r="F1486" t="str">
        <f>"9780198032953"</f>
        <v>9780198032953</v>
      </c>
      <c r="G1486" t="str">
        <f>"9780195144208"</f>
        <v>9780195144208</v>
      </c>
      <c r="H1486" t="s">
        <v>667</v>
      </c>
      <c r="I1486" t="s">
        <v>1334</v>
      </c>
      <c r="J1486" t="s">
        <v>1335</v>
      </c>
      <c r="K1486" t="s">
        <v>44</v>
      </c>
      <c r="N1486" t="s">
        <v>45</v>
      </c>
      <c r="O1486" t="s">
        <v>46</v>
      </c>
      <c r="P1486" t="s">
        <v>45</v>
      </c>
      <c r="Q1486" t="s">
        <v>47</v>
      </c>
      <c r="R1486" t="s">
        <v>44</v>
      </c>
      <c r="S1486">
        <v>0</v>
      </c>
      <c r="W1486" s="3">
        <v>9.6597222222222223E-2</v>
      </c>
      <c r="X1486" t="s">
        <v>3343</v>
      </c>
      <c r="Y1486">
        <v>68</v>
      </c>
      <c r="Z1486">
        <v>0</v>
      </c>
      <c r="AA1486" t="s">
        <v>49</v>
      </c>
      <c r="AB1486">
        <v>0</v>
      </c>
      <c r="AC1486" t="s">
        <v>2197</v>
      </c>
      <c r="AD1486">
        <v>1</v>
      </c>
      <c r="AE1486">
        <v>11303309</v>
      </c>
      <c r="AF1486" t="s">
        <v>63</v>
      </c>
      <c r="AG1486" t="s">
        <v>3344</v>
      </c>
    </row>
    <row r="1487" spans="1:33" x14ac:dyDescent="0.35">
      <c r="A1487" s="1">
        <v>44870.155555555553</v>
      </c>
      <c r="B1487">
        <v>1069079</v>
      </c>
      <c r="C1487" t="s">
        <v>3283</v>
      </c>
      <c r="D1487" t="s">
        <v>507</v>
      </c>
      <c r="E1487" s="2">
        <v>41108</v>
      </c>
      <c r="F1487" t="str">
        <f>"9780748669189"</f>
        <v>9780748669189</v>
      </c>
      <c r="G1487" t="str">
        <f>"9780748639267"</f>
        <v>9780748639267</v>
      </c>
      <c r="H1487" t="s">
        <v>1069</v>
      </c>
      <c r="I1487">
        <v>892.73609350000004</v>
      </c>
      <c r="J1487" t="s">
        <v>3284</v>
      </c>
      <c r="K1487" t="s">
        <v>44</v>
      </c>
      <c r="N1487" t="s">
        <v>45</v>
      </c>
      <c r="O1487" t="s">
        <v>46</v>
      </c>
      <c r="P1487" t="s">
        <v>45</v>
      </c>
      <c r="Q1487" t="s">
        <v>47</v>
      </c>
      <c r="R1487" t="s">
        <v>44</v>
      </c>
      <c r="S1487">
        <v>0</v>
      </c>
      <c r="W1487" s="3">
        <v>1.9305555555555555E-2</v>
      </c>
      <c r="X1487" t="s">
        <v>3345</v>
      </c>
      <c r="Y1487">
        <v>9</v>
      </c>
      <c r="Z1487">
        <v>0</v>
      </c>
      <c r="AA1487" t="s">
        <v>49</v>
      </c>
      <c r="AB1487">
        <v>0</v>
      </c>
      <c r="AC1487" t="s">
        <v>3346</v>
      </c>
      <c r="AD1487">
        <v>5</v>
      </c>
      <c r="AE1487">
        <v>10624598</v>
      </c>
      <c r="AF1487" t="s">
        <v>50</v>
      </c>
      <c r="AG1487" t="s">
        <v>493</v>
      </c>
    </row>
    <row r="1488" spans="1:33" x14ac:dyDescent="0.35">
      <c r="A1488" s="1">
        <v>44870.154861111114</v>
      </c>
      <c r="B1488">
        <v>3114742</v>
      </c>
      <c r="C1488" t="s">
        <v>3347</v>
      </c>
      <c r="D1488" t="s">
        <v>336</v>
      </c>
      <c r="E1488" s="2">
        <v>39614</v>
      </c>
      <c r="F1488" t="str">
        <f>"9781936190348"</f>
        <v>9781936190348</v>
      </c>
      <c r="G1488" t="str">
        <f>"9789774161513"</f>
        <v>9789774161513</v>
      </c>
      <c r="H1488" t="s">
        <v>1069</v>
      </c>
      <c r="I1488">
        <v>892.72</v>
      </c>
      <c r="J1488" t="s">
        <v>3348</v>
      </c>
      <c r="K1488" t="s">
        <v>44</v>
      </c>
      <c r="N1488" t="s">
        <v>45</v>
      </c>
      <c r="O1488" t="s">
        <v>46</v>
      </c>
      <c r="P1488" t="s">
        <v>45</v>
      </c>
      <c r="Q1488" t="s">
        <v>47</v>
      </c>
      <c r="R1488" t="s">
        <v>44</v>
      </c>
      <c r="S1488">
        <v>0</v>
      </c>
      <c r="W1488" s="3">
        <v>9.6759259259259264E-3</v>
      </c>
      <c r="X1488" t="s">
        <v>3349</v>
      </c>
      <c r="Y1488">
        <v>11</v>
      </c>
      <c r="Z1488">
        <v>0</v>
      </c>
      <c r="AA1488" t="s">
        <v>49</v>
      </c>
      <c r="AB1488">
        <v>0</v>
      </c>
      <c r="AC1488" t="s">
        <v>49</v>
      </c>
      <c r="AD1488">
        <v>0</v>
      </c>
      <c r="AE1488">
        <v>10409553</v>
      </c>
      <c r="AF1488" t="s">
        <v>50</v>
      </c>
      <c r="AG1488" t="s">
        <v>493</v>
      </c>
    </row>
    <row r="1489" spans="1:33" x14ac:dyDescent="0.35">
      <c r="A1489" s="1">
        <v>44870.097916666666</v>
      </c>
      <c r="B1489">
        <v>330197</v>
      </c>
      <c r="C1489" t="s">
        <v>981</v>
      </c>
      <c r="D1489" t="s">
        <v>65</v>
      </c>
      <c r="E1489" s="2">
        <v>39399</v>
      </c>
      <c r="F1489" t="str">
        <f>"9780080554761"</f>
        <v>9780080554761</v>
      </c>
      <c r="G1489" t="str">
        <f>"9780750686204"</f>
        <v>9780750686204</v>
      </c>
      <c r="H1489" t="s">
        <v>3350</v>
      </c>
      <c r="I1489">
        <v>621.44000000000005</v>
      </c>
      <c r="J1489" t="s">
        <v>3351</v>
      </c>
      <c r="K1489" t="s">
        <v>44</v>
      </c>
      <c r="N1489" t="s">
        <v>45</v>
      </c>
      <c r="O1489" t="s">
        <v>46</v>
      </c>
      <c r="P1489" t="s">
        <v>45</v>
      </c>
      <c r="Q1489" t="s">
        <v>47</v>
      </c>
      <c r="R1489" t="s">
        <v>44</v>
      </c>
      <c r="S1489">
        <v>0</v>
      </c>
      <c r="W1489" s="3">
        <v>1.7939814814814815E-3</v>
      </c>
      <c r="X1489" t="s">
        <v>3352</v>
      </c>
      <c r="Y1489">
        <v>12</v>
      </c>
      <c r="Z1489">
        <v>0</v>
      </c>
      <c r="AA1489" t="s">
        <v>49</v>
      </c>
      <c r="AB1489">
        <v>0</v>
      </c>
      <c r="AC1489" t="s">
        <v>49</v>
      </c>
      <c r="AD1489">
        <v>0</v>
      </c>
      <c r="AE1489">
        <v>10196338</v>
      </c>
      <c r="AF1489" t="s">
        <v>50</v>
      </c>
      <c r="AG1489" t="s">
        <v>871</v>
      </c>
    </row>
    <row r="1490" spans="1:33" x14ac:dyDescent="0.35">
      <c r="A1490" s="1">
        <v>44870.093055555553</v>
      </c>
      <c r="B1490">
        <v>3114742</v>
      </c>
      <c r="C1490" t="s">
        <v>3347</v>
      </c>
      <c r="D1490" t="s">
        <v>336</v>
      </c>
      <c r="E1490" s="2">
        <v>39614</v>
      </c>
      <c r="F1490" t="str">
        <f>"9781936190348"</f>
        <v>9781936190348</v>
      </c>
      <c r="G1490" t="str">
        <f>"9789774161513"</f>
        <v>9789774161513</v>
      </c>
      <c r="H1490" t="s">
        <v>1069</v>
      </c>
      <c r="I1490">
        <v>892.72</v>
      </c>
      <c r="J1490" t="s">
        <v>3348</v>
      </c>
      <c r="K1490" t="s">
        <v>44</v>
      </c>
      <c r="N1490" t="s">
        <v>45</v>
      </c>
      <c r="O1490" t="s">
        <v>46</v>
      </c>
      <c r="P1490" t="s">
        <v>45</v>
      </c>
      <c r="Q1490" t="s">
        <v>47</v>
      </c>
      <c r="R1490" t="s">
        <v>44</v>
      </c>
      <c r="S1490">
        <v>0</v>
      </c>
      <c r="W1490" s="3">
        <v>2.3090277777777779E-2</v>
      </c>
      <c r="X1490" t="s">
        <v>3353</v>
      </c>
      <c r="Y1490">
        <v>14</v>
      </c>
      <c r="Z1490">
        <v>0</v>
      </c>
      <c r="AA1490" t="s">
        <v>49</v>
      </c>
      <c r="AB1490">
        <v>0</v>
      </c>
      <c r="AC1490" t="s">
        <v>3354</v>
      </c>
      <c r="AD1490">
        <v>2</v>
      </c>
      <c r="AE1490">
        <v>10409553</v>
      </c>
      <c r="AF1490" t="s">
        <v>63</v>
      </c>
      <c r="AG1490" t="s">
        <v>493</v>
      </c>
    </row>
    <row r="1491" spans="1:33" x14ac:dyDescent="0.35">
      <c r="A1491" s="1">
        <v>44870.085416666669</v>
      </c>
      <c r="B1491">
        <v>5719694</v>
      </c>
      <c r="C1491" t="s">
        <v>1661</v>
      </c>
      <c r="D1491" t="s">
        <v>65</v>
      </c>
      <c r="E1491" s="2">
        <v>43522</v>
      </c>
      <c r="F1491" t="str">
        <f>"9780128182550"</f>
        <v>9780128182550</v>
      </c>
      <c r="G1491" t="str">
        <f>"9780081026311"</f>
        <v>9780081026311</v>
      </c>
      <c r="H1491" t="s">
        <v>1662</v>
      </c>
      <c r="I1491" t="s">
        <v>1663</v>
      </c>
      <c r="J1491" t="s">
        <v>1664</v>
      </c>
      <c r="K1491" t="s">
        <v>55</v>
      </c>
      <c r="Q1491" t="s">
        <v>47</v>
      </c>
      <c r="R1491" t="s">
        <v>44</v>
      </c>
      <c r="S1491">
        <v>0</v>
      </c>
      <c r="W1491" s="3">
        <v>2.9166666666666668E-3</v>
      </c>
      <c r="X1491" t="s">
        <v>3355</v>
      </c>
      <c r="Y1491">
        <v>11</v>
      </c>
      <c r="Z1491">
        <v>0</v>
      </c>
      <c r="AA1491" t="s">
        <v>49</v>
      </c>
      <c r="AB1491">
        <v>0</v>
      </c>
      <c r="AC1491" t="s">
        <v>49</v>
      </c>
      <c r="AD1491">
        <v>0</v>
      </c>
      <c r="AE1491">
        <v>11656711</v>
      </c>
      <c r="AF1491" t="s">
        <v>50</v>
      </c>
      <c r="AG1491" t="s">
        <v>871</v>
      </c>
    </row>
    <row r="1492" spans="1:33" x14ac:dyDescent="0.35">
      <c r="A1492" s="1">
        <v>44870.072916666664</v>
      </c>
      <c r="B1492">
        <v>1069079</v>
      </c>
      <c r="C1492" t="s">
        <v>3283</v>
      </c>
      <c r="D1492" t="s">
        <v>507</v>
      </c>
      <c r="E1492" s="2">
        <v>41108</v>
      </c>
      <c r="F1492" t="str">
        <f>"9780748669189"</f>
        <v>9780748669189</v>
      </c>
      <c r="G1492" t="str">
        <f>"9780748639267"</f>
        <v>9780748639267</v>
      </c>
      <c r="H1492" t="s">
        <v>1069</v>
      </c>
      <c r="I1492">
        <v>892.73609350000004</v>
      </c>
      <c r="J1492" t="s">
        <v>3284</v>
      </c>
      <c r="K1492" t="s">
        <v>44</v>
      </c>
      <c r="N1492" t="s">
        <v>45</v>
      </c>
      <c r="O1492" t="s">
        <v>46</v>
      </c>
      <c r="P1492" t="s">
        <v>45</v>
      </c>
      <c r="Q1492" t="s">
        <v>47</v>
      </c>
      <c r="R1492" t="s">
        <v>44</v>
      </c>
      <c r="S1492">
        <v>0</v>
      </c>
      <c r="W1492" s="3">
        <v>5.4039351851851852E-2</v>
      </c>
      <c r="X1492" t="s">
        <v>3356</v>
      </c>
      <c r="Y1492">
        <v>19</v>
      </c>
      <c r="Z1492">
        <v>0</v>
      </c>
      <c r="AA1492" t="s">
        <v>49</v>
      </c>
      <c r="AB1492">
        <v>0</v>
      </c>
      <c r="AC1492" t="s">
        <v>3357</v>
      </c>
      <c r="AD1492">
        <v>3</v>
      </c>
      <c r="AE1492">
        <v>10624598</v>
      </c>
      <c r="AF1492" t="s">
        <v>63</v>
      </c>
      <c r="AG1492" t="s">
        <v>493</v>
      </c>
    </row>
    <row r="1493" spans="1:33" x14ac:dyDescent="0.35">
      <c r="A1493" s="1">
        <v>44870.022916666669</v>
      </c>
      <c r="B1493">
        <v>4691387</v>
      </c>
      <c r="C1493" t="s">
        <v>3358</v>
      </c>
      <c r="D1493" t="s">
        <v>115</v>
      </c>
      <c r="E1493" s="2">
        <v>42625</v>
      </c>
      <c r="F1493" t="str">
        <f>"9781614519089"</f>
        <v>9781614519089</v>
      </c>
      <c r="G1493" t="str">
        <f>"9781614519133"</f>
        <v>9781614519133</v>
      </c>
      <c r="H1493" t="s">
        <v>1046</v>
      </c>
      <c r="I1493">
        <v>305.40956699999998</v>
      </c>
      <c r="J1493" t="s">
        <v>3359</v>
      </c>
      <c r="K1493" t="s">
        <v>44</v>
      </c>
      <c r="N1493" t="s">
        <v>45</v>
      </c>
      <c r="O1493" t="s">
        <v>46</v>
      </c>
      <c r="P1493" t="s">
        <v>45</v>
      </c>
      <c r="Q1493" t="s">
        <v>47</v>
      </c>
      <c r="R1493" t="s">
        <v>44</v>
      </c>
      <c r="S1493">
        <v>0</v>
      </c>
      <c r="W1493" s="3">
        <v>2.8935185185185189E-4</v>
      </c>
      <c r="X1493" t="s">
        <v>3360</v>
      </c>
      <c r="Y1493">
        <v>4</v>
      </c>
      <c r="Z1493">
        <v>0</v>
      </c>
      <c r="AA1493" t="s">
        <v>49</v>
      </c>
      <c r="AB1493">
        <v>0</v>
      </c>
      <c r="AC1493" t="s">
        <v>49</v>
      </c>
      <c r="AD1493">
        <v>0</v>
      </c>
      <c r="AE1493">
        <v>11268018</v>
      </c>
      <c r="AF1493" t="s">
        <v>50</v>
      </c>
      <c r="AG1493" t="s">
        <v>1355</v>
      </c>
    </row>
    <row r="1494" spans="1:33" x14ac:dyDescent="0.35">
      <c r="A1494" s="1">
        <v>44869.981944444444</v>
      </c>
      <c r="B1494">
        <v>1069079</v>
      </c>
      <c r="C1494" t="s">
        <v>3283</v>
      </c>
      <c r="D1494" t="s">
        <v>507</v>
      </c>
      <c r="E1494" s="2">
        <v>41108</v>
      </c>
      <c r="F1494" t="str">
        <f>"9780748669189"</f>
        <v>9780748669189</v>
      </c>
      <c r="G1494" t="str">
        <f>"9780748639267"</f>
        <v>9780748639267</v>
      </c>
      <c r="H1494" t="s">
        <v>1069</v>
      </c>
      <c r="I1494">
        <v>892.73609350000004</v>
      </c>
      <c r="J1494" t="s">
        <v>3284</v>
      </c>
      <c r="K1494" t="s">
        <v>44</v>
      </c>
      <c r="N1494" t="s">
        <v>45</v>
      </c>
      <c r="O1494" t="s">
        <v>46</v>
      </c>
      <c r="P1494" t="s">
        <v>45</v>
      </c>
      <c r="Q1494" t="s">
        <v>47</v>
      </c>
      <c r="R1494" t="s">
        <v>44</v>
      </c>
      <c r="S1494">
        <v>0</v>
      </c>
      <c r="W1494" s="3">
        <v>2.5243055555555557E-2</v>
      </c>
      <c r="X1494" t="s">
        <v>3361</v>
      </c>
      <c r="Y1494">
        <v>70</v>
      </c>
      <c r="Z1494">
        <v>0</v>
      </c>
      <c r="AA1494" t="s">
        <v>49</v>
      </c>
      <c r="AB1494">
        <v>0</v>
      </c>
      <c r="AC1494" t="s">
        <v>3362</v>
      </c>
      <c r="AD1494">
        <v>3</v>
      </c>
      <c r="AE1494">
        <v>10624598</v>
      </c>
      <c r="AF1494" t="s">
        <v>50</v>
      </c>
      <c r="AG1494" t="s">
        <v>493</v>
      </c>
    </row>
    <row r="1495" spans="1:33" x14ac:dyDescent="0.35">
      <c r="A1495" s="1">
        <v>44869.962500000001</v>
      </c>
      <c r="B1495">
        <v>1143822</v>
      </c>
      <c r="C1495" t="s">
        <v>3185</v>
      </c>
      <c r="D1495" t="s">
        <v>76</v>
      </c>
      <c r="E1495" s="2">
        <v>41248</v>
      </c>
      <c r="F1495" t="str">
        <f>"9781136160691"</f>
        <v>9781136160691</v>
      </c>
      <c r="G1495" t="str">
        <f>"9780415778626"</f>
        <v>9780415778626</v>
      </c>
      <c r="H1495" t="s">
        <v>667</v>
      </c>
      <c r="I1495">
        <v>956.04</v>
      </c>
      <c r="J1495" t="s">
        <v>3186</v>
      </c>
      <c r="K1495" t="s">
        <v>44</v>
      </c>
      <c r="N1495" t="s">
        <v>45</v>
      </c>
      <c r="O1495" t="s">
        <v>46</v>
      </c>
      <c r="P1495" t="s">
        <v>45</v>
      </c>
      <c r="Q1495" t="s">
        <v>47</v>
      </c>
      <c r="R1495" t="s">
        <v>44</v>
      </c>
      <c r="S1495">
        <v>0</v>
      </c>
      <c r="W1495" s="3">
        <v>2.3611111111111111E-3</v>
      </c>
      <c r="X1495" t="s">
        <v>3363</v>
      </c>
      <c r="Y1495">
        <v>16</v>
      </c>
      <c r="Z1495">
        <v>1</v>
      </c>
      <c r="AA1495" t="s">
        <v>3364</v>
      </c>
      <c r="AB1495">
        <v>15</v>
      </c>
      <c r="AC1495" t="s">
        <v>49</v>
      </c>
      <c r="AD1495">
        <v>0</v>
      </c>
      <c r="AE1495">
        <v>10672645</v>
      </c>
      <c r="AF1495" t="s">
        <v>50</v>
      </c>
      <c r="AG1495" t="s">
        <v>630</v>
      </c>
    </row>
    <row r="1496" spans="1:33" x14ac:dyDescent="0.35">
      <c r="A1496" s="1">
        <v>44869.927777777775</v>
      </c>
      <c r="B1496">
        <v>665565</v>
      </c>
      <c r="C1496" t="s">
        <v>2309</v>
      </c>
      <c r="D1496" t="s">
        <v>2125</v>
      </c>
      <c r="E1496" s="2">
        <v>40483</v>
      </c>
      <c r="F1496" t="str">
        <f>"9781439828151"</f>
        <v>9781439828151</v>
      </c>
      <c r="G1496" t="str">
        <f>"9781439828144"</f>
        <v>9781439828144</v>
      </c>
      <c r="H1496" t="s">
        <v>60</v>
      </c>
      <c r="I1496">
        <v>658.7</v>
      </c>
      <c r="J1496" t="s">
        <v>2310</v>
      </c>
      <c r="K1496" t="s">
        <v>44</v>
      </c>
      <c r="N1496" t="s">
        <v>45</v>
      </c>
      <c r="O1496" t="s">
        <v>46</v>
      </c>
      <c r="P1496" t="s">
        <v>45</v>
      </c>
      <c r="Q1496" t="s">
        <v>47</v>
      </c>
      <c r="R1496" t="s">
        <v>44</v>
      </c>
      <c r="S1496">
        <v>0</v>
      </c>
      <c r="W1496" s="3">
        <v>6.9444444444444444E-5</v>
      </c>
      <c r="X1496" t="s">
        <v>121</v>
      </c>
      <c r="Y1496">
        <v>1</v>
      </c>
      <c r="Z1496">
        <v>0</v>
      </c>
      <c r="AA1496" t="s">
        <v>49</v>
      </c>
      <c r="AB1496">
        <v>0</v>
      </c>
      <c r="AC1496" t="s">
        <v>49</v>
      </c>
      <c r="AD1496">
        <v>0</v>
      </c>
      <c r="AE1496">
        <v>10449865</v>
      </c>
      <c r="AF1496" t="s">
        <v>50</v>
      </c>
      <c r="AG1496" t="s">
        <v>388</v>
      </c>
    </row>
    <row r="1497" spans="1:33" x14ac:dyDescent="0.35">
      <c r="A1497" s="1">
        <v>44869.926388888889</v>
      </c>
      <c r="B1497">
        <v>481105</v>
      </c>
      <c r="C1497" t="s">
        <v>3365</v>
      </c>
      <c r="D1497" t="s">
        <v>76</v>
      </c>
      <c r="E1497" s="2">
        <v>40214</v>
      </c>
      <c r="F1497" t="str">
        <f>"9780203863978"</f>
        <v>9780203863978</v>
      </c>
      <c r="G1497" t="str">
        <f>"9780415493345"</f>
        <v>9780415493345</v>
      </c>
      <c r="H1497" t="s">
        <v>667</v>
      </c>
      <c r="I1497" t="s">
        <v>3366</v>
      </c>
      <c r="J1497" t="s">
        <v>3367</v>
      </c>
      <c r="K1497" t="s">
        <v>44</v>
      </c>
      <c r="N1497" t="s">
        <v>45</v>
      </c>
      <c r="O1497" t="s">
        <v>46</v>
      </c>
      <c r="P1497" t="s">
        <v>45</v>
      </c>
      <c r="Q1497" t="s">
        <v>47</v>
      </c>
      <c r="R1497" t="s">
        <v>44</v>
      </c>
      <c r="S1497">
        <v>0</v>
      </c>
      <c r="W1497" s="3">
        <v>1.0069444444444444E-3</v>
      </c>
      <c r="X1497" t="s">
        <v>3368</v>
      </c>
      <c r="Y1497">
        <v>10</v>
      </c>
      <c r="Z1497">
        <v>0</v>
      </c>
      <c r="AA1497" t="s">
        <v>49</v>
      </c>
      <c r="AB1497">
        <v>0</v>
      </c>
      <c r="AC1497" t="s">
        <v>49</v>
      </c>
      <c r="AD1497">
        <v>0</v>
      </c>
      <c r="AE1497">
        <v>10370191</v>
      </c>
      <c r="AF1497" t="s">
        <v>50</v>
      </c>
      <c r="AG1497" t="s">
        <v>630</v>
      </c>
    </row>
    <row r="1498" spans="1:33" x14ac:dyDescent="0.35">
      <c r="A1498" s="1">
        <v>44869.925694444442</v>
      </c>
      <c r="B1498">
        <v>5841975</v>
      </c>
      <c r="C1498" t="s">
        <v>3369</v>
      </c>
      <c r="D1498" t="s">
        <v>1486</v>
      </c>
      <c r="E1498" s="2">
        <v>41365</v>
      </c>
      <c r="F1498" t="str">
        <f>"9781626378742"</f>
        <v>9781626378742</v>
      </c>
      <c r="G1498" t="str">
        <f>"9781588268822"</f>
        <v>9781588268822</v>
      </c>
      <c r="H1498" t="s">
        <v>667</v>
      </c>
      <c r="I1498">
        <v>956.00492740000004</v>
      </c>
      <c r="J1498" t="s">
        <v>3370</v>
      </c>
      <c r="K1498" t="s">
        <v>44</v>
      </c>
      <c r="N1498" t="s">
        <v>45</v>
      </c>
      <c r="O1498" t="s">
        <v>46</v>
      </c>
      <c r="P1498" t="s">
        <v>45</v>
      </c>
      <c r="Q1498" t="s">
        <v>47</v>
      </c>
      <c r="R1498" t="s">
        <v>44</v>
      </c>
      <c r="S1498">
        <v>0</v>
      </c>
      <c r="W1498" s="3">
        <v>4.5138888888888892E-4</v>
      </c>
      <c r="X1498" t="s">
        <v>3371</v>
      </c>
      <c r="Y1498">
        <v>3</v>
      </c>
      <c r="Z1498">
        <v>0</v>
      </c>
      <c r="AA1498" t="s">
        <v>49</v>
      </c>
      <c r="AB1498">
        <v>0</v>
      </c>
      <c r="AC1498" t="s">
        <v>49</v>
      </c>
      <c r="AD1498">
        <v>0</v>
      </c>
      <c r="AE1498">
        <v>-1</v>
      </c>
      <c r="AF1498" t="s">
        <v>50</v>
      </c>
      <c r="AG1498" t="s">
        <v>630</v>
      </c>
    </row>
    <row r="1499" spans="1:33" x14ac:dyDescent="0.35">
      <c r="A1499" s="1">
        <v>44869.925694444442</v>
      </c>
      <c r="B1499">
        <v>223579</v>
      </c>
      <c r="C1499" t="s">
        <v>3372</v>
      </c>
      <c r="D1499" t="s">
        <v>443</v>
      </c>
      <c r="E1499" s="2">
        <v>37928</v>
      </c>
      <c r="F1499" t="str">
        <f>"9780520937789"</f>
        <v>9780520937789</v>
      </c>
      <c r="G1499" t="str">
        <f>"9780520237629"</f>
        <v>9780520237629</v>
      </c>
      <c r="H1499" t="s">
        <v>1540</v>
      </c>
      <c r="I1499" t="s">
        <v>3373</v>
      </c>
      <c r="J1499" t="s">
        <v>3374</v>
      </c>
      <c r="K1499" t="s">
        <v>44</v>
      </c>
      <c r="N1499" t="s">
        <v>45</v>
      </c>
      <c r="O1499" t="s">
        <v>46</v>
      </c>
      <c r="P1499" t="s">
        <v>177</v>
      </c>
      <c r="Q1499" t="s">
        <v>47</v>
      </c>
      <c r="R1499" t="s">
        <v>55</v>
      </c>
      <c r="S1499">
        <v>0</v>
      </c>
      <c r="W1499" s="3">
        <v>1.0416666666666667E-4</v>
      </c>
      <c r="X1499" t="s">
        <v>577</v>
      </c>
      <c r="Y1499">
        <v>2</v>
      </c>
      <c r="Z1499">
        <v>0</v>
      </c>
      <c r="AA1499" t="s">
        <v>49</v>
      </c>
      <c r="AB1499">
        <v>0</v>
      </c>
      <c r="AC1499" t="s">
        <v>49</v>
      </c>
      <c r="AD1499">
        <v>0</v>
      </c>
      <c r="AE1499">
        <v>10057122</v>
      </c>
      <c r="AF1499" t="s">
        <v>50</v>
      </c>
      <c r="AG1499" t="s">
        <v>630</v>
      </c>
    </row>
    <row r="1500" spans="1:33" x14ac:dyDescent="0.35">
      <c r="A1500" s="1">
        <v>44869.924305555556</v>
      </c>
      <c r="B1500">
        <v>282765</v>
      </c>
      <c r="C1500" t="s">
        <v>3375</v>
      </c>
      <c r="D1500" t="s">
        <v>3376</v>
      </c>
      <c r="E1500" s="2">
        <v>36892</v>
      </c>
      <c r="F1500" t="str">
        <f>"9780313002601"</f>
        <v>9780313002601</v>
      </c>
      <c r="G1500" t="str">
        <f>"9780275968762"</f>
        <v>9780275968762</v>
      </c>
      <c r="H1500" t="s">
        <v>667</v>
      </c>
      <c r="I1500" t="s">
        <v>3377</v>
      </c>
      <c r="J1500" t="s">
        <v>3378</v>
      </c>
      <c r="K1500" t="s">
        <v>44</v>
      </c>
      <c r="N1500" t="s">
        <v>45</v>
      </c>
      <c r="O1500" t="s">
        <v>46</v>
      </c>
      <c r="P1500" t="s">
        <v>45</v>
      </c>
      <c r="Q1500" t="s">
        <v>47</v>
      </c>
      <c r="R1500" t="s">
        <v>44</v>
      </c>
      <c r="S1500">
        <v>0</v>
      </c>
      <c r="W1500" s="3">
        <v>3.0092592592592595E-4</v>
      </c>
      <c r="X1500" t="s">
        <v>3379</v>
      </c>
      <c r="Y1500">
        <v>5</v>
      </c>
      <c r="Z1500">
        <v>0</v>
      </c>
      <c r="AA1500" t="s">
        <v>49</v>
      </c>
      <c r="AB1500">
        <v>0</v>
      </c>
      <c r="AC1500" t="s">
        <v>49</v>
      </c>
      <c r="AD1500">
        <v>0</v>
      </c>
      <c r="AE1500">
        <v>10005701</v>
      </c>
      <c r="AF1500" t="s">
        <v>50</v>
      </c>
      <c r="AG1500" t="s">
        <v>630</v>
      </c>
    </row>
    <row r="1501" spans="1:33" x14ac:dyDescent="0.35">
      <c r="A1501" s="1">
        <v>44869.920138888891</v>
      </c>
      <c r="B1501">
        <v>3386273</v>
      </c>
      <c r="C1501" t="s">
        <v>3323</v>
      </c>
      <c r="D1501" t="s">
        <v>2066</v>
      </c>
      <c r="E1501" s="2">
        <v>39010</v>
      </c>
      <c r="F1501" t="str">
        <f>"9781849642408"</f>
        <v>9781849642408</v>
      </c>
      <c r="G1501" t="str">
        <f>"9780745322353"</f>
        <v>9780745322353</v>
      </c>
      <c r="H1501" t="s">
        <v>667</v>
      </c>
      <c r="I1501">
        <v>956.04</v>
      </c>
      <c r="J1501" t="s">
        <v>3324</v>
      </c>
      <c r="K1501" t="s">
        <v>44</v>
      </c>
      <c r="N1501" t="s">
        <v>45</v>
      </c>
      <c r="O1501" t="s">
        <v>46</v>
      </c>
      <c r="P1501" t="s">
        <v>45</v>
      </c>
      <c r="Q1501" t="s">
        <v>47</v>
      </c>
      <c r="R1501" t="s">
        <v>44</v>
      </c>
      <c r="S1501">
        <v>0</v>
      </c>
      <c r="W1501" s="3">
        <v>3.5879629629629635E-4</v>
      </c>
      <c r="X1501" t="s">
        <v>3380</v>
      </c>
      <c r="Y1501">
        <v>8</v>
      </c>
      <c r="Z1501">
        <v>0</v>
      </c>
      <c r="AA1501" t="s">
        <v>49</v>
      </c>
      <c r="AB1501">
        <v>0</v>
      </c>
      <c r="AC1501" t="s">
        <v>49</v>
      </c>
      <c r="AD1501">
        <v>0</v>
      </c>
      <c r="AE1501">
        <v>10479788</v>
      </c>
      <c r="AF1501" t="s">
        <v>50</v>
      </c>
      <c r="AG1501" t="s">
        <v>630</v>
      </c>
    </row>
    <row r="1502" spans="1:33" x14ac:dyDescent="0.35">
      <c r="A1502" s="1">
        <v>44869.918749999997</v>
      </c>
      <c r="B1502">
        <v>452318</v>
      </c>
      <c r="C1502" t="s">
        <v>3381</v>
      </c>
      <c r="D1502" t="s">
        <v>76</v>
      </c>
      <c r="E1502" s="2">
        <v>40093</v>
      </c>
      <c r="F1502" t="str">
        <f>"9780203870846"</f>
        <v>9780203870846</v>
      </c>
      <c r="G1502" t="str">
        <f>"9780415995481"</f>
        <v>9780415995481</v>
      </c>
      <c r="H1502" t="s">
        <v>667</v>
      </c>
      <c r="I1502" t="s">
        <v>3377</v>
      </c>
      <c r="J1502" t="s">
        <v>3382</v>
      </c>
      <c r="K1502" t="s">
        <v>44</v>
      </c>
      <c r="N1502" t="s">
        <v>45</v>
      </c>
      <c r="O1502" t="s">
        <v>46</v>
      </c>
      <c r="P1502" t="s">
        <v>45</v>
      </c>
      <c r="Q1502" t="s">
        <v>47</v>
      </c>
      <c r="R1502" t="s">
        <v>44</v>
      </c>
      <c r="S1502">
        <v>0</v>
      </c>
      <c r="W1502" s="3">
        <v>7.7546296296296304E-4</v>
      </c>
      <c r="X1502" t="s">
        <v>3383</v>
      </c>
      <c r="Y1502">
        <v>5</v>
      </c>
      <c r="Z1502">
        <v>0</v>
      </c>
      <c r="AA1502" t="s">
        <v>49</v>
      </c>
      <c r="AB1502">
        <v>0</v>
      </c>
      <c r="AC1502" t="s">
        <v>49</v>
      </c>
      <c r="AD1502">
        <v>0</v>
      </c>
      <c r="AE1502">
        <v>10341897</v>
      </c>
      <c r="AF1502" t="s">
        <v>50</v>
      </c>
      <c r="AG1502" t="s">
        <v>630</v>
      </c>
    </row>
    <row r="1503" spans="1:33" x14ac:dyDescent="0.35">
      <c r="A1503" s="1">
        <v>44869.915972222225</v>
      </c>
      <c r="B1503">
        <v>467565</v>
      </c>
      <c r="C1503" t="s">
        <v>3326</v>
      </c>
      <c r="D1503" t="s">
        <v>473</v>
      </c>
      <c r="E1503" s="2">
        <v>39926</v>
      </c>
      <c r="F1503" t="str">
        <f>"9789047428787"</f>
        <v>9789047428787</v>
      </c>
      <c r="G1503" t="str">
        <f>"9789004175341"</f>
        <v>9789004175341</v>
      </c>
      <c r="H1503" t="s">
        <v>3327</v>
      </c>
      <c r="I1503">
        <v>956.04</v>
      </c>
      <c r="J1503" t="s">
        <v>3328</v>
      </c>
      <c r="K1503" t="s">
        <v>44</v>
      </c>
      <c r="N1503" t="s">
        <v>45</v>
      </c>
      <c r="O1503" t="s">
        <v>46</v>
      </c>
      <c r="P1503" t="s">
        <v>45</v>
      </c>
      <c r="Q1503" t="s">
        <v>47</v>
      </c>
      <c r="R1503" t="s">
        <v>44</v>
      </c>
      <c r="S1503">
        <v>0</v>
      </c>
      <c r="W1503" s="3">
        <v>3.6226851851851854E-3</v>
      </c>
      <c r="X1503" t="s">
        <v>3384</v>
      </c>
      <c r="Y1503">
        <v>33</v>
      </c>
      <c r="Z1503">
        <v>0</v>
      </c>
      <c r="AA1503" t="s">
        <v>49</v>
      </c>
      <c r="AB1503">
        <v>0</v>
      </c>
      <c r="AC1503" t="s">
        <v>49</v>
      </c>
      <c r="AD1503">
        <v>0</v>
      </c>
      <c r="AE1503">
        <v>10349309</v>
      </c>
      <c r="AF1503" t="s">
        <v>50</v>
      </c>
      <c r="AG1503" t="s">
        <v>630</v>
      </c>
    </row>
    <row r="1504" spans="1:33" x14ac:dyDescent="0.35">
      <c r="A1504" s="1">
        <v>44869.915277777778</v>
      </c>
      <c r="B1504">
        <v>3386222</v>
      </c>
      <c r="C1504" t="s">
        <v>3159</v>
      </c>
      <c r="D1504" t="s">
        <v>2066</v>
      </c>
      <c r="E1504" s="2">
        <v>40277</v>
      </c>
      <c r="F1504" t="str">
        <f>"9781849644488"</f>
        <v>9781849644488</v>
      </c>
      <c r="G1504" t="str">
        <f>"9780745323244"</f>
        <v>9780745323244</v>
      </c>
      <c r="H1504" t="s">
        <v>712</v>
      </c>
      <c r="I1504">
        <v>341.26095694000003</v>
      </c>
      <c r="J1504" t="s">
        <v>3160</v>
      </c>
      <c r="K1504" t="s">
        <v>44</v>
      </c>
      <c r="N1504" t="s">
        <v>45</v>
      </c>
      <c r="O1504" t="s">
        <v>46</v>
      </c>
      <c r="P1504" t="s">
        <v>45</v>
      </c>
      <c r="Q1504" t="s">
        <v>47</v>
      </c>
      <c r="R1504" t="s">
        <v>44</v>
      </c>
      <c r="S1504">
        <v>0</v>
      </c>
      <c r="W1504" s="3">
        <v>3.3564814814814812E-4</v>
      </c>
      <c r="X1504" t="s">
        <v>3385</v>
      </c>
      <c r="Y1504">
        <v>4</v>
      </c>
      <c r="Z1504">
        <v>0</v>
      </c>
      <c r="AA1504" t="s">
        <v>49</v>
      </c>
      <c r="AB1504">
        <v>0</v>
      </c>
      <c r="AC1504" t="s">
        <v>49</v>
      </c>
      <c r="AD1504">
        <v>0</v>
      </c>
      <c r="AE1504">
        <v>10479712</v>
      </c>
      <c r="AF1504" t="s">
        <v>50</v>
      </c>
      <c r="AG1504" t="s">
        <v>630</v>
      </c>
    </row>
    <row r="1505" spans="1:33" x14ac:dyDescent="0.35">
      <c r="A1505" s="1">
        <v>44869.886805555558</v>
      </c>
      <c r="B1505">
        <v>279494</v>
      </c>
      <c r="C1505" t="s">
        <v>1333</v>
      </c>
      <c r="D1505" t="s">
        <v>125</v>
      </c>
      <c r="E1505" s="2">
        <v>37280</v>
      </c>
      <c r="F1505" t="str">
        <f>"9780198032953"</f>
        <v>9780198032953</v>
      </c>
      <c r="G1505" t="str">
        <f>"9780195144208"</f>
        <v>9780195144208</v>
      </c>
      <c r="H1505" t="s">
        <v>667</v>
      </c>
      <c r="I1505" t="s">
        <v>1334</v>
      </c>
      <c r="J1505" t="s">
        <v>1335</v>
      </c>
      <c r="K1505" t="s">
        <v>44</v>
      </c>
      <c r="N1505" t="s">
        <v>45</v>
      </c>
      <c r="O1505" t="s">
        <v>46</v>
      </c>
      <c r="P1505" t="s">
        <v>45</v>
      </c>
      <c r="Q1505" t="s">
        <v>47</v>
      </c>
      <c r="R1505" t="s">
        <v>44</v>
      </c>
      <c r="S1505">
        <v>0</v>
      </c>
      <c r="W1505" s="3">
        <v>1.9791666666666668E-3</v>
      </c>
      <c r="X1505" t="s">
        <v>3386</v>
      </c>
      <c r="Y1505">
        <v>9</v>
      </c>
      <c r="Z1505">
        <v>0</v>
      </c>
      <c r="AA1505" t="s">
        <v>49</v>
      </c>
      <c r="AB1505">
        <v>0</v>
      </c>
      <c r="AC1505" t="s">
        <v>49</v>
      </c>
      <c r="AD1505">
        <v>0</v>
      </c>
      <c r="AE1505">
        <v>11303309</v>
      </c>
      <c r="AF1505" t="s">
        <v>50</v>
      </c>
      <c r="AG1505" t="s">
        <v>388</v>
      </c>
    </row>
    <row r="1506" spans="1:33" x14ac:dyDescent="0.35">
      <c r="A1506" s="1">
        <v>44869.869444444441</v>
      </c>
      <c r="B1506">
        <v>4179734</v>
      </c>
      <c r="C1506" t="s">
        <v>3387</v>
      </c>
      <c r="D1506" t="s">
        <v>115</v>
      </c>
      <c r="E1506" s="2">
        <v>42306</v>
      </c>
      <c r="F1506" t="str">
        <f>"9783110439755"</f>
        <v>9783110439755</v>
      </c>
      <c r="G1506" t="str">
        <f>"9783110439748"</f>
        <v>9783110439748</v>
      </c>
      <c r="H1506" t="s">
        <v>353</v>
      </c>
      <c r="I1506">
        <v>306.09559999999999</v>
      </c>
      <c r="J1506" t="s">
        <v>3388</v>
      </c>
      <c r="K1506" t="s">
        <v>44</v>
      </c>
      <c r="N1506" t="s">
        <v>45</v>
      </c>
      <c r="O1506" t="s">
        <v>46</v>
      </c>
      <c r="P1506" t="s">
        <v>177</v>
      </c>
      <c r="Q1506" t="s">
        <v>47</v>
      </c>
      <c r="R1506" t="s">
        <v>55</v>
      </c>
      <c r="S1506">
        <v>0</v>
      </c>
      <c r="W1506" s="3">
        <v>1.0416666666666667E-4</v>
      </c>
      <c r="X1506" t="s">
        <v>205</v>
      </c>
      <c r="Y1506">
        <v>2</v>
      </c>
      <c r="Z1506">
        <v>0</v>
      </c>
      <c r="AA1506" t="s">
        <v>49</v>
      </c>
      <c r="AB1506">
        <v>0</v>
      </c>
      <c r="AC1506" t="s">
        <v>49</v>
      </c>
      <c r="AD1506">
        <v>0</v>
      </c>
      <c r="AE1506">
        <v>11123854</v>
      </c>
      <c r="AF1506" t="s">
        <v>50</v>
      </c>
      <c r="AG1506" t="s">
        <v>388</v>
      </c>
    </row>
    <row r="1507" spans="1:33" x14ac:dyDescent="0.35">
      <c r="A1507" s="1">
        <v>44869.769444444442</v>
      </c>
      <c r="B1507">
        <v>6794530</v>
      </c>
      <c r="C1507" t="s">
        <v>3389</v>
      </c>
      <c r="D1507" t="s">
        <v>76</v>
      </c>
      <c r="E1507" s="2">
        <v>40416</v>
      </c>
      <c r="F1507" t="str">
        <f>"9781000473759"</f>
        <v>9781000473759</v>
      </c>
      <c r="G1507" t="str">
        <f>"9780367699529"</f>
        <v>9780367699529</v>
      </c>
      <c r="H1507" t="s">
        <v>151</v>
      </c>
      <c r="I1507">
        <v>616.85220028499998</v>
      </c>
      <c r="J1507" t="s">
        <v>3390</v>
      </c>
      <c r="K1507" t="s">
        <v>55</v>
      </c>
      <c r="Q1507" t="s">
        <v>47</v>
      </c>
      <c r="R1507" t="s">
        <v>44</v>
      </c>
      <c r="S1507">
        <v>0</v>
      </c>
      <c r="W1507" s="3">
        <v>1.6203703703703703E-4</v>
      </c>
      <c r="X1507" t="s">
        <v>3391</v>
      </c>
      <c r="Y1507">
        <v>3</v>
      </c>
      <c r="Z1507">
        <v>0</v>
      </c>
      <c r="AA1507" t="s">
        <v>49</v>
      </c>
      <c r="AB1507">
        <v>0</v>
      </c>
      <c r="AC1507" t="s">
        <v>49</v>
      </c>
      <c r="AD1507">
        <v>0</v>
      </c>
      <c r="AE1507">
        <v>-1</v>
      </c>
      <c r="AF1507" t="s">
        <v>50</v>
      </c>
      <c r="AG1507" t="s">
        <v>1536</v>
      </c>
    </row>
    <row r="1508" spans="1:33" x14ac:dyDescent="0.35">
      <c r="A1508" s="1">
        <v>44869.745138888888</v>
      </c>
      <c r="B1508">
        <v>668424</v>
      </c>
      <c r="C1508" t="s">
        <v>3129</v>
      </c>
      <c r="D1508" t="s">
        <v>76</v>
      </c>
      <c r="E1508" s="2">
        <v>40613</v>
      </c>
      <c r="F1508" t="str">
        <f>"9780203832509"</f>
        <v>9780203832509</v>
      </c>
      <c r="G1508" t="str">
        <f>"9780415492157"</f>
        <v>9780415492157</v>
      </c>
      <c r="H1508" t="s">
        <v>667</v>
      </c>
      <c r="I1508" t="s">
        <v>2023</v>
      </c>
      <c r="J1508" t="s">
        <v>3130</v>
      </c>
      <c r="K1508" t="s">
        <v>44</v>
      </c>
      <c r="N1508" t="s">
        <v>45</v>
      </c>
      <c r="O1508" t="s">
        <v>46</v>
      </c>
      <c r="P1508" t="s">
        <v>45</v>
      </c>
      <c r="Q1508" t="s">
        <v>47</v>
      </c>
      <c r="R1508" t="s">
        <v>44</v>
      </c>
      <c r="S1508">
        <v>0</v>
      </c>
      <c r="W1508" s="3">
        <v>1.7361111111111112E-4</v>
      </c>
      <c r="X1508" t="s">
        <v>3392</v>
      </c>
      <c r="Y1508">
        <v>3</v>
      </c>
      <c r="Z1508">
        <v>0</v>
      </c>
      <c r="AA1508" t="s">
        <v>49</v>
      </c>
      <c r="AB1508">
        <v>0</v>
      </c>
      <c r="AC1508" t="s">
        <v>49</v>
      </c>
      <c r="AD1508">
        <v>0</v>
      </c>
      <c r="AE1508">
        <v>10452737</v>
      </c>
      <c r="AF1508" t="s">
        <v>50</v>
      </c>
      <c r="AG1508" t="s">
        <v>1536</v>
      </c>
    </row>
    <row r="1509" spans="1:33" x14ac:dyDescent="0.35">
      <c r="A1509" s="1">
        <v>44869.645138888889</v>
      </c>
      <c r="B1509">
        <v>5309559</v>
      </c>
      <c r="C1509" t="s">
        <v>2923</v>
      </c>
      <c r="D1509" t="s">
        <v>497</v>
      </c>
      <c r="E1509" s="2">
        <v>39964</v>
      </c>
      <c r="F1509" t="str">
        <f>"9781441164698"</f>
        <v>9781441164698</v>
      </c>
      <c r="G1509" t="str">
        <f>"9781847250407"</f>
        <v>9781847250407</v>
      </c>
      <c r="H1509" t="s">
        <v>667</v>
      </c>
      <c r="I1509">
        <v>956.94039999999995</v>
      </c>
      <c r="J1509" t="s">
        <v>2924</v>
      </c>
      <c r="K1509" t="s">
        <v>44</v>
      </c>
      <c r="N1509" t="s">
        <v>45</v>
      </c>
      <c r="O1509" t="s">
        <v>46</v>
      </c>
      <c r="P1509" t="s">
        <v>45</v>
      </c>
      <c r="Q1509" t="s">
        <v>47</v>
      </c>
      <c r="R1509" t="s">
        <v>44</v>
      </c>
      <c r="S1509">
        <v>0</v>
      </c>
      <c r="W1509" s="3">
        <v>3.0555555555555557E-3</v>
      </c>
      <c r="X1509" t="s">
        <v>3393</v>
      </c>
      <c r="Y1509">
        <v>18</v>
      </c>
      <c r="Z1509">
        <v>0</v>
      </c>
      <c r="AA1509" t="s">
        <v>49</v>
      </c>
      <c r="AB1509">
        <v>0</v>
      </c>
      <c r="AC1509" t="s">
        <v>49</v>
      </c>
      <c r="AD1509">
        <v>0</v>
      </c>
      <c r="AE1509">
        <v>11518527</v>
      </c>
      <c r="AF1509" t="s">
        <v>50</v>
      </c>
      <c r="AG1509" t="s">
        <v>388</v>
      </c>
    </row>
    <row r="1510" spans="1:33" x14ac:dyDescent="0.35">
      <c r="A1510" s="1">
        <v>44869.643750000003</v>
      </c>
      <c r="B1510">
        <v>5603067</v>
      </c>
      <c r="C1510" t="s">
        <v>3394</v>
      </c>
      <c r="D1510" t="s">
        <v>507</v>
      </c>
      <c r="E1510" s="2">
        <v>43466</v>
      </c>
      <c r="F1510" t="str">
        <f>"9781474407410"</f>
        <v>9781474407410</v>
      </c>
      <c r="G1510" t="str">
        <f>"9781474407403"</f>
        <v>9781474407403</v>
      </c>
      <c r="H1510" t="s">
        <v>3395</v>
      </c>
      <c r="K1510" t="s">
        <v>44</v>
      </c>
      <c r="N1510" t="s">
        <v>45</v>
      </c>
      <c r="O1510" t="s">
        <v>46</v>
      </c>
      <c r="P1510" t="s">
        <v>45</v>
      </c>
      <c r="Q1510" t="s">
        <v>47</v>
      </c>
      <c r="R1510" t="s">
        <v>44</v>
      </c>
      <c r="S1510">
        <v>0</v>
      </c>
      <c r="W1510" s="3">
        <v>2.0138888888888888E-3</v>
      </c>
      <c r="X1510" t="s">
        <v>3396</v>
      </c>
      <c r="Y1510">
        <v>15</v>
      </c>
      <c r="Z1510">
        <v>0</v>
      </c>
      <c r="AA1510" t="s">
        <v>49</v>
      </c>
      <c r="AB1510">
        <v>0</v>
      </c>
      <c r="AC1510" t="s">
        <v>752</v>
      </c>
      <c r="AD1510">
        <v>1</v>
      </c>
      <c r="AE1510">
        <v>-1</v>
      </c>
      <c r="AF1510" t="s">
        <v>50</v>
      </c>
      <c r="AG1510" t="s">
        <v>493</v>
      </c>
    </row>
    <row r="1511" spans="1:33" x14ac:dyDescent="0.35">
      <c r="A1511" s="1">
        <v>44869.615277777775</v>
      </c>
      <c r="B1511">
        <v>5309559</v>
      </c>
      <c r="C1511" t="s">
        <v>2923</v>
      </c>
      <c r="D1511" t="s">
        <v>497</v>
      </c>
      <c r="E1511" s="2">
        <v>39964</v>
      </c>
      <c r="F1511" t="str">
        <f>"9781441164698"</f>
        <v>9781441164698</v>
      </c>
      <c r="G1511" t="str">
        <f>"9781847250407"</f>
        <v>9781847250407</v>
      </c>
      <c r="H1511" t="s">
        <v>667</v>
      </c>
      <c r="I1511">
        <v>956.94039999999995</v>
      </c>
      <c r="J1511" t="s">
        <v>2924</v>
      </c>
      <c r="K1511" t="s">
        <v>44</v>
      </c>
      <c r="N1511" t="s">
        <v>45</v>
      </c>
      <c r="O1511" t="s">
        <v>46</v>
      </c>
      <c r="P1511" t="s">
        <v>45</v>
      </c>
      <c r="Q1511" t="s">
        <v>47</v>
      </c>
      <c r="R1511" t="s">
        <v>44</v>
      </c>
      <c r="S1511">
        <v>0</v>
      </c>
      <c r="W1511" s="3">
        <v>2.1874999999999998E-3</v>
      </c>
      <c r="X1511" t="s">
        <v>3397</v>
      </c>
      <c r="Y1511">
        <v>7</v>
      </c>
      <c r="Z1511">
        <v>0</v>
      </c>
      <c r="AA1511" t="s">
        <v>49</v>
      </c>
      <c r="AB1511">
        <v>0</v>
      </c>
      <c r="AC1511" t="s">
        <v>49</v>
      </c>
      <c r="AD1511">
        <v>0</v>
      </c>
      <c r="AE1511">
        <v>11518527</v>
      </c>
      <c r="AF1511" t="s">
        <v>50</v>
      </c>
      <c r="AG1511" t="s">
        <v>388</v>
      </c>
    </row>
    <row r="1512" spans="1:33" x14ac:dyDescent="0.35">
      <c r="A1512" s="1">
        <v>44869.597916666666</v>
      </c>
      <c r="B1512">
        <v>6634782</v>
      </c>
      <c r="C1512" t="s">
        <v>1950</v>
      </c>
      <c r="D1512" t="s">
        <v>76</v>
      </c>
      <c r="E1512" s="2">
        <v>41553</v>
      </c>
      <c r="F1512" t="str">
        <f>"9781000466850"</f>
        <v>9781000466850</v>
      </c>
      <c r="G1512" t="str">
        <f>"9781138422810"</f>
        <v>9781138422810</v>
      </c>
      <c r="H1512" t="s">
        <v>77</v>
      </c>
      <c r="I1512">
        <v>610.76</v>
      </c>
      <c r="J1512" t="s">
        <v>1951</v>
      </c>
      <c r="K1512" t="s">
        <v>55</v>
      </c>
      <c r="N1512" t="s">
        <v>79</v>
      </c>
      <c r="P1512" t="s">
        <v>80</v>
      </c>
      <c r="Q1512" t="s">
        <v>47</v>
      </c>
      <c r="R1512" t="s">
        <v>44</v>
      </c>
      <c r="S1512">
        <v>0</v>
      </c>
      <c r="W1512" s="3">
        <v>5.7870370370370366E-5</v>
      </c>
      <c r="X1512" t="s">
        <v>1025</v>
      </c>
      <c r="Y1512">
        <v>1</v>
      </c>
      <c r="Z1512">
        <v>0</v>
      </c>
      <c r="AA1512" t="s">
        <v>49</v>
      </c>
      <c r="AB1512">
        <v>0</v>
      </c>
      <c r="AC1512" t="s">
        <v>49</v>
      </c>
      <c r="AD1512">
        <v>0</v>
      </c>
      <c r="AE1512">
        <v>-1</v>
      </c>
      <c r="AF1512" t="s">
        <v>50</v>
      </c>
      <c r="AG1512" t="s">
        <v>388</v>
      </c>
    </row>
    <row r="1513" spans="1:33" x14ac:dyDescent="0.35">
      <c r="A1513" s="1">
        <v>44869.522222222222</v>
      </c>
      <c r="B1513">
        <v>1069079</v>
      </c>
      <c r="C1513" t="s">
        <v>3283</v>
      </c>
      <c r="D1513" t="s">
        <v>507</v>
      </c>
      <c r="E1513" s="2">
        <v>41108</v>
      </c>
      <c r="F1513" t="str">
        <f>"9780748669189"</f>
        <v>9780748669189</v>
      </c>
      <c r="G1513" t="str">
        <f>"9780748639267"</f>
        <v>9780748639267</v>
      </c>
      <c r="H1513" t="s">
        <v>1069</v>
      </c>
      <c r="I1513">
        <v>892.73609350000004</v>
      </c>
      <c r="J1513" t="s">
        <v>3284</v>
      </c>
      <c r="K1513" t="s">
        <v>44</v>
      </c>
      <c r="N1513" t="s">
        <v>45</v>
      </c>
      <c r="O1513" t="s">
        <v>46</v>
      </c>
      <c r="P1513" t="s">
        <v>45</v>
      </c>
      <c r="Q1513" t="s">
        <v>47</v>
      </c>
      <c r="R1513" t="s">
        <v>44</v>
      </c>
      <c r="S1513">
        <v>0</v>
      </c>
      <c r="W1513" s="3">
        <v>2.685185185185185E-3</v>
      </c>
      <c r="X1513" t="s">
        <v>3398</v>
      </c>
      <c r="Y1513">
        <v>15</v>
      </c>
      <c r="Z1513">
        <v>0</v>
      </c>
      <c r="AA1513" t="s">
        <v>49</v>
      </c>
      <c r="AB1513">
        <v>0</v>
      </c>
      <c r="AC1513" t="s">
        <v>3399</v>
      </c>
      <c r="AD1513">
        <v>1</v>
      </c>
      <c r="AE1513">
        <v>10624598</v>
      </c>
      <c r="AF1513" t="s">
        <v>50</v>
      </c>
      <c r="AG1513" t="s">
        <v>493</v>
      </c>
    </row>
    <row r="1514" spans="1:33" x14ac:dyDescent="0.35">
      <c r="A1514" s="1">
        <v>44869.511805555558</v>
      </c>
      <c r="B1514">
        <v>253682</v>
      </c>
      <c r="C1514" t="s">
        <v>3400</v>
      </c>
      <c r="D1514" t="s">
        <v>473</v>
      </c>
      <c r="E1514" s="2">
        <v>37681</v>
      </c>
      <c r="F1514" t="str">
        <f>"9789047402114"</f>
        <v>9789047402114</v>
      </c>
      <c r="G1514" t="str">
        <f>"9789004129993"</f>
        <v>9789004129993</v>
      </c>
      <c r="H1514" t="s">
        <v>1069</v>
      </c>
      <c r="I1514">
        <v>809.3</v>
      </c>
      <c r="J1514" t="s">
        <v>3401</v>
      </c>
      <c r="K1514" t="s">
        <v>44</v>
      </c>
      <c r="N1514" t="s">
        <v>45</v>
      </c>
      <c r="O1514" t="s">
        <v>46</v>
      </c>
      <c r="P1514" t="s">
        <v>45</v>
      </c>
      <c r="Q1514" t="s">
        <v>47</v>
      </c>
      <c r="R1514" t="s">
        <v>44</v>
      </c>
      <c r="S1514">
        <v>0</v>
      </c>
      <c r="W1514" s="3">
        <v>5.6712962962962956E-4</v>
      </c>
      <c r="X1514" t="s">
        <v>3402</v>
      </c>
      <c r="Y1514">
        <v>5</v>
      </c>
      <c r="Z1514">
        <v>0</v>
      </c>
      <c r="AA1514" t="s">
        <v>49</v>
      </c>
      <c r="AB1514">
        <v>0</v>
      </c>
      <c r="AC1514" t="s">
        <v>49</v>
      </c>
      <c r="AD1514">
        <v>0</v>
      </c>
      <c r="AE1514">
        <v>10090556</v>
      </c>
      <c r="AF1514" t="s">
        <v>50</v>
      </c>
      <c r="AG1514" t="s">
        <v>493</v>
      </c>
    </row>
    <row r="1515" spans="1:33" x14ac:dyDescent="0.35">
      <c r="A1515" s="1">
        <v>44869.511111111111</v>
      </c>
      <c r="B1515">
        <v>1395373</v>
      </c>
      <c r="C1515" t="s">
        <v>3403</v>
      </c>
      <c r="D1515" t="s">
        <v>76</v>
      </c>
      <c r="E1515" s="2">
        <v>37336</v>
      </c>
      <c r="F1515" t="str">
        <f>"9781136836213"</f>
        <v>9781136836213</v>
      </c>
      <c r="G1515" t="str">
        <f>"9780700712717"</f>
        <v>9780700712717</v>
      </c>
      <c r="H1515" t="s">
        <v>1069</v>
      </c>
      <c r="I1515" t="s">
        <v>3404</v>
      </c>
      <c r="J1515" t="s">
        <v>3405</v>
      </c>
      <c r="K1515" t="s">
        <v>44</v>
      </c>
      <c r="N1515" t="s">
        <v>45</v>
      </c>
      <c r="O1515" t="s">
        <v>46</v>
      </c>
      <c r="P1515" t="s">
        <v>45</v>
      </c>
      <c r="Q1515" t="s">
        <v>47</v>
      </c>
      <c r="R1515" t="s">
        <v>44</v>
      </c>
      <c r="S1515">
        <v>0</v>
      </c>
      <c r="W1515" s="3">
        <v>3.4722222222222222E-5</v>
      </c>
      <c r="X1515" t="s">
        <v>121</v>
      </c>
      <c r="Y1515">
        <v>1</v>
      </c>
      <c r="Z1515">
        <v>0</v>
      </c>
      <c r="AA1515" t="s">
        <v>49</v>
      </c>
      <c r="AB1515">
        <v>0</v>
      </c>
      <c r="AC1515" t="s">
        <v>49</v>
      </c>
      <c r="AD1515">
        <v>0</v>
      </c>
      <c r="AE1515">
        <v>10764013</v>
      </c>
      <c r="AF1515" t="s">
        <v>50</v>
      </c>
      <c r="AG1515" t="s">
        <v>493</v>
      </c>
    </row>
    <row r="1516" spans="1:33" x14ac:dyDescent="0.35">
      <c r="A1516" s="1">
        <v>44869.511111111111</v>
      </c>
      <c r="B1516">
        <v>1961922</v>
      </c>
      <c r="C1516" t="s">
        <v>3406</v>
      </c>
      <c r="D1516" t="s">
        <v>507</v>
      </c>
      <c r="E1516" s="2">
        <v>41577</v>
      </c>
      <c r="F1516" t="str">
        <f>"9780748685554"</f>
        <v>9780748685554</v>
      </c>
      <c r="G1516" t="str">
        <f>"9780748685530"</f>
        <v>9780748685530</v>
      </c>
      <c r="H1516" t="s">
        <v>1069</v>
      </c>
      <c r="I1516">
        <v>820.98927000000003</v>
      </c>
      <c r="J1516" t="s">
        <v>3407</v>
      </c>
      <c r="K1516" t="s">
        <v>44</v>
      </c>
      <c r="N1516" t="s">
        <v>45</v>
      </c>
      <c r="O1516" t="s">
        <v>46</v>
      </c>
      <c r="P1516" t="s">
        <v>45</v>
      </c>
      <c r="Q1516" t="s">
        <v>47</v>
      </c>
      <c r="R1516" t="s">
        <v>44</v>
      </c>
      <c r="S1516">
        <v>0</v>
      </c>
      <c r="W1516" s="3">
        <v>4.6296296296296294E-5</v>
      </c>
      <c r="X1516" t="s">
        <v>121</v>
      </c>
      <c r="Y1516">
        <v>1</v>
      </c>
      <c r="Z1516">
        <v>0</v>
      </c>
      <c r="AA1516" t="s">
        <v>49</v>
      </c>
      <c r="AB1516">
        <v>0</v>
      </c>
      <c r="AC1516" t="s">
        <v>49</v>
      </c>
      <c r="AD1516">
        <v>0</v>
      </c>
      <c r="AE1516">
        <v>10800531</v>
      </c>
      <c r="AF1516" t="s">
        <v>50</v>
      </c>
      <c r="AG1516" t="s">
        <v>493</v>
      </c>
    </row>
    <row r="1517" spans="1:33" x14ac:dyDescent="0.35">
      <c r="A1517" s="1">
        <v>44869.511111111111</v>
      </c>
      <c r="B1517">
        <v>6190112</v>
      </c>
      <c r="C1517" t="s">
        <v>3307</v>
      </c>
      <c r="D1517" t="s">
        <v>507</v>
      </c>
      <c r="E1517" s="2">
        <v>44044</v>
      </c>
      <c r="F1517" t="str">
        <f>"9781474467063"</f>
        <v>9781474467063</v>
      </c>
      <c r="G1517" t="str">
        <f>"9781474467032"</f>
        <v>9781474467032</v>
      </c>
      <c r="H1517" t="s">
        <v>1069</v>
      </c>
      <c r="I1517">
        <v>809.39955999999995</v>
      </c>
      <c r="K1517" t="s">
        <v>55</v>
      </c>
      <c r="Q1517" t="s">
        <v>47</v>
      </c>
      <c r="R1517" t="s">
        <v>44</v>
      </c>
      <c r="S1517">
        <v>0</v>
      </c>
      <c r="W1517" s="3">
        <v>2.3148148148148147E-5</v>
      </c>
      <c r="X1517" t="s">
        <v>121</v>
      </c>
      <c r="Y1517">
        <v>1</v>
      </c>
      <c r="Z1517">
        <v>0</v>
      </c>
      <c r="AA1517" t="s">
        <v>49</v>
      </c>
      <c r="AB1517">
        <v>0</v>
      </c>
      <c r="AC1517" t="s">
        <v>49</v>
      </c>
      <c r="AD1517">
        <v>0</v>
      </c>
      <c r="AE1517">
        <v>-1</v>
      </c>
      <c r="AF1517" t="s">
        <v>50</v>
      </c>
      <c r="AG1517" t="s">
        <v>493</v>
      </c>
    </row>
    <row r="1518" spans="1:33" x14ac:dyDescent="0.35">
      <c r="A1518" s="1">
        <v>44869.511111111111</v>
      </c>
      <c r="B1518">
        <v>6145336</v>
      </c>
      <c r="C1518" t="s">
        <v>3408</v>
      </c>
      <c r="D1518" t="s">
        <v>507</v>
      </c>
      <c r="E1518" s="2">
        <v>43658</v>
      </c>
      <c r="F1518" t="str">
        <f>"9781474417075"</f>
        <v>9781474417075</v>
      </c>
      <c r="G1518" t="str">
        <f>"9781474417068"</f>
        <v>9781474417068</v>
      </c>
      <c r="H1518" t="s">
        <v>1069</v>
      </c>
      <c r="I1518">
        <v>892.73009381999998</v>
      </c>
      <c r="J1518" t="s">
        <v>3409</v>
      </c>
      <c r="K1518" t="s">
        <v>55</v>
      </c>
      <c r="Q1518" t="s">
        <v>47</v>
      </c>
      <c r="R1518" t="s">
        <v>44</v>
      </c>
      <c r="S1518">
        <v>0</v>
      </c>
      <c r="W1518" s="3">
        <v>5.7870370370370366E-5</v>
      </c>
      <c r="X1518" t="s">
        <v>121</v>
      </c>
      <c r="Y1518">
        <v>1</v>
      </c>
      <c r="Z1518">
        <v>0</v>
      </c>
      <c r="AA1518" t="s">
        <v>49</v>
      </c>
      <c r="AB1518">
        <v>0</v>
      </c>
      <c r="AC1518" t="s">
        <v>49</v>
      </c>
      <c r="AD1518">
        <v>0</v>
      </c>
      <c r="AE1518">
        <v>-1</v>
      </c>
      <c r="AF1518" t="s">
        <v>50</v>
      </c>
      <c r="AG1518" t="s">
        <v>493</v>
      </c>
    </row>
    <row r="1519" spans="1:33" x14ac:dyDescent="0.35">
      <c r="A1519" s="1">
        <v>44869.511111111111</v>
      </c>
      <c r="B1519">
        <v>3443334</v>
      </c>
      <c r="C1519" t="s">
        <v>3410</v>
      </c>
      <c r="D1519" t="s">
        <v>2871</v>
      </c>
      <c r="E1519" s="2">
        <v>39539</v>
      </c>
      <c r="F1519" t="str">
        <f>"9780292794481"</f>
        <v>9780292794481</v>
      </c>
      <c r="G1519" t="str">
        <f>"9780292717275"</f>
        <v>9780292717275</v>
      </c>
      <c r="H1519" t="s">
        <v>353</v>
      </c>
      <c r="I1519" t="s">
        <v>3411</v>
      </c>
      <c r="J1519" t="s">
        <v>3412</v>
      </c>
      <c r="K1519" t="s">
        <v>44</v>
      </c>
      <c r="N1519" t="s">
        <v>45</v>
      </c>
      <c r="O1519" t="s">
        <v>46</v>
      </c>
      <c r="P1519" t="s">
        <v>45</v>
      </c>
      <c r="Q1519" t="s">
        <v>47</v>
      </c>
      <c r="R1519" t="s">
        <v>44</v>
      </c>
      <c r="S1519">
        <v>0</v>
      </c>
      <c r="W1519" s="3">
        <v>2.3148148148148147E-5</v>
      </c>
      <c r="X1519" t="s">
        <v>121</v>
      </c>
      <c r="Y1519">
        <v>1</v>
      </c>
      <c r="Z1519">
        <v>0</v>
      </c>
      <c r="AA1519" t="s">
        <v>49</v>
      </c>
      <c r="AB1519">
        <v>0</v>
      </c>
      <c r="AC1519" t="s">
        <v>49</v>
      </c>
      <c r="AD1519">
        <v>0</v>
      </c>
      <c r="AE1519">
        <v>10245830</v>
      </c>
      <c r="AF1519" t="s">
        <v>50</v>
      </c>
      <c r="AG1519" t="s">
        <v>493</v>
      </c>
    </row>
    <row r="1520" spans="1:33" x14ac:dyDescent="0.35">
      <c r="A1520" s="1">
        <v>44869.445833333331</v>
      </c>
      <c r="B1520">
        <v>1579916</v>
      </c>
      <c r="C1520" t="s">
        <v>3080</v>
      </c>
      <c r="D1520" t="s">
        <v>65</v>
      </c>
      <c r="E1520" s="2">
        <v>40386</v>
      </c>
      <c r="F1520" t="str">
        <f>"9781780630359"</f>
        <v>9781780630359</v>
      </c>
      <c r="G1520" t="str">
        <f>"9781843345152"</f>
        <v>9781843345152</v>
      </c>
      <c r="H1520" t="s">
        <v>3081</v>
      </c>
      <c r="I1520">
        <v>28.7</v>
      </c>
      <c r="J1520" t="s">
        <v>3082</v>
      </c>
      <c r="K1520" t="s">
        <v>44</v>
      </c>
      <c r="N1520" t="s">
        <v>45</v>
      </c>
      <c r="O1520" t="s">
        <v>46</v>
      </c>
      <c r="P1520" t="s">
        <v>45</v>
      </c>
      <c r="Q1520" t="s">
        <v>47</v>
      </c>
      <c r="R1520" t="s">
        <v>44</v>
      </c>
      <c r="S1520">
        <v>0</v>
      </c>
      <c r="W1520" s="3">
        <v>3.2638888888888891E-3</v>
      </c>
      <c r="X1520" t="s">
        <v>3413</v>
      </c>
      <c r="Y1520">
        <v>4</v>
      </c>
      <c r="Z1520">
        <v>0</v>
      </c>
      <c r="AA1520" t="s">
        <v>49</v>
      </c>
      <c r="AB1520">
        <v>0</v>
      </c>
      <c r="AC1520" t="s">
        <v>49</v>
      </c>
      <c r="AD1520">
        <v>0</v>
      </c>
      <c r="AE1520">
        <v>10818366</v>
      </c>
      <c r="AF1520" t="s">
        <v>50</v>
      </c>
      <c r="AG1520" t="s">
        <v>388</v>
      </c>
    </row>
    <row r="1521" spans="1:33" x14ac:dyDescent="0.35">
      <c r="A1521" s="1">
        <v>44869.368750000001</v>
      </c>
      <c r="B1521">
        <v>6893368</v>
      </c>
      <c r="C1521" t="s">
        <v>3414</v>
      </c>
      <c r="D1521" t="s">
        <v>213</v>
      </c>
      <c r="E1521" s="2">
        <v>44620</v>
      </c>
      <c r="F1521" t="str">
        <f>"9780128232347"</f>
        <v>9780128232347</v>
      </c>
      <c r="G1521" t="str">
        <f>"9780128216613"</f>
        <v>9780128216613</v>
      </c>
      <c r="H1521" t="s">
        <v>3415</v>
      </c>
      <c r="I1521">
        <v>681.2</v>
      </c>
      <c r="J1521" t="s">
        <v>3416</v>
      </c>
      <c r="K1521" t="s">
        <v>55</v>
      </c>
      <c r="Q1521" t="s">
        <v>47</v>
      </c>
      <c r="R1521" t="s">
        <v>44</v>
      </c>
      <c r="S1521">
        <v>0</v>
      </c>
      <c r="W1521" s="3">
        <v>8.2060185185185187E-3</v>
      </c>
      <c r="X1521" t="s">
        <v>3417</v>
      </c>
      <c r="Y1521">
        <v>23</v>
      </c>
      <c r="Z1521">
        <v>0</v>
      </c>
      <c r="AA1521" t="s">
        <v>49</v>
      </c>
      <c r="AB1521">
        <v>0</v>
      </c>
      <c r="AC1521" t="s">
        <v>49</v>
      </c>
      <c r="AD1521">
        <v>0</v>
      </c>
      <c r="AE1521">
        <v>-1</v>
      </c>
      <c r="AF1521" t="s">
        <v>63</v>
      </c>
      <c r="AG1521" t="s">
        <v>388</v>
      </c>
    </row>
    <row r="1522" spans="1:33" x14ac:dyDescent="0.35">
      <c r="A1522" s="1">
        <v>44869.344444444447</v>
      </c>
      <c r="B1522">
        <v>5772949</v>
      </c>
      <c r="C1522" t="s">
        <v>1594</v>
      </c>
      <c r="D1522" t="s">
        <v>76</v>
      </c>
      <c r="E1522" s="2">
        <v>43615</v>
      </c>
      <c r="F1522" t="str">
        <f>"9781000000795"</f>
        <v>9781000000795</v>
      </c>
      <c r="G1522" t="str">
        <f>"9781138387799"</f>
        <v>9781138387799</v>
      </c>
      <c r="H1522" t="s">
        <v>90</v>
      </c>
      <c r="I1522">
        <v>370</v>
      </c>
      <c r="J1522" t="s">
        <v>1595</v>
      </c>
      <c r="K1522" t="s">
        <v>55</v>
      </c>
      <c r="N1522" t="s">
        <v>293</v>
      </c>
      <c r="P1522" t="s">
        <v>80</v>
      </c>
      <c r="Q1522" t="s">
        <v>47</v>
      </c>
      <c r="R1522" t="s">
        <v>44</v>
      </c>
      <c r="S1522">
        <v>0</v>
      </c>
      <c r="W1522" s="3">
        <v>3.4722222222222224E-4</v>
      </c>
      <c r="X1522" t="s">
        <v>121</v>
      </c>
      <c r="Y1522">
        <v>1</v>
      </c>
      <c r="Z1522">
        <v>2</v>
      </c>
      <c r="AA1522" t="s">
        <v>3418</v>
      </c>
      <c r="AB1522">
        <v>54</v>
      </c>
      <c r="AC1522" t="s">
        <v>49</v>
      </c>
      <c r="AD1522">
        <v>0</v>
      </c>
      <c r="AE1522">
        <v>-1</v>
      </c>
      <c r="AF1522" t="s">
        <v>50</v>
      </c>
      <c r="AG1522" t="s">
        <v>3419</v>
      </c>
    </row>
    <row r="1523" spans="1:33" x14ac:dyDescent="0.35">
      <c r="A1523" s="1">
        <v>44869.302083333336</v>
      </c>
      <c r="B1523">
        <v>5744656</v>
      </c>
      <c r="C1523" t="s">
        <v>3420</v>
      </c>
      <c r="D1523" t="s">
        <v>614</v>
      </c>
      <c r="E1523" s="2">
        <v>43557</v>
      </c>
      <c r="F1523" t="str">
        <f>"9789811364471"</f>
        <v>9789811364471</v>
      </c>
      <c r="G1523" t="str">
        <f>"9789811364464"</f>
        <v>9789811364464</v>
      </c>
      <c r="H1523" t="s">
        <v>126</v>
      </c>
      <c r="I1523">
        <v>629.89200000000005</v>
      </c>
      <c r="J1523" t="s">
        <v>234</v>
      </c>
      <c r="K1523" t="s">
        <v>55</v>
      </c>
      <c r="Q1523" t="s">
        <v>47</v>
      </c>
      <c r="R1523" t="s">
        <v>44</v>
      </c>
      <c r="S1523">
        <v>0</v>
      </c>
      <c r="W1523" s="3">
        <v>3.6805555555555554E-3</v>
      </c>
      <c r="X1523" t="s">
        <v>3421</v>
      </c>
      <c r="Y1523">
        <v>17</v>
      </c>
      <c r="Z1523">
        <v>0</v>
      </c>
      <c r="AA1523" t="s">
        <v>49</v>
      </c>
      <c r="AB1523">
        <v>0</v>
      </c>
      <c r="AC1523" t="s">
        <v>49</v>
      </c>
      <c r="AD1523">
        <v>0</v>
      </c>
      <c r="AE1523">
        <v>-1</v>
      </c>
      <c r="AF1523" t="s">
        <v>63</v>
      </c>
      <c r="AG1523" t="s">
        <v>866</v>
      </c>
    </row>
    <row r="1524" spans="1:33" x14ac:dyDescent="0.35">
      <c r="A1524" s="1">
        <v>44869.17083333333</v>
      </c>
      <c r="B1524">
        <v>5607639</v>
      </c>
      <c r="C1524" t="s">
        <v>3215</v>
      </c>
      <c r="D1524" t="s">
        <v>213</v>
      </c>
      <c r="E1524" s="2">
        <v>43437</v>
      </c>
      <c r="F1524" t="str">
        <f>"9780128150399"</f>
        <v>9780128150399</v>
      </c>
      <c r="G1524" t="str">
        <f>"9780128150382"</f>
        <v>9780128150382</v>
      </c>
      <c r="H1524" t="s">
        <v>60</v>
      </c>
      <c r="I1524">
        <v>388.4</v>
      </c>
      <c r="J1524" t="s">
        <v>3216</v>
      </c>
      <c r="K1524" t="s">
        <v>55</v>
      </c>
      <c r="Q1524" t="s">
        <v>47</v>
      </c>
      <c r="R1524" t="s">
        <v>44</v>
      </c>
      <c r="S1524">
        <v>0</v>
      </c>
      <c r="W1524" s="3">
        <v>9.2592592592592588E-5</v>
      </c>
      <c r="X1524" t="s">
        <v>3422</v>
      </c>
      <c r="Y1524">
        <v>1</v>
      </c>
      <c r="Z1524">
        <v>0</v>
      </c>
      <c r="AA1524" t="s">
        <v>49</v>
      </c>
      <c r="AB1524">
        <v>0</v>
      </c>
      <c r="AC1524" t="s">
        <v>49</v>
      </c>
      <c r="AD1524">
        <v>0</v>
      </c>
      <c r="AE1524">
        <v>-1</v>
      </c>
      <c r="AF1524" t="s">
        <v>50</v>
      </c>
      <c r="AG1524" t="s">
        <v>388</v>
      </c>
    </row>
    <row r="1525" spans="1:33" x14ac:dyDescent="0.35">
      <c r="A1525" s="1">
        <v>44869.152777777781</v>
      </c>
      <c r="B1525">
        <v>1800495</v>
      </c>
      <c r="C1525" t="s">
        <v>3423</v>
      </c>
      <c r="D1525" t="s">
        <v>2022</v>
      </c>
      <c r="E1525" s="2">
        <v>41431</v>
      </c>
      <c r="F1525" t="str">
        <f>"9781443867931"</f>
        <v>9781443867931</v>
      </c>
      <c r="G1525" t="str">
        <f>"9781443847018"</f>
        <v>9781443847018</v>
      </c>
      <c r="H1525" t="s">
        <v>1046</v>
      </c>
      <c r="I1525">
        <v>307.76</v>
      </c>
      <c r="J1525" t="s">
        <v>3424</v>
      </c>
      <c r="K1525" t="s">
        <v>44</v>
      </c>
      <c r="N1525" t="s">
        <v>45</v>
      </c>
      <c r="O1525" t="s">
        <v>46</v>
      </c>
      <c r="P1525" t="s">
        <v>45</v>
      </c>
      <c r="Q1525" t="s">
        <v>47</v>
      </c>
      <c r="R1525" t="s">
        <v>44</v>
      </c>
      <c r="S1525">
        <v>0</v>
      </c>
      <c r="W1525" s="3">
        <v>2.1643518518518518E-3</v>
      </c>
      <c r="X1525" t="s">
        <v>3425</v>
      </c>
      <c r="Y1525">
        <v>2</v>
      </c>
      <c r="Z1525">
        <v>0</v>
      </c>
      <c r="AA1525" t="s">
        <v>49</v>
      </c>
      <c r="AB1525">
        <v>0</v>
      </c>
      <c r="AC1525" t="s">
        <v>49</v>
      </c>
      <c r="AD1525">
        <v>0</v>
      </c>
      <c r="AE1525">
        <v>10949411</v>
      </c>
      <c r="AF1525" t="s">
        <v>50</v>
      </c>
      <c r="AG1525" t="s">
        <v>388</v>
      </c>
    </row>
    <row r="1526" spans="1:33" x14ac:dyDescent="0.35">
      <c r="A1526" s="1">
        <v>44869.150694444441</v>
      </c>
      <c r="B1526">
        <v>710109</v>
      </c>
      <c r="C1526" t="s">
        <v>3426</v>
      </c>
      <c r="D1526" t="s">
        <v>76</v>
      </c>
      <c r="E1526" s="2">
        <v>41773</v>
      </c>
      <c r="F1526" t="str">
        <f>"9780203817933"</f>
        <v>9780203817933</v>
      </c>
      <c r="G1526" t="str">
        <f>"9780415608237"</f>
        <v>9780415608237</v>
      </c>
      <c r="H1526" t="s">
        <v>1046</v>
      </c>
      <c r="I1526" t="s">
        <v>3427</v>
      </c>
      <c r="J1526" t="s">
        <v>3428</v>
      </c>
      <c r="K1526" t="s">
        <v>44</v>
      </c>
      <c r="N1526" t="s">
        <v>45</v>
      </c>
      <c r="O1526" t="s">
        <v>46</v>
      </c>
      <c r="P1526" t="s">
        <v>45</v>
      </c>
      <c r="Q1526" t="s">
        <v>47</v>
      </c>
      <c r="R1526" t="s">
        <v>44</v>
      </c>
      <c r="S1526">
        <v>0</v>
      </c>
      <c r="W1526" s="3">
        <v>1.3541666666666667E-3</v>
      </c>
      <c r="X1526" t="s">
        <v>3429</v>
      </c>
      <c r="Y1526">
        <v>4</v>
      </c>
      <c r="Z1526">
        <v>3</v>
      </c>
      <c r="AA1526" t="s">
        <v>3430</v>
      </c>
      <c r="AB1526">
        <v>77</v>
      </c>
      <c r="AC1526" t="s">
        <v>49</v>
      </c>
      <c r="AD1526">
        <v>0</v>
      </c>
      <c r="AE1526">
        <v>10480647</v>
      </c>
      <c r="AF1526" t="s">
        <v>50</v>
      </c>
      <c r="AG1526" t="s">
        <v>388</v>
      </c>
    </row>
    <row r="1527" spans="1:33" x14ac:dyDescent="0.35">
      <c r="A1527" s="1">
        <v>44869.116666666669</v>
      </c>
      <c r="B1527">
        <v>298481</v>
      </c>
      <c r="C1527" t="s">
        <v>3431</v>
      </c>
      <c r="D1527" t="s">
        <v>76</v>
      </c>
      <c r="E1527" s="2">
        <v>37791</v>
      </c>
      <c r="F1527" t="str">
        <f>"9780080520278"</f>
        <v>9780080520278</v>
      </c>
      <c r="G1527" t="str">
        <f>"9780750657174"</f>
        <v>9780750657174</v>
      </c>
      <c r="H1527" t="s">
        <v>3432</v>
      </c>
      <c r="I1527">
        <v>711.4</v>
      </c>
      <c r="J1527" t="s">
        <v>3433</v>
      </c>
      <c r="K1527" t="s">
        <v>44</v>
      </c>
      <c r="N1527" t="s">
        <v>45</v>
      </c>
      <c r="O1527" t="s">
        <v>46</v>
      </c>
      <c r="P1527" t="s">
        <v>45</v>
      </c>
      <c r="Q1527" t="s">
        <v>47</v>
      </c>
      <c r="R1527" t="s">
        <v>44</v>
      </c>
      <c r="S1527">
        <v>0</v>
      </c>
      <c r="W1527" s="3">
        <v>1.3541666666666667E-3</v>
      </c>
      <c r="X1527" t="s">
        <v>3434</v>
      </c>
      <c r="Y1527">
        <v>4</v>
      </c>
      <c r="Z1527">
        <v>4</v>
      </c>
      <c r="AA1527" t="s">
        <v>3435</v>
      </c>
      <c r="AB1527">
        <v>90</v>
      </c>
      <c r="AC1527" t="s">
        <v>49</v>
      </c>
      <c r="AD1527">
        <v>0</v>
      </c>
      <c r="AE1527">
        <v>10179875</v>
      </c>
      <c r="AF1527" t="s">
        <v>63</v>
      </c>
      <c r="AG1527" t="s">
        <v>388</v>
      </c>
    </row>
    <row r="1528" spans="1:33" x14ac:dyDescent="0.35">
      <c r="A1528" s="1">
        <v>44869.104861111111</v>
      </c>
      <c r="B1528">
        <v>5607639</v>
      </c>
      <c r="C1528" t="s">
        <v>3215</v>
      </c>
      <c r="D1528" t="s">
        <v>213</v>
      </c>
      <c r="E1528" s="2">
        <v>43437</v>
      </c>
      <c r="F1528" t="str">
        <f>"9780128150399"</f>
        <v>9780128150399</v>
      </c>
      <c r="G1528" t="str">
        <f>"9780128150382"</f>
        <v>9780128150382</v>
      </c>
      <c r="H1528" t="s">
        <v>60</v>
      </c>
      <c r="I1528">
        <v>388.4</v>
      </c>
      <c r="J1528" t="s">
        <v>3216</v>
      </c>
      <c r="K1528" t="s">
        <v>55</v>
      </c>
      <c r="Q1528" t="s">
        <v>47</v>
      </c>
      <c r="R1528" t="s">
        <v>44</v>
      </c>
      <c r="S1528">
        <v>0</v>
      </c>
      <c r="W1528" s="3">
        <v>9.2245370370370363E-3</v>
      </c>
      <c r="X1528" t="s">
        <v>3422</v>
      </c>
      <c r="Y1528">
        <v>1</v>
      </c>
      <c r="Z1528">
        <v>0</v>
      </c>
      <c r="AA1528" t="s">
        <v>49</v>
      </c>
      <c r="AB1528">
        <v>0</v>
      </c>
      <c r="AC1528" t="s">
        <v>49</v>
      </c>
      <c r="AD1528">
        <v>0</v>
      </c>
      <c r="AE1528">
        <v>-1</v>
      </c>
      <c r="AF1528" t="s">
        <v>63</v>
      </c>
      <c r="AG1528" t="s">
        <v>388</v>
      </c>
    </row>
    <row r="1529" spans="1:33" x14ac:dyDescent="0.35">
      <c r="A1529" s="1">
        <v>44869.09097222222</v>
      </c>
      <c r="B1529">
        <v>536977</v>
      </c>
      <c r="C1529" t="s">
        <v>1900</v>
      </c>
      <c r="D1529" t="s">
        <v>507</v>
      </c>
      <c r="E1529" s="2">
        <v>40043</v>
      </c>
      <c r="F1529" t="str">
        <f>"9780748637942"</f>
        <v>9780748637942</v>
      </c>
      <c r="G1529" t="str">
        <f>"9780748637928"</f>
        <v>9780748637928</v>
      </c>
      <c r="H1529" t="s">
        <v>162</v>
      </c>
      <c r="I1529">
        <v>297</v>
      </c>
      <c r="J1529" t="s">
        <v>1901</v>
      </c>
      <c r="K1529" t="s">
        <v>44</v>
      </c>
      <c r="N1529" t="s">
        <v>45</v>
      </c>
      <c r="O1529" t="s">
        <v>46</v>
      </c>
      <c r="P1529" t="s">
        <v>45</v>
      </c>
      <c r="Q1529" t="s">
        <v>47</v>
      </c>
      <c r="R1529" t="s">
        <v>44</v>
      </c>
      <c r="S1529">
        <v>0</v>
      </c>
      <c r="W1529" s="3">
        <v>5.0925925925925921E-4</v>
      </c>
      <c r="X1529" t="s">
        <v>3436</v>
      </c>
      <c r="Y1529">
        <v>5</v>
      </c>
      <c r="Z1529">
        <v>0</v>
      </c>
      <c r="AA1529" t="s">
        <v>49</v>
      </c>
      <c r="AB1529">
        <v>0</v>
      </c>
      <c r="AC1529" t="s">
        <v>49</v>
      </c>
      <c r="AD1529">
        <v>0</v>
      </c>
      <c r="AE1529">
        <v>10391780</v>
      </c>
      <c r="AF1529" t="s">
        <v>50</v>
      </c>
      <c r="AG1529" t="s">
        <v>1536</v>
      </c>
    </row>
    <row r="1530" spans="1:33" x14ac:dyDescent="0.35">
      <c r="A1530" s="1">
        <v>44869.088194444441</v>
      </c>
      <c r="B1530">
        <v>1800495</v>
      </c>
      <c r="C1530" t="s">
        <v>3423</v>
      </c>
      <c r="D1530" t="s">
        <v>2022</v>
      </c>
      <c r="E1530" s="2">
        <v>41431</v>
      </c>
      <c r="F1530" t="str">
        <f>"9781443867931"</f>
        <v>9781443867931</v>
      </c>
      <c r="G1530" t="str">
        <f>"9781443847018"</f>
        <v>9781443847018</v>
      </c>
      <c r="H1530" t="s">
        <v>1046</v>
      </c>
      <c r="I1530">
        <v>307.76</v>
      </c>
      <c r="J1530" t="s">
        <v>3424</v>
      </c>
      <c r="K1530" t="s">
        <v>44</v>
      </c>
      <c r="N1530" t="s">
        <v>45</v>
      </c>
      <c r="O1530" t="s">
        <v>46</v>
      </c>
      <c r="P1530" t="s">
        <v>45</v>
      </c>
      <c r="Q1530" t="s">
        <v>47</v>
      </c>
      <c r="R1530" t="s">
        <v>44</v>
      </c>
      <c r="S1530">
        <v>0</v>
      </c>
      <c r="W1530" s="3">
        <v>5.0462962962962961E-3</v>
      </c>
      <c r="X1530" t="s">
        <v>3437</v>
      </c>
      <c r="Y1530">
        <v>5</v>
      </c>
      <c r="Z1530">
        <v>0</v>
      </c>
      <c r="AA1530" t="s">
        <v>49</v>
      </c>
      <c r="AB1530">
        <v>0</v>
      </c>
      <c r="AC1530" t="s">
        <v>49</v>
      </c>
      <c r="AD1530">
        <v>0</v>
      </c>
      <c r="AE1530">
        <v>10949411</v>
      </c>
      <c r="AF1530" t="s">
        <v>50</v>
      </c>
      <c r="AG1530" t="s">
        <v>388</v>
      </c>
    </row>
    <row r="1531" spans="1:33" x14ac:dyDescent="0.35">
      <c r="A1531" s="1">
        <v>44868.927777777775</v>
      </c>
      <c r="B1531">
        <v>668869</v>
      </c>
      <c r="C1531" t="s">
        <v>3438</v>
      </c>
      <c r="D1531" t="s">
        <v>76</v>
      </c>
      <c r="E1531" s="2">
        <v>40654</v>
      </c>
      <c r="F1531" t="str">
        <f>"9780203839393"</f>
        <v>9780203839393</v>
      </c>
      <c r="G1531" t="str">
        <f>"9780415434782"</f>
        <v>9780415434782</v>
      </c>
      <c r="H1531" t="s">
        <v>667</v>
      </c>
      <c r="I1531">
        <v>956.94054000000006</v>
      </c>
      <c r="J1531" t="s">
        <v>3439</v>
      </c>
      <c r="K1531" t="s">
        <v>44</v>
      </c>
      <c r="N1531" t="s">
        <v>45</v>
      </c>
      <c r="O1531" t="s">
        <v>46</v>
      </c>
      <c r="P1531" t="s">
        <v>45</v>
      </c>
      <c r="Q1531" t="s">
        <v>47</v>
      </c>
      <c r="R1531" t="s">
        <v>44</v>
      </c>
      <c r="S1531">
        <v>0</v>
      </c>
      <c r="W1531" s="3">
        <v>1.4930555555555556E-3</v>
      </c>
      <c r="X1531" t="s">
        <v>3440</v>
      </c>
      <c r="Y1531">
        <v>11</v>
      </c>
      <c r="Z1531">
        <v>0</v>
      </c>
      <c r="AA1531" t="s">
        <v>49</v>
      </c>
      <c r="AB1531">
        <v>0</v>
      </c>
      <c r="AC1531" t="s">
        <v>49</v>
      </c>
      <c r="AD1531">
        <v>0</v>
      </c>
      <c r="AE1531">
        <v>10462554</v>
      </c>
      <c r="AF1531" t="s">
        <v>50</v>
      </c>
      <c r="AG1531" t="s">
        <v>1536</v>
      </c>
    </row>
    <row r="1532" spans="1:33" x14ac:dyDescent="0.35">
      <c r="A1532" s="1">
        <v>44868.847916666666</v>
      </c>
      <c r="B1532">
        <v>3097892</v>
      </c>
      <c r="C1532" t="s">
        <v>3441</v>
      </c>
      <c r="D1532" t="s">
        <v>2271</v>
      </c>
      <c r="E1532" s="2">
        <v>35614</v>
      </c>
      <c r="F1532" t="str">
        <f>"9783662035016"</f>
        <v>9783662035016</v>
      </c>
      <c r="G1532" t="str">
        <f>"9783642082511"</f>
        <v>9783642082511</v>
      </c>
      <c r="H1532" t="s">
        <v>3442</v>
      </c>
      <c r="I1532" t="s">
        <v>3443</v>
      </c>
      <c r="J1532" t="s">
        <v>3444</v>
      </c>
      <c r="K1532" t="s">
        <v>44</v>
      </c>
      <c r="N1532" t="s">
        <v>45</v>
      </c>
      <c r="O1532" t="s">
        <v>46</v>
      </c>
      <c r="P1532" t="s">
        <v>45</v>
      </c>
      <c r="Q1532" t="s">
        <v>47</v>
      </c>
      <c r="R1532" t="s">
        <v>44</v>
      </c>
      <c r="S1532">
        <v>0</v>
      </c>
      <c r="W1532" s="3">
        <v>1.4120370370370369E-3</v>
      </c>
      <c r="X1532" t="s">
        <v>3445</v>
      </c>
      <c r="Y1532">
        <v>11</v>
      </c>
      <c r="Z1532">
        <v>0</v>
      </c>
      <c r="AA1532" t="s">
        <v>49</v>
      </c>
      <c r="AB1532">
        <v>0</v>
      </c>
      <c r="AC1532" t="s">
        <v>49</v>
      </c>
      <c r="AD1532">
        <v>0</v>
      </c>
      <c r="AE1532">
        <v>10971855</v>
      </c>
      <c r="AF1532" t="s">
        <v>50</v>
      </c>
      <c r="AG1532" t="s">
        <v>388</v>
      </c>
    </row>
    <row r="1533" spans="1:33" x14ac:dyDescent="0.35">
      <c r="A1533" s="1">
        <v>44868.713888888888</v>
      </c>
      <c r="B1533">
        <v>3114768</v>
      </c>
      <c r="C1533" t="s">
        <v>3446</v>
      </c>
      <c r="D1533" t="s">
        <v>336</v>
      </c>
      <c r="E1533" s="2">
        <v>36526</v>
      </c>
      <c r="F1533" t="str">
        <f>"9781936190768"</f>
        <v>9781936190768</v>
      </c>
      <c r="G1533" t="str">
        <f>"9789774245138"</f>
        <v>9789774245138</v>
      </c>
      <c r="H1533" t="s">
        <v>1046</v>
      </c>
      <c r="J1533" t="s">
        <v>3447</v>
      </c>
      <c r="K1533" t="s">
        <v>44</v>
      </c>
      <c r="N1533" t="s">
        <v>45</v>
      </c>
      <c r="O1533" t="s">
        <v>46</v>
      </c>
      <c r="P1533" t="s">
        <v>45</v>
      </c>
      <c r="Q1533" t="s">
        <v>47</v>
      </c>
      <c r="R1533" t="s">
        <v>44</v>
      </c>
      <c r="S1533">
        <v>0</v>
      </c>
      <c r="W1533" s="3">
        <v>8.9583333333333338E-3</v>
      </c>
      <c r="X1533" t="s">
        <v>3448</v>
      </c>
      <c r="Y1533">
        <v>10</v>
      </c>
      <c r="Z1533">
        <v>0</v>
      </c>
      <c r="AA1533" t="s">
        <v>49</v>
      </c>
      <c r="AB1533">
        <v>0</v>
      </c>
      <c r="AC1533" t="s">
        <v>49</v>
      </c>
      <c r="AD1533">
        <v>0</v>
      </c>
      <c r="AE1533">
        <v>10413285</v>
      </c>
      <c r="AF1533" t="s">
        <v>50</v>
      </c>
      <c r="AG1533" t="s">
        <v>388</v>
      </c>
    </row>
    <row r="1534" spans="1:33" x14ac:dyDescent="0.35">
      <c r="A1534" s="1">
        <v>44868.597222222219</v>
      </c>
      <c r="B1534">
        <v>1775721</v>
      </c>
      <c r="C1534" t="s">
        <v>3449</v>
      </c>
      <c r="D1534" t="s">
        <v>3450</v>
      </c>
      <c r="E1534" s="2">
        <v>41872</v>
      </c>
      <c r="F1534" t="str">
        <f>"9780838912409"</f>
        <v>9780838912409</v>
      </c>
      <c r="G1534" t="str">
        <f>"9780838912393"</f>
        <v>9780838912393</v>
      </c>
      <c r="H1534" t="s">
        <v>385</v>
      </c>
      <c r="I1534" t="s">
        <v>3451</v>
      </c>
      <c r="J1534" t="s">
        <v>3452</v>
      </c>
      <c r="K1534" t="s">
        <v>44</v>
      </c>
      <c r="N1534" t="s">
        <v>45</v>
      </c>
      <c r="O1534" t="s">
        <v>46</v>
      </c>
      <c r="P1534" t="s">
        <v>45</v>
      </c>
      <c r="Q1534" t="s">
        <v>47</v>
      </c>
      <c r="R1534" t="s">
        <v>44</v>
      </c>
      <c r="S1534">
        <v>0</v>
      </c>
      <c r="W1534" s="3">
        <v>1.0416666666666667E-4</v>
      </c>
      <c r="X1534" t="s">
        <v>3453</v>
      </c>
      <c r="Y1534">
        <v>2</v>
      </c>
      <c r="Z1534">
        <v>0</v>
      </c>
      <c r="AA1534" t="s">
        <v>49</v>
      </c>
      <c r="AB1534">
        <v>0</v>
      </c>
      <c r="AC1534" t="s">
        <v>49</v>
      </c>
      <c r="AD1534">
        <v>0</v>
      </c>
      <c r="AE1534">
        <v>10921676</v>
      </c>
      <c r="AF1534" t="s">
        <v>50</v>
      </c>
      <c r="AG1534" t="s">
        <v>388</v>
      </c>
    </row>
    <row r="1535" spans="1:33" x14ac:dyDescent="0.35">
      <c r="A1535" s="1">
        <v>44868.543749999997</v>
      </c>
      <c r="B1535">
        <v>3339444</v>
      </c>
      <c r="C1535" t="s">
        <v>2988</v>
      </c>
      <c r="D1535" t="s">
        <v>303</v>
      </c>
      <c r="E1535" s="2">
        <v>40410</v>
      </c>
      <c r="F1535" t="str">
        <f>"9780262289122"</f>
        <v>9780262289122</v>
      </c>
      <c r="G1535" t="str">
        <f>"9780262014625"</f>
        <v>9780262014625</v>
      </c>
      <c r="H1535" t="s">
        <v>2989</v>
      </c>
      <c r="I1535" t="s">
        <v>2990</v>
      </c>
      <c r="J1535" t="s">
        <v>2991</v>
      </c>
      <c r="K1535" t="s">
        <v>44</v>
      </c>
      <c r="N1535" t="s">
        <v>45</v>
      </c>
      <c r="O1535" t="s">
        <v>46</v>
      </c>
      <c r="P1535" t="s">
        <v>45</v>
      </c>
      <c r="Q1535" t="s">
        <v>47</v>
      </c>
      <c r="R1535" t="s">
        <v>44</v>
      </c>
      <c r="S1535">
        <v>0</v>
      </c>
      <c r="W1535" s="3">
        <v>1.53125E-2</v>
      </c>
      <c r="X1535" t="s">
        <v>3454</v>
      </c>
      <c r="Y1535">
        <v>11</v>
      </c>
      <c r="Z1535">
        <v>0</v>
      </c>
      <c r="AA1535" t="s">
        <v>49</v>
      </c>
      <c r="AB1535">
        <v>0</v>
      </c>
      <c r="AC1535" t="s">
        <v>49</v>
      </c>
      <c r="AD1535">
        <v>0</v>
      </c>
      <c r="AE1535">
        <v>10562042</v>
      </c>
      <c r="AF1535" t="s">
        <v>50</v>
      </c>
      <c r="AG1535" t="s">
        <v>388</v>
      </c>
    </row>
    <row r="1536" spans="1:33" x14ac:dyDescent="0.35">
      <c r="A1536" s="1">
        <v>44868.510416666664</v>
      </c>
      <c r="B1536">
        <v>3339444</v>
      </c>
      <c r="C1536" t="s">
        <v>2988</v>
      </c>
      <c r="D1536" t="s">
        <v>303</v>
      </c>
      <c r="E1536" s="2">
        <v>40410</v>
      </c>
      <c r="F1536" t="str">
        <f>"9780262289122"</f>
        <v>9780262289122</v>
      </c>
      <c r="G1536" t="str">
        <f>"9780262014625"</f>
        <v>9780262014625</v>
      </c>
      <c r="H1536" t="s">
        <v>2989</v>
      </c>
      <c r="I1536" t="s">
        <v>2990</v>
      </c>
      <c r="J1536" t="s">
        <v>2991</v>
      </c>
      <c r="K1536" t="s">
        <v>44</v>
      </c>
      <c r="N1536" t="s">
        <v>45</v>
      </c>
      <c r="O1536" t="s">
        <v>46</v>
      </c>
      <c r="P1536" t="s">
        <v>45</v>
      </c>
      <c r="Q1536" t="s">
        <v>47</v>
      </c>
      <c r="R1536" t="s">
        <v>44</v>
      </c>
      <c r="S1536">
        <v>0</v>
      </c>
      <c r="W1536" s="3">
        <v>1.4583333333333334E-3</v>
      </c>
      <c r="X1536" t="s">
        <v>3455</v>
      </c>
      <c r="Y1536">
        <v>13</v>
      </c>
      <c r="Z1536">
        <v>0</v>
      </c>
      <c r="AA1536" t="s">
        <v>49</v>
      </c>
      <c r="AB1536">
        <v>0</v>
      </c>
      <c r="AC1536" t="s">
        <v>49</v>
      </c>
      <c r="AD1536">
        <v>0</v>
      </c>
      <c r="AE1536">
        <v>10562042</v>
      </c>
      <c r="AF1536" t="s">
        <v>50</v>
      </c>
      <c r="AG1536" t="s">
        <v>1536</v>
      </c>
    </row>
    <row r="1537" spans="1:33" x14ac:dyDescent="0.35">
      <c r="A1537" s="1">
        <v>44868.454861111109</v>
      </c>
      <c r="B1537">
        <v>848526</v>
      </c>
      <c r="C1537" t="s">
        <v>2541</v>
      </c>
      <c r="D1537" t="s">
        <v>59</v>
      </c>
      <c r="E1537" s="2">
        <v>41212</v>
      </c>
      <c r="F1537" t="str">
        <f>"9781118310069"</f>
        <v>9781118310069</v>
      </c>
      <c r="G1537" t="str">
        <f>"9780470566671"</f>
        <v>9780470566671</v>
      </c>
      <c r="H1537" t="s">
        <v>2542</v>
      </c>
      <c r="I1537">
        <v>610.28</v>
      </c>
      <c r="J1537" t="s">
        <v>2543</v>
      </c>
      <c r="K1537" t="s">
        <v>44</v>
      </c>
      <c r="N1537" t="s">
        <v>45</v>
      </c>
      <c r="O1537" t="s">
        <v>46</v>
      </c>
      <c r="P1537" t="s">
        <v>45</v>
      </c>
      <c r="Q1537" t="s">
        <v>47</v>
      </c>
      <c r="R1537" t="s">
        <v>44</v>
      </c>
      <c r="S1537">
        <v>1</v>
      </c>
      <c r="W1537" s="3">
        <v>4.5127314814814821E-2</v>
      </c>
      <c r="X1537" t="s">
        <v>3456</v>
      </c>
      <c r="Y1537">
        <v>32</v>
      </c>
      <c r="Z1537">
        <v>0</v>
      </c>
      <c r="AA1537" t="s">
        <v>49</v>
      </c>
      <c r="AB1537">
        <v>0</v>
      </c>
      <c r="AC1537" t="s">
        <v>3457</v>
      </c>
      <c r="AD1537">
        <v>2</v>
      </c>
      <c r="AE1537">
        <v>10615085</v>
      </c>
      <c r="AF1537" t="s">
        <v>63</v>
      </c>
      <c r="AG1537" t="s">
        <v>2780</v>
      </c>
    </row>
    <row r="1538" spans="1:33" x14ac:dyDescent="0.35">
      <c r="A1538" s="1">
        <v>44868.453472222223</v>
      </c>
      <c r="B1538">
        <v>848526</v>
      </c>
      <c r="C1538" t="s">
        <v>2541</v>
      </c>
      <c r="D1538" t="s">
        <v>59</v>
      </c>
      <c r="E1538" s="2">
        <v>41212</v>
      </c>
      <c r="F1538" t="str">
        <f>"9781118310069"</f>
        <v>9781118310069</v>
      </c>
      <c r="G1538" t="str">
        <f>"9780470566671"</f>
        <v>9780470566671</v>
      </c>
      <c r="H1538" t="s">
        <v>2542</v>
      </c>
      <c r="I1538">
        <v>610.28</v>
      </c>
      <c r="J1538" t="s">
        <v>2543</v>
      </c>
      <c r="K1538" t="s">
        <v>44</v>
      </c>
      <c r="N1538" t="s">
        <v>45</v>
      </c>
      <c r="O1538" t="s">
        <v>46</v>
      </c>
      <c r="P1538" t="s">
        <v>45</v>
      </c>
      <c r="Q1538" t="s">
        <v>47</v>
      </c>
      <c r="R1538" t="s">
        <v>44</v>
      </c>
      <c r="S1538">
        <v>0</v>
      </c>
      <c r="W1538" s="3">
        <v>1.3888888888888889E-4</v>
      </c>
      <c r="X1538" t="s">
        <v>577</v>
      </c>
      <c r="Y1538">
        <v>2</v>
      </c>
      <c r="Z1538">
        <v>0</v>
      </c>
      <c r="AA1538" t="s">
        <v>49</v>
      </c>
      <c r="AB1538">
        <v>0</v>
      </c>
      <c r="AC1538" t="s">
        <v>49</v>
      </c>
      <c r="AD1538">
        <v>0</v>
      </c>
      <c r="AE1538">
        <v>10615085</v>
      </c>
      <c r="AF1538" t="s">
        <v>50</v>
      </c>
      <c r="AG1538" t="s">
        <v>2780</v>
      </c>
    </row>
    <row r="1539" spans="1:33" x14ac:dyDescent="0.35">
      <c r="A1539" s="1">
        <v>44868.450694444444</v>
      </c>
      <c r="B1539">
        <v>1579916</v>
      </c>
      <c r="C1539" t="s">
        <v>3080</v>
      </c>
      <c r="D1539" t="s">
        <v>65</v>
      </c>
      <c r="E1539" s="2">
        <v>40386</v>
      </c>
      <c r="F1539" t="str">
        <f>"9781780630359"</f>
        <v>9781780630359</v>
      </c>
      <c r="G1539" t="str">
        <f>"9781843345152"</f>
        <v>9781843345152</v>
      </c>
      <c r="H1539" t="s">
        <v>3081</v>
      </c>
      <c r="I1539">
        <v>28.7</v>
      </c>
      <c r="J1539" t="s">
        <v>3082</v>
      </c>
      <c r="K1539" t="s">
        <v>44</v>
      </c>
      <c r="N1539" t="s">
        <v>45</v>
      </c>
      <c r="O1539" t="s">
        <v>46</v>
      </c>
      <c r="P1539" t="s">
        <v>45</v>
      </c>
      <c r="Q1539" t="s">
        <v>47</v>
      </c>
      <c r="R1539" t="s">
        <v>44</v>
      </c>
      <c r="S1539">
        <v>0</v>
      </c>
      <c r="W1539" s="3">
        <v>3.3564814814814812E-4</v>
      </c>
      <c r="X1539" t="s">
        <v>3413</v>
      </c>
      <c r="Y1539">
        <v>4</v>
      </c>
      <c r="Z1539">
        <v>0</v>
      </c>
      <c r="AA1539" t="s">
        <v>49</v>
      </c>
      <c r="AB1539">
        <v>0</v>
      </c>
      <c r="AC1539" t="s">
        <v>49</v>
      </c>
      <c r="AD1539">
        <v>0</v>
      </c>
      <c r="AE1539">
        <v>10818366</v>
      </c>
      <c r="AF1539" t="s">
        <v>50</v>
      </c>
      <c r="AG1539" t="s">
        <v>388</v>
      </c>
    </row>
    <row r="1540" spans="1:33" x14ac:dyDescent="0.35">
      <c r="A1540" s="1">
        <v>44868.404861111114</v>
      </c>
      <c r="B1540">
        <v>6143789</v>
      </c>
      <c r="C1540" t="s">
        <v>3458</v>
      </c>
      <c r="D1540" t="s">
        <v>132</v>
      </c>
      <c r="E1540" s="2">
        <v>43676</v>
      </c>
      <c r="F1540" t="str">
        <f>"9781503609662"</f>
        <v>9781503609662</v>
      </c>
      <c r="G1540" t="str">
        <f>"9781503608672"</f>
        <v>9781503608672</v>
      </c>
      <c r="H1540" t="s">
        <v>3459</v>
      </c>
      <c r="I1540">
        <v>338.10962000000001</v>
      </c>
      <c r="J1540" t="s">
        <v>3460</v>
      </c>
      <c r="K1540" t="s">
        <v>55</v>
      </c>
      <c r="Q1540" t="s">
        <v>47</v>
      </c>
      <c r="R1540" t="s">
        <v>44</v>
      </c>
      <c r="S1540">
        <v>0</v>
      </c>
      <c r="W1540" s="3">
        <v>7.3611111111111108E-3</v>
      </c>
      <c r="X1540" t="s">
        <v>3461</v>
      </c>
      <c r="Y1540">
        <v>35</v>
      </c>
      <c r="Z1540">
        <v>0</v>
      </c>
      <c r="AA1540" t="s">
        <v>49</v>
      </c>
      <c r="AB1540">
        <v>0</v>
      </c>
      <c r="AC1540" t="s">
        <v>49</v>
      </c>
      <c r="AD1540">
        <v>0</v>
      </c>
      <c r="AE1540">
        <v>-1</v>
      </c>
      <c r="AF1540" t="s">
        <v>63</v>
      </c>
      <c r="AG1540" t="s">
        <v>388</v>
      </c>
    </row>
    <row r="1541" spans="1:33" x14ac:dyDescent="0.35">
      <c r="A1541" s="1">
        <v>44868.37777777778</v>
      </c>
      <c r="B1541">
        <v>3114768</v>
      </c>
      <c r="C1541" t="s">
        <v>3446</v>
      </c>
      <c r="D1541" t="s">
        <v>336</v>
      </c>
      <c r="E1541" s="2">
        <v>36526</v>
      </c>
      <c r="F1541" t="str">
        <f>"9781936190768"</f>
        <v>9781936190768</v>
      </c>
      <c r="G1541" t="str">
        <f>"9789774245138"</f>
        <v>9789774245138</v>
      </c>
      <c r="H1541" t="s">
        <v>1046</v>
      </c>
      <c r="J1541" t="s">
        <v>3447</v>
      </c>
      <c r="K1541" t="s">
        <v>44</v>
      </c>
      <c r="N1541" t="s">
        <v>45</v>
      </c>
      <c r="O1541" t="s">
        <v>46</v>
      </c>
      <c r="P1541" t="s">
        <v>45</v>
      </c>
      <c r="Q1541" t="s">
        <v>47</v>
      </c>
      <c r="R1541" t="s">
        <v>44</v>
      </c>
      <c r="S1541">
        <v>0</v>
      </c>
      <c r="W1541" s="3">
        <v>2.8240740740740739E-3</v>
      </c>
      <c r="X1541" t="s">
        <v>205</v>
      </c>
      <c r="Y1541">
        <v>2</v>
      </c>
      <c r="Z1541">
        <v>0</v>
      </c>
      <c r="AA1541" t="s">
        <v>49</v>
      </c>
      <c r="AB1541">
        <v>0</v>
      </c>
      <c r="AC1541" t="s">
        <v>49</v>
      </c>
      <c r="AD1541">
        <v>0</v>
      </c>
      <c r="AE1541">
        <v>10413285</v>
      </c>
      <c r="AF1541" t="s">
        <v>50</v>
      </c>
      <c r="AG1541" t="s">
        <v>1536</v>
      </c>
    </row>
    <row r="1542" spans="1:33" x14ac:dyDescent="0.35">
      <c r="A1542" s="1">
        <v>44868.118750000001</v>
      </c>
      <c r="B1542">
        <v>510127</v>
      </c>
      <c r="C1542" t="s">
        <v>558</v>
      </c>
      <c r="D1542" t="s">
        <v>59</v>
      </c>
      <c r="E1542" s="2">
        <v>40224</v>
      </c>
      <c r="F1542" t="str">
        <f>"9780470551561"</f>
        <v>9780470551561</v>
      </c>
      <c r="G1542" t="str">
        <f>"9780470521564"</f>
        <v>9780470521564</v>
      </c>
      <c r="H1542" t="s">
        <v>542</v>
      </c>
      <c r="I1542" t="s">
        <v>559</v>
      </c>
      <c r="J1542" t="s">
        <v>560</v>
      </c>
      <c r="K1542" t="s">
        <v>44</v>
      </c>
      <c r="N1542" t="s">
        <v>45</v>
      </c>
      <c r="O1542" t="s">
        <v>46</v>
      </c>
      <c r="P1542" t="s">
        <v>45</v>
      </c>
      <c r="Q1542" t="s">
        <v>47</v>
      </c>
      <c r="R1542" t="s">
        <v>44</v>
      </c>
      <c r="S1542">
        <v>0</v>
      </c>
      <c r="W1542" s="3">
        <v>8.3333333333333339E-4</v>
      </c>
      <c r="X1542" t="s">
        <v>3462</v>
      </c>
      <c r="Y1542">
        <v>14</v>
      </c>
      <c r="Z1542">
        <v>0</v>
      </c>
      <c r="AA1542" t="s">
        <v>49</v>
      </c>
      <c r="AB1542">
        <v>0</v>
      </c>
      <c r="AC1542" t="s">
        <v>49</v>
      </c>
      <c r="AD1542">
        <v>0</v>
      </c>
      <c r="AE1542">
        <v>10381083</v>
      </c>
      <c r="AF1542" t="s">
        <v>50</v>
      </c>
      <c r="AG1542" t="s">
        <v>1536</v>
      </c>
    </row>
    <row r="1543" spans="1:33" x14ac:dyDescent="0.35">
      <c r="A1543" s="1">
        <v>44868.117361111108</v>
      </c>
      <c r="B1543">
        <v>6820553</v>
      </c>
      <c r="C1543" t="s">
        <v>572</v>
      </c>
      <c r="D1543" t="s">
        <v>59</v>
      </c>
      <c r="E1543" s="2">
        <v>44551</v>
      </c>
      <c r="F1543" t="str">
        <f>"9781119214205"</f>
        <v>9781119214205</v>
      </c>
      <c r="G1543" t="str">
        <f>"9781119214182"</f>
        <v>9781119214182</v>
      </c>
      <c r="H1543" t="s">
        <v>546</v>
      </c>
      <c r="I1543">
        <v>621.30999999999995</v>
      </c>
      <c r="J1543" t="s">
        <v>573</v>
      </c>
      <c r="K1543" t="s">
        <v>55</v>
      </c>
      <c r="Q1543" t="s">
        <v>47</v>
      </c>
      <c r="R1543" t="s">
        <v>44</v>
      </c>
      <c r="S1543">
        <v>0</v>
      </c>
      <c r="W1543" s="3">
        <v>4.5138888888888892E-4</v>
      </c>
      <c r="X1543" t="s">
        <v>3463</v>
      </c>
      <c r="Y1543">
        <v>9</v>
      </c>
      <c r="Z1543">
        <v>0</v>
      </c>
      <c r="AA1543" t="s">
        <v>49</v>
      </c>
      <c r="AB1543">
        <v>0</v>
      </c>
      <c r="AC1543" t="s">
        <v>49</v>
      </c>
      <c r="AD1543">
        <v>0</v>
      </c>
      <c r="AE1543">
        <v>-1</v>
      </c>
      <c r="AF1543" t="s">
        <v>50</v>
      </c>
      <c r="AG1543" t="s">
        <v>1536</v>
      </c>
    </row>
    <row r="1544" spans="1:33" x14ac:dyDescent="0.35">
      <c r="A1544" s="1">
        <v>44868.115277777775</v>
      </c>
      <c r="B1544">
        <v>6478906</v>
      </c>
      <c r="C1544" t="s">
        <v>3464</v>
      </c>
      <c r="D1544" t="s">
        <v>65</v>
      </c>
      <c r="E1544" s="2">
        <v>44245</v>
      </c>
      <c r="F1544" t="str">
        <f>"9780128232392"</f>
        <v>9780128232392</v>
      </c>
      <c r="G1544" t="str">
        <f>"9780128216682"</f>
        <v>9780128216682</v>
      </c>
      <c r="H1544" t="s">
        <v>542</v>
      </c>
      <c r="I1544">
        <v>621.31299999999999</v>
      </c>
      <c r="J1544" t="s">
        <v>3465</v>
      </c>
      <c r="K1544" t="s">
        <v>55</v>
      </c>
      <c r="Q1544" t="s">
        <v>47</v>
      </c>
      <c r="R1544" t="s">
        <v>44</v>
      </c>
      <c r="S1544">
        <v>0</v>
      </c>
      <c r="W1544" s="3">
        <v>1.4814814814814814E-3</v>
      </c>
      <c r="X1544" t="s">
        <v>3466</v>
      </c>
      <c r="Y1544">
        <v>16</v>
      </c>
      <c r="Z1544">
        <v>0</v>
      </c>
      <c r="AA1544" t="s">
        <v>49</v>
      </c>
      <c r="AB1544">
        <v>0</v>
      </c>
      <c r="AC1544" t="s">
        <v>49</v>
      </c>
      <c r="AD1544">
        <v>0</v>
      </c>
      <c r="AE1544">
        <v>-1</v>
      </c>
      <c r="AF1544" t="s">
        <v>50</v>
      </c>
      <c r="AG1544" t="s">
        <v>1536</v>
      </c>
    </row>
    <row r="1545" spans="1:33" x14ac:dyDescent="0.35">
      <c r="A1545" s="1">
        <v>44868.113194444442</v>
      </c>
      <c r="B1545">
        <v>4804403</v>
      </c>
      <c r="C1545" t="s">
        <v>3467</v>
      </c>
      <c r="D1545" t="s">
        <v>115</v>
      </c>
      <c r="E1545" s="2">
        <v>42723</v>
      </c>
      <c r="F1545" t="str">
        <f>"9783110470420"</f>
        <v>9783110470420</v>
      </c>
      <c r="G1545" t="str">
        <f>"9783110468175"</f>
        <v>9783110468175</v>
      </c>
      <c r="H1545" t="s">
        <v>3468</v>
      </c>
      <c r="I1545">
        <v>621.46</v>
      </c>
      <c r="J1545" t="s">
        <v>3469</v>
      </c>
      <c r="K1545" t="s">
        <v>44</v>
      </c>
      <c r="N1545" t="s">
        <v>45</v>
      </c>
      <c r="O1545" t="s">
        <v>46</v>
      </c>
      <c r="P1545" t="s">
        <v>45</v>
      </c>
      <c r="Q1545" t="s">
        <v>47</v>
      </c>
      <c r="R1545" t="s">
        <v>44</v>
      </c>
      <c r="S1545">
        <v>0</v>
      </c>
      <c r="W1545" s="3">
        <v>2.0601851851851853E-3</v>
      </c>
      <c r="X1545" t="s">
        <v>3470</v>
      </c>
      <c r="Y1545">
        <v>27</v>
      </c>
      <c r="Z1545">
        <v>0</v>
      </c>
      <c r="AA1545" t="s">
        <v>49</v>
      </c>
      <c r="AB1545">
        <v>0</v>
      </c>
      <c r="AC1545" t="s">
        <v>49</v>
      </c>
      <c r="AD1545">
        <v>0</v>
      </c>
      <c r="AE1545">
        <v>11344937</v>
      </c>
      <c r="AF1545" t="s">
        <v>50</v>
      </c>
      <c r="AG1545" t="s">
        <v>1536</v>
      </c>
    </row>
    <row r="1546" spans="1:33" x14ac:dyDescent="0.35">
      <c r="A1546" s="1">
        <v>44868.112500000003</v>
      </c>
      <c r="B1546">
        <v>4653366</v>
      </c>
      <c r="C1546" t="s">
        <v>3471</v>
      </c>
      <c r="D1546" t="s">
        <v>59</v>
      </c>
      <c r="E1546" s="2">
        <v>42660</v>
      </c>
      <c r="F1546" t="str">
        <f>"9781118851524"</f>
        <v>9781118851524</v>
      </c>
      <c r="G1546" t="str">
        <f>"9781118851562"</f>
        <v>9781118851562</v>
      </c>
      <c r="H1546" t="s">
        <v>542</v>
      </c>
      <c r="I1546">
        <v>621.31700000000001</v>
      </c>
      <c r="J1546" t="s">
        <v>3472</v>
      </c>
      <c r="K1546" t="s">
        <v>44</v>
      </c>
      <c r="N1546" t="s">
        <v>45</v>
      </c>
      <c r="O1546" t="s">
        <v>46</v>
      </c>
      <c r="P1546" t="s">
        <v>45</v>
      </c>
      <c r="Q1546" t="s">
        <v>47</v>
      </c>
      <c r="R1546" t="s">
        <v>44</v>
      </c>
      <c r="S1546">
        <v>0</v>
      </c>
      <c r="W1546" s="3">
        <v>9.2592592592592588E-5</v>
      </c>
      <c r="X1546" t="s">
        <v>121</v>
      </c>
      <c r="Y1546">
        <v>1</v>
      </c>
      <c r="Z1546">
        <v>0</v>
      </c>
      <c r="AA1546" t="s">
        <v>49</v>
      </c>
      <c r="AB1546">
        <v>0</v>
      </c>
      <c r="AC1546" t="s">
        <v>49</v>
      </c>
      <c r="AD1546">
        <v>0</v>
      </c>
      <c r="AE1546">
        <v>11251189</v>
      </c>
      <c r="AF1546" t="s">
        <v>50</v>
      </c>
      <c r="AG1546" t="s">
        <v>1536</v>
      </c>
    </row>
    <row r="1547" spans="1:33" x14ac:dyDescent="0.35">
      <c r="A1547" s="1">
        <v>44868.04791666667</v>
      </c>
      <c r="B1547">
        <v>3443334</v>
      </c>
      <c r="C1547" t="s">
        <v>3410</v>
      </c>
      <c r="D1547" t="s">
        <v>2871</v>
      </c>
      <c r="E1547" s="2">
        <v>39539</v>
      </c>
      <c r="F1547" t="str">
        <f>"9780292794481"</f>
        <v>9780292794481</v>
      </c>
      <c r="G1547" t="str">
        <f>"9780292717275"</f>
        <v>9780292717275</v>
      </c>
      <c r="H1547" t="s">
        <v>353</v>
      </c>
      <c r="I1547" t="s">
        <v>3411</v>
      </c>
      <c r="J1547" t="s">
        <v>3412</v>
      </c>
      <c r="K1547" t="s">
        <v>44</v>
      </c>
      <c r="N1547" t="s">
        <v>45</v>
      </c>
      <c r="O1547" t="s">
        <v>46</v>
      </c>
      <c r="P1547" t="s">
        <v>45</v>
      </c>
      <c r="Q1547" t="s">
        <v>47</v>
      </c>
      <c r="R1547" t="s">
        <v>44</v>
      </c>
      <c r="S1547">
        <v>0</v>
      </c>
      <c r="W1547" s="3">
        <v>2.5578703703703705E-3</v>
      </c>
      <c r="X1547" t="s">
        <v>3473</v>
      </c>
      <c r="Y1547">
        <v>16</v>
      </c>
      <c r="Z1547">
        <v>0</v>
      </c>
      <c r="AA1547" t="s">
        <v>49</v>
      </c>
      <c r="AB1547">
        <v>0</v>
      </c>
      <c r="AC1547" t="s">
        <v>49</v>
      </c>
      <c r="AD1547">
        <v>0</v>
      </c>
      <c r="AE1547">
        <v>10245830</v>
      </c>
      <c r="AF1547" t="s">
        <v>50</v>
      </c>
      <c r="AG1547" t="s">
        <v>493</v>
      </c>
    </row>
    <row r="1548" spans="1:33" x14ac:dyDescent="0.35">
      <c r="A1548" s="1">
        <v>44868.038194444445</v>
      </c>
      <c r="B1548">
        <v>5276077</v>
      </c>
      <c r="C1548" t="s">
        <v>3474</v>
      </c>
      <c r="D1548" t="s">
        <v>3475</v>
      </c>
      <c r="E1548" s="2">
        <v>42990</v>
      </c>
      <c r="F1548" t="str">
        <f>"9783838270074"</f>
        <v>9783838270074</v>
      </c>
      <c r="G1548" t="str">
        <f>"9783838210476"</f>
        <v>9783838210476</v>
      </c>
      <c r="H1548" t="s">
        <v>3476</v>
      </c>
      <c r="I1548">
        <v>894.35329999999999</v>
      </c>
      <c r="J1548" t="s">
        <v>3477</v>
      </c>
      <c r="K1548" t="s">
        <v>44</v>
      </c>
      <c r="N1548" t="s">
        <v>45</v>
      </c>
      <c r="O1548" t="s">
        <v>46</v>
      </c>
      <c r="P1548" t="s">
        <v>45</v>
      </c>
      <c r="Q1548" t="s">
        <v>47</v>
      </c>
      <c r="R1548" t="s">
        <v>44</v>
      </c>
      <c r="S1548">
        <v>0</v>
      </c>
      <c r="W1548" s="3">
        <v>2.0717592592592593E-3</v>
      </c>
      <c r="X1548" t="s">
        <v>3478</v>
      </c>
      <c r="Y1548">
        <v>9</v>
      </c>
      <c r="Z1548">
        <v>0</v>
      </c>
      <c r="AA1548" t="s">
        <v>49</v>
      </c>
      <c r="AB1548">
        <v>0</v>
      </c>
      <c r="AC1548" t="s">
        <v>49</v>
      </c>
      <c r="AD1548">
        <v>0</v>
      </c>
      <c r="AE1548">
        <v>11529595</v>
      </c>
      <c r="AF1548" t="s">
        <v>50</v>
      </c>
      <c r="AG1548" t="s">
        <v>493</v>
      </c>
    </row>
    <row r="1549" spans="1:33" x14ac:dyDescent="0.35">
      <c r="A1549" s="1">
        <v>44868.03125</v>
      </c>
      <c r="B1549">
        <v>3407651</v>
      </c>
      <c r="C1549" t="s">
        <v>3479</v>
      </c>
      <c r="D1549" t="s">
        <v>645</v>
      </c>
      <c r="E1549" s="2">
        <v>38491</v>
      </c>
      <c r="F1549" t="str">
        <f>"9780791483466"</f>
        <v>9780791483466</v>
      </c>
      <c r="G1549" t="str">
        <f>"9780791464199"</f>
        <v>9780791464199</v>
      </c>
      <c r="H1549" t="s">
        <v>1069</v>
      </c>
      <c r="I1549" t="s">
        <v>3480</v>
      </c>
      <c r="J1549" t="s">
        <v>3481</v>
      </c>
      <c r="K1549" t="s">
        <v>44</v>
      </c>
      <c r="N1549" t="s">
        <v>45</v>
      </c>
      <c r="O1549" t="s">
        <v>46</v>
      </c>
      <c r="P1549" t="s">
        <v>45</v>
      </c>
      <c r="Q1549" t="s">
        <v>47</v>
      </c>
      <c r="R1549" t="s">
        <v>44</v>
      </c>
      <c r="S1549">
        <v>0</v>
      </c>
      <c r="W1549" s="3">
        <v>1.423611111111111E-3</v>
      </c>
      <c r="X1549" t="s">
        <v>3482</v>
      </c>
      <c r="Y1549">
        <v>13</v>
      </c>
      <c r="Z1549">
        <v>0</v>
      </c>
      <c r="AA1549" t="s">
        <v>49</v>
      </c>
      <c r="AB1549">
        <v>0</v>
      </c>
      <c r="AC1549" t="s">
        <v>49</v>
      </c>
      <c r="AD1549">
        <v>0</v>
      </c>
      <c r="AE1549">
        <v>10579074</v>
      </c>
      <c r="AF1549" t="s">
        <v>50</v>
      </c>
      <c r="AG1549" t="s">
        <v>493</v>
      </c>
    </row>
    <row r="1550" spans="1:33" x14ac:dyDescent="0.35">
      <c r="A1550" s="1">
        <v>44867.972222222219</v>
      </c>
      <c r="B1550">
        <v>1395373</v>
      </c>
      <c r="C1550" t="s">
        <v>3403</v>
      </c>
      <c r="D1550" t="s">
        <v>76</v>
      </c>
      <c r="E1550" s="2">
        <v>37336</v>
      </c>
      <c r="F1550" t="str">
        <f>"9781136836213"</f>
        <v>9781136836213</v>
      </c>
      <c r="G1550" t="str">
        <f>"9780700712717"</f>
        <v>9780700712717</v>
      </c>
      <c r="H1550" t="s">
        <v>1069</v>
      </c>
      <c r="I1550" t="s">
        <v>3404</v>
      </c>
      <c r="J1550" t="s">
        <v>3405</v>
      </c>
      <c r="K1550" t="s">
        <v>44</v>
      </c>
      <c r="N1550" t="s">
        <v>45</v>
      </c>
      <c r="O1550" t="s">
        <v>46</v>
      </c>
      <c r="P1550" t="s">
        <v>45</v>
      </c>
      <c r="Q1550" t="s">
        <v>47</v>
      </c>
      <c r="R1550" t="s">
        <v>44</v>
      </c>
      <c r="S1550">
        <v>0</v>
      </c>
      <c r="W1550" s="3">
        <v>1.4814814814814814E-3</v>
      </c>
      <c r="X1550" t="s">
        <v>3483</v>
      </c>
      <c r="Y1550">
        <v>9</v>
      </c>
      <c r="Z1550">
        <v>0</v>
      </c>
      <c r="AA1550" t="s">
        <v>49</v>
      </c>
      <c r="AB1550">
        <v>0</v>
      </c>
      <c r="AC1550" t="s">
        <v>49</v>
      </c>
      <c r="AD1550">
        <v>0</v>
      </c>
      <c r="AE1550">
        <v>10764013</v>
      </c>
      <c r="AF1550" t="s">
        <v>50</v>
      </c>
      <c r="AG1550" t="s">
        <v>493</v>
      </c>
    </row>
    <row r="1551" spans="1:33" x14ac:dyDescent="0.35">
      <c r="A1551" s="1">
        <v>44867.972222222219</v>
      </c>
      <c r="B1551">
        <v>1961922</v>
      </c>
      <c r="C1551" t="s">
        <v>3406</v>
      </c>
      <c r="D1551" t="s">
        <v>507</v>
      </c>
      <c r="E1551" s="2">
        <v>41577</v>
      </c>
      <c r="F1551" t="str">
        <f>"9780748685554"</f>
        <v>9780748685554</v>
      </c>
      <c r="G1551" t="str">
        <f>"9780748685530"</f>
        <v>9780748685530</v>
      </c>
      <c r="H1551" t="s">
        <v>1069</v>
      </c>
      <c r="I1551">
        <v>820.98927000000003</v>
      </c>
      <c r="J1551" t="s">
        <v>3407</v>
      </c>
      <c r="K1551" t="s">
        <v>44</v>
      </c>
      <c r="N1551" t="s">
        <v>45</v>
      </c>
      <c r="O1551" t="s">
        <v>46</v>
      </c>
      <c r="P1551" t="s">
        <v>45</v>
      </c>
      <c r="Q1551" t="s">
        <v>47</v>
      </c>
      <c r="R1551" t="s">
        <v>44</v>
      </c>
      <c r="S1551">
        <v>0</v>
      </c>
      <c r="W1551" s="3">
        <v>4.6296296296296294E-5</v>
      </c>
      <c r="X1551" t="s">
        <v>121</v>
      </c>
      <c r="Y1551">
        <v>1</v>
      </c>
      <c r="Z1551">
        <v>0</v>
      </c>
      <c r="AA1551" t="s">
        <v>49</v>
      </c>
      <c r="AB1551">
        <v>0</v>
      </c>
      <c r="AC1551" t="s">
        <v>49</v>
      </c>
      <c r="AD1551">
        <v>0</v>
      </c>
      <c r="AE1551">
        <v>10800531</v>
      </c>
      <c r="AF1551" t="s">
        <v>50</v>
      </c>
      <c r="AG1551" t="s">
        <v>493</v>
      </c>
    </row>
    <row r="1552" spans="1:33" x14ac:dyDescent="0.35">
      <c r="A1552" s="1">
        <v>44867.968055555553</v>
      </c>
      <c r="B1552">
        <v>6190112</v>
      </c>
      <c r="C1552" t="s">
        <v>3307</v>
      </c>
      <c r="D1552" t="s">
        <v>507</v>
      </c>
      <c r="E1552" s="2">
        <v>44044</v>
      </c>
      <c r="F1552" t="str">
        <f>"9781474467063"</f>
        <v>9781474467063</v>
      </c>
      <c r="G1552" t="str">
        <f>"9781474467032"</f>
        <v>9781474467032</v>
      </c>
      <c r="H1552" t="s">
        <v>1069</v>
      </c>
      <c r="I1552">
        <v>809.39955999999995</v>
      </c>
      <c r="K1552" t="s">
        <v>55</v>
      </c>
      <c r="Q1552" t="s">
        <v>47</v>
      </c>
      <c r="R1552" t="s">
        <v>44</v>
      </c>
      <c r="S1552">
        <v>0</v>
      </c>
      <c r="W1552" s="3">
        <v>1.9560185185185184E-3</v>
      </c>
      <c r="X1552" t="s">
        <v>3484</v>
      </c>
      <c r="Y1552">
        <v>12</v>
      </c>
      <c r="Z1552">
        <v>0</v>
      </c>
      <c r="AA1552" t="s">
        <v>49</v>
      </c>
      <c r="AB1552">
        <v>0</v>
      </c>
      <c r="AC1552" t="s">
        <v>49</v>
      </c>
      <c r="AD1552">
        <v>0</v>
      </c>
      <c r="AE1552">
        <v>-1</v>
      </c>
      <c r="AF1552" t="s">
        <v>50</v>
      </c>
      <c r="AG1552" t="s">
        <v>493</v>
      </c>
    </row>
    <row r="1553" spans="1:33" x14ac:dyDescent="0.35">
      <c r="A1553" s="1">
        <v>44867.963888888888</v>
      </c>
      <c r="B1553">
        <v>6145336</v>
      </c>
      <c r="C1553" t="s">
        <v>3408</v>
      </c>
      <c r="D1553" t="s">
        <v>507</v>
      </c>
      <c r="E1553" s="2">
        <v>43658</v>
      </c>
      <c r="F1553" t="str">
        <f>"9781474417075"</f>
        <v>9781474417075</v>
      </c>
      <c r="G1553" t="str">
        <f>"9781474417068"</f>
        <v>9781474417068</v>
      </c>
      <c r="H1553" t="s">
        <v>1069</v>
      </c>
      <c r="I1553">
        <v>892.73009381999998</v>
      </c>
      <c r="J1553" t="s">
        <v>3409</v>
      </c>
      <c r="K1553" t="s">
        <v>55</v>
      </c>
      <c r="Q1553" t="s">
        <v>47</v>
      </c>
      <c r="R1553" t="s">
        <v>44</v>
      </c>
      <c r="S1553">
        <v>0</v>
      </c>
      <c r="W1553" s="3">
        <v>3.5879629629629629E-3</v>
      </c>
      <c r="X1553" t="s">
        <v>3485</v>
      </c>
      <c r="Y1553">
        <v>36</v>
      </c>
      <c r="Z1553">
        <v>0</v>
      </c>
      <c r="AA1553" t="s">
        <v>49</v>
      </c>
      <c r="AB1553">
        <v>0</v>
      </c>
      <c r="AC1553" t="s">
        <v>49</v>
      </c>
      <c r="AD1553">
        <v>0</v>
      </c>
      <c r="AE1553">
        <v>-1</v>
      </c>
      <c r="AF1553" t="s">
        <v>50</v>
      </c>
      <c r="AG1553" t="s">
        <v>493</v>
      </c>
    </row>
    <row r="1554" spans="1:33" x14ac:dyDescent="0.35">
      <c r="A1554" s="1">
        <v>44867.959027777775</v>
      </c>
      <c r="B1554">
        <v>510127</v>
      </c>
      <c r="C1554" t="s">
        <v>558</v>
      </c>
      <c r="D1554" t="s">
        <v>59</v>
      </c>
      <c r="E1554" s="2">
        <v>40224</v>
      </c>
      <c r="F1554" t="str">
        <f>"9780470551561"</f>
        <v>9780470551561</v>
      </c>
      <c r="G1554" t="str">
        <f>"9780470521564"</f>
        <v>9780470521564</v>
      </c>
      <c r="H1554" t="s">
        <v>542</v>
      </c>
      <c r="I1554" t="s">
        <v>559</v>
      </c>
      <c r="J1554" t="s">
        <v>560</v>
      </c>
      <c r="K1554" t="s">
        <v>44</v>
      </c>
      <c r="N1554" t="s">
        <v>45</v>
      </c>
      <c r="O1554" t="s">
        <v>46</v>
      </c>
      <c r="P1554" t="s">
        <v>45</v>
      </c>
      <c r="Q1554" t="s">
        <v>47</v>
      </c>
      <c r="R1554" t="s">
        <v>44</v>
      </c>
      <c r="S1554">
        <v>0</v>
      </c>
      <c r="W1554" s="3">
        <v>1.8472222222222223E-2</v>
      </c>
      <c r="X1554" t="s">
        <v>3486</v>
      </c>
      <c r="Y1554">
        <v>29</v>
      </c>
      <c r="Z1554">
        <v>0</v>
      </c>
      <c r="AA1554" t="s">
        <v>49</v>
      </c>
      <c r="AB1554">
        <v>0</v>
      </c>
      <c r="AC1554" t="s">
        <v>49</v>
      </c>
      <c r="AD1554">
        <v>0</v>
      </c>
      <c r="AE1554">
        <v>10381083</v>
      </c>
      <c r="AF1554" t="s">
        <v>50</v>
      </c>
      <c r="AG1554" t="s">
        <v>1536</v>
      </c>
    </row>
    <row r="1555" spans="1:33" x14ac:dyDescent="0.35">
      <c r="A1555" s="1">
        <v>44867.945833333331</v>
      </c>
      <c r="B1555">
        <v>1643810</v>
      </c>
      <c r="C1555" t="s">
        <v>3487</v>
      </c>
      <c r="D1555" t="s">
        <v>59</v>
      </c>
      <c r="E1555" s="2">
        <v>41743</v>
      </c>
      <c r="F1555" t="str">
        <f>"9781118653890"</f>
        <v>9781118653890</v>
      </c>
      <c r="G1555" t="str">
        <f>"9781119968603"</f>
        <v>9781119968603</v>
      </c>
      <c r="H1555" t="s">
        <v>151</v>
      </c>
      <c r="I1555">
        <v>616.85220000000004</v>
      </c>
      <c r="J1555" t="s">
        <v>3488</v>
      </c>
      <c r="K1555" t="s">
        <v>44</v>
      </c>
      <c r="N1555" t="s">
        <v>45</v>
      </c>
      <c r="O1555" t="s">
        <v>46</v>
      </c>
      <c r="P1555" t="s">
        <v>45</v>
      </c>
      <c r="Q1555" t="s">
        <v>47</v>
      </c>
      <c r="R1555" t="s">
        <v>44</v>
      </c>
      <c r="S1555">
        <v>0</v>
      </c>
      <c r="W1555" s="3">
        <v>3.4722222222222222E-5</v>
      </c>
      <c r="X1555" t="s">
        <v>3489</v>
      </c>
      <c r="Y1555">
        <v>1</v>
      </c>
      <c r="Z1555">
        <v>0</v>
      </c>
      <c r="AA1555" t="s">
        <v>49</v>
      </c>
      <c r="AB1555">
        <v>0</v>
      </c>
      <c r="AC1555" t="s">
        <v>49</v>
      </c>
      <c r="AD1555">
        <v>0</v>
      </c>
      <c r="AE1555">
        <v>10856787</v>
      </c>
      <c r="AF1555" t="s">
        <v>50</v>
      </c>
      <c r="AG1555" t="s">
        <v>300</v>
      </c>
    </row>
    <row r="1556" spans="1:33" x14ac:dyDescent="0.35">
      <c r="A1556" s="1">
        <v>44867.822916666664</v>
      </c>
      <c r="B1556">
        <v>3134966</v>
      </c>
      <c r="C1556" t="s">
        <v>3490</v>
      </c>
      <c r="D1556" t="s">
        <v>3491</v>
      </c>
      <c r="E1556" s="2">
        <v>40274</v>
      </c>
      <c r="F1556" t="str">
        <f>"9780813218175"</f>
        <v>9780813218175</v>
      </c>
      <c r="G1556" t="str">
        <f>"9780813217383"</f>
        <v>9780813217383</v>
      </c>
      <c r="H1556" t="s">
        <v>2799</v>
      </c>
      <c r="I1556" t="s">
        <v>3492</v>
      </c>
      <c r="J1556" t="s">
        <v>3493</v>
      </c>
      <c r="K1556" t="s">
        <v>44</v>
      </c>
      <c r="N1556" t="s">
        <v>45</v>
      </c>
      <c r="O1556" t="s">
        <v>46</v>
      </c>
      <c r="P1556" t="s">
        <v>177</v>
      </c>
      <c r="Q1556" t="s">
        <v>47</v>
      </c>
      <c r="R1556" t="s">
        <v>55</v>
      </c>
      <c r="S1556">
        <v>0</v>
      </c>
      <c r="W1556" s="3">
        <v>1.5046296296296294E-3</v>
      </c>
      <c r="X1556" t="s">
        <v>3494</v>
      </c>
      <c r="Y1556">
        <v>6</v>
      </c>
      <c r="Z1556">
        <v>0</v>
      </c>
      <c r="AA1556" t="s">
        <v>49</v>
      </c>
      <c r="AB1556">
        <v>0</v>
      </c>
      <c r="AC1556" t="s">
        <v>49</v>
      </c>
      <c r="AD1556">
        <v>0</v>
      </c>
      <c r="AE1556">
        <v>10603287</v>
      </c>
      <c r="AF1556" t="s">
        <v>50</v>
      </c>
      <c r="AG1556" t="s">
        <v>388</v>
      </c>
    </row>
    <row r="1557" spans="1:33" x14ac:dyDescent="0.35">
      <c r="A1557" s="1">
        <v>44867.802777777775</v>
      </c>
      <c r="B1557">
        <v>3097892</v>
      </c>
      <c r="C1557" t="s">
        <v>3441</v>
      </c>
      <c r="D1557" t="s">
        <v>2271</v>
      </c>
      <c r="E1557" s="2">
        <v>35614</v>
      </c>
      <c r="F1557" t="str">
        <f>"9783662035016"</f>
        <v>9783662035016</v>
      </c>
      <c r="G1557" t="str">
        <f>"9783642082511"</f>
        <v>9783642082511</v>
      </c>
      <c r="H1557" t="s">
        <v>3442</v>
      </c>
      <c r="I1557" t="s">
        <v>3443</v>
      </c>
      <c r="J1557" t="s">
        <v>3444</v>
      </c>
      <c r="K1557" t="s">
        <v>44</v>
      </c>
      <c r="N1557" t="s">
        <v>45</v>
      </c>
      <c r="O1557" t="s">
        <v>46</v>
      </c>
      <c r="P1557" t="s">
        <v>45</v>
      </c>
      <c r="Q1557" t="s">
        <v>47</v>
      </c>
      <c r="R1557" t="s">
        <v>44</v>
      </c>
      <c r="S1557">
        <v>0</v>
      </c>
      <c r="W1557" s="3">
        <v>1.1620370370370371E-2</v>
      </c>
      <c r="X1557" t="s">
        <v>3495</v>
      </c>
      <c r="Y1557">
        <v>18</v>
      </c>
      <c r="Z1557">
        <v>0</v>
      </c>
      <c r="AA1557" t="s">
        <v>49</v>
      </c>
      <c r="AB1557">
        <v>0</v>
      </c>
      <c r="AC1557" t="s">
        <v>3496</v>
      </c>
      <c r="AD1557">
        <v>1</v>
      </c>
      <c r="AE1557">
        <v>10971855</v>
      </c>
      <c r="AF1557" t="s">
        <v>50</v>
      </c>
      <c r="AG1557" t="s">
        <v>388</v>
      </c>
    </row>
    <row r="1558" spans="1:33" x14ac:dyDescent="0.35">
      <c r="A1558" s="1">
        <v>44867.79791666667</v>
      </c>
      <c r="B1558">
        <v>1579916</v>
      </c>
      <c r="C1558" t="s">
        <v>3080</v>
      </c>
      <c r="D1558" t="s">
        <v>65</v>
      </c>
      <c r="E1558" s="2">
        <v>40386</v>
      </c>
      <c r="F1558" t="str">
        <f>"9781780630359"</f>
        <v>9781780630359</v>
      </c>
      <c r="G1558" t="str">
        <f>"9781843345152"</f>
        <v>9781843345152</v>
      </c>
      <c r="H1558" t="s">
        <v>3081</v>
      </c>
      <c r="I1558">
        <v>28.7</v>
      </c>
      <c r="J1558" t="s">
        <v>3082</v>
      </c>
      <c r="K1558" t="s">
        <v>44</v>
      </c>
      <c r="N1558" t="s">
        <v>45</v>
      </c>
      <c r="O1558" t="s">
        <v>46</v>
      </c>
      <c r="P1558" t="s">
        <v>45</v>
      </c>
      <c r="Q1558" t="s">
        <v>47</v>
      </c>
      <c r="R1558" t="s">
        <v>44</v>
      </c>
      <c r="S1558">
        <v>0</v>
      </c>
      <c r="W1558" s="3">
        <v>1.7245370370370372E-3</v>
      </c>
      <c r="X1558" t="s">
        <v>3497</v>
      </c>
      <c r="Y1558">
        <v>14</v>
      </c>
      <c r="Z1558">
        <v>0</v>
      </c>
      <c r="AA1558" t="s">
        <v>49</v>
      </c>
      <c r="AB1558">
        <v>0</v>
      </c>
      <c r="AC1558" t="s">
        <v>49</v>
      </c>
      <c r="AD1558">
        <v>0</v>
      </c>
      <c r="AE1558">
        <v>10818366</v>
      </c>
      <c r="AF1558" t="s">
        <v>50</v>
      </c>
      <c r="AG1558" t="s">
        <v>1536</v>
      </c>
    </row>
    <row r="1559" spans="1:33" x14ac:dyDescent="0.35">
      <c r="A1559" s="1">
        <v>44867.797222222223</v>
      </c>
      <c r="B1559">
        <v>1775721</v>
      </c>
      <c r="C1559" t="s">
        <v>3449</v>
      </c>
      <c r="D1559" t="s">
        <v>3450</v>
      </c>
      <c r="E1559" s="2">
        <v>41872</v>
      </c>
      <c r="F1559" t="str">
        <f>"9780838912409"</f>
        <v>9780838912409</v>
      </c>
      <c r="G1559" t="str">
        <f>"9780838912393"</f>
        <v>9780838912393</v>
      </c>
      <c r="H1559" t="s">
        <v>385</v>
      </c>
      <c r="I1559" t="s">
        <v>3451</v>
      </c>
      <c r="J1559" t="s">
        <v>3452</v>
      </c>
      <c r="K1559" t="s">
        <v>44</v>
      </c>
      <c r="N1559" t="s">
        <v>45</v>
      </c>
      <c r="O1559" t="s">
        <v>46</v>
      </c>
      <c r="P1559" t="s">
        <v>45</v>
      </c>
      <c r="Q1559" t="s">
        <v>47</v>
      </c>
      <c r="R1559" t="s">
        <v>44</v>
      </c>
      <c r="S1559">
        <v>0</v>
      </c>
      <c r="W1559" s="3">
        <v>3.4722222222222222E-5</v>
      </c>
      <c r="X1559" t="s">
        <v>2197</v>
      </c>
      <c r="Y1559">
        <v>1</v>
      </c>
      <c r="Z1559">
        <v>0</v>
      </c>
      <c r="AA1559" t="s">
        <v>49</v>
      </c>
      <c r="AB1559">
        <v>0</v>
      </c>
      <c r="AC1559" t="s">
        <v>49</v>
      </c>
      <c r="AD1559">
        <v>0</v>
      </c>
      <c r="AE1559">
        <v>10921676</v>
      </c>
      <c r="AF1559" t="s">
        <v>50</v>
      </c>
      <c r="AG1559" t="s">
        <v>1536</v>
      </c>
    </row>
    <row r="1560" spans="1:33" x14ac:dyDescent="0.35">
      <c r="A1560" s="1">
        <v>44867.785416666666</v>
      </c>
      <c r="B1560">
        <v>5655492</v>
      </c>
      <c r="C1560" t="s">
        <v>3498</v>
      </c>
      <c r="D1560" t="s">
        <v>3499</v>
      </c>
      <c r="E1560" s="2">
        <v>43495</v>
      </c>
      <c r="F1560" t="str">
        <f>"9781773615899"</f>
        <v>9781773615899</v>
      </c>
      <c r="G1560" t="str">
        <f>""</f>
        <v/>
      </c>
      <c r="H1560" t="s">
        <v>585</v>
      </c>
      <c r="I1560">
        <v>530.41</v>
      </c>
      <c r="J1560" t="s">
        <v>3500</v>
      </c>
      <c r="K1560" t="s">
        <v>55</v>
      </c>
      <c r="Q1560" t="s">
        <v>47</v>
      </c>
      <c r="R1560" t="s">
        <v>44</v>
      </c>
      <c r="S1560">
        <v>0</v>
      </c>
      <c r="W1560" s="3">
        <v>2.0717592592592593E-3</v>
      </c>
      <c r="X1560" t="s">
        <v>3501</v>
      </c>
      <c r="Y1560">
        <v>10</v>
      </c>
      <c r="Z1560">
        <v>0</v>
      </c>
      <c r="AA1560" t="s">
        <v>49</v>
      </c>
      <c r="AB1560">
        <v>0</v>
      </c>
      <c r="AC1560" t="s">
        <v>49</v>
      </c>
      <c r="AD1560">
        <v>0</v>
      </c>
      <c r="AE1560">
        <v>-1</v>
      </c>
      <c r="AF1560" t="s">
        <v>63</v>
      </c>
      <c r="AG1560" t="s">
        <v>1536</v>
      </c>
    </row>
    <row r="1561" spans="1:33" x14ac:dyDescent="0.35">
      <c r="A1561" s="1">
        <v>44867.739583333336</v>
      </c>
      <c r="B1561">
        <v>797981</v>
      </c>
      <c r="C1561" t="s">
        <v>3502</v>
      </c>
      <c r="D1561" t="s">
        <v>1224</v>
      </c>
      <c r="E1561" s="2">
        <v>40680</v>
      </c>
      <c r="F1561" t="str">
        <f>"9783110249507"</f>
        <v>9783110249507</v>
      </c>
      <c r="G1561" t="str">
        <f>"9783110249491"</f>
        <v>9783110249491</v>
      </c>
      <c r="H1561" t="s">
        <v>77</v>
      </c>
      <c r="I1561">
        <v>610.28899999999999</v>
      </c>
      <c r="J1561" t="s">
        <v>3503</v>
      </c>
      <c r="K1561" t="s">
        <v>44</v>
      </c>
      <c r="N1561" t="s">
        <v>45</v>
      </c>
      <c r="O1561" t="s">
        <v>46</v>
      </c>
      <c r="P1561" t="s">
        <v>45</v>
      </c>
      <c r="Q1561" t="s">
        <v>47</v>
      </c>
      <c r="R1561" t="s">
        <v>44</v>
      </c>
      <c r="S1561">
        <v>0</v>
      </c>
      <c r="W1561" s="3">
        <v>1.273148148148148E-4</v>
      </c>
      <c r="X1561" t="s">
        <v>3504</v>
      </c>
      <c r="Y1561">
        <v>2</v>
      </c>
      <c r="Z1561">
        <v>1</v>
      </c>
      <c r="AA1561" t="s">
        <v>3505</v>
      </c>
      <c r="AB1561">
        <v>8</v>
      </c>
      <c r="AC1561" t="s">
        <v>49</v>
      </c>
      <c r="AD1561">
        <v>0</v>
      </c>
      <c r="AE1561">
        <v>10486525</v>
      </c>
      <c r="AF1561" t="s">
        <v>50</v>
      </c>
      <c r="AG1561" t="s">
        <v>1536</v>
      </c>
    </row>
    <row r="1562" spans="1:33" x14ac:dyDescent="0.35">
      <c r="A1562" s="1">
        <v>44867.736805555556</v>
      </c>
      <c r="B1562">
        <v>797981</v>
      </c>
      <c r="C1562" t="s">
        <v>3502</v>
      </c>
      <c r="D1562" t="s">
        <v>1224</v>
      </c>
      <c r="E1562" s="2">
        <v>40680</v>
      </c>
      <c r="F1562" t="str">
        <f>"9783110249507"</f>
        <v>9783110249507</v>
      </c>
      <c r="G1562" t="str">
        <f>"9783110249491"</f>
        <v>9783110249491</v>
      </c>
      <c r="H1562" t="s">
        <v>77</v>
      </c>
      <c r="I1562">
        <v>610.28899999999999</v>
      </c>
      <c r="J1562" t="s">
        <v>3503</v>
      </c>
      <c r="K1562" t="s">
        <v>44</v>
      </c>
      <c r="N1562" t="s">
        <v>45</v>
      </c>
      <c r="O1562" t="s">
        <v>46</v>
      </c>
      <c r="P1562" t="s">
        <v>45</v>
      </c>
      <c r="Q1562" t="s">
        <v>47</v>
      </c>
      <c r="R1562" t="s">
        <v>44</v>
      </c>
      <c r="S1562">
        <v>0</v>
      </c>
      <c r="W1562" s="3">
        <v>1.4120370370370369E-3</v>
      </c>
      <c r="X1562" t="s">
        <v>3506</v>
      </c>
      <c r="Y1562">
        <v>5</v>
      </c>
      <c r="Z1562">
        <v>0</v>
      </c>
      <c r="AA1562" t="s">
        <v>49</v>
      </c>
      <c r="AB1562">
        <v>0</v>
      </c>
      <c r="AC1562" t="s">
        <v>49</v>
      </c>
      <c r="AD1562">
        <v>0</v>
      </c>
      <c r="AE1562">
        <v>10486525</v>
      </c>
      <c r="AF1562" t="s">
        <v>50</v>
      </c>
      <c r="AG1562" t="s">
        <v>1536</v>
      </c>
    </row>
    <row r="1563" spans="1:33" x14ac:dyDescent="0.35">
      <c r="A1563" s="1">
        <v>44867.725694444445</v>
      </c>
      <c r="B1563">
        <v>848526</v>
      </c>
      <c r="C1563" t="s">
        <v>2541</v>
      </c>
      <c r="D1563" t="s">
        <v>59</v>
      </c>
      <c r="E1563" s="2">
        <v>41212</v>
      </c>
      <c r="F1563" t="str">
        <f>"9781118310069"</f>
        <v>9781118310069</v>
      </c>
      <c r="G1563" t="str">
        <f>"9780470566671"</f>
        <v>9780470566671</v>
      </c>
      <c r="H1563" t="s">
        <v>2542</v>
      </c>
      <c r="I1563">
        <v>610.28</v>
      </c>
      <c r="J1563" t="s">
        <v>2543</v>
      </c>
      <c r="K1563" t="s">
        <v>44</v>
      </c>
      <c r="N1563" t="s">
        <v>45</v>
      </c>
      <c r="O1563" t="s">
        <v>46</v>
      </c>
      <c r="P1563" t="s">
        <v>45</v>
      </c>
      <c r="Q1563" t="s">
        <v>47</v>
      </c>
      <c r="R1563" t="s">
        <v>44</v>
      </c>
      <c r="S1563">
        <v>0</v>
      </c>
      <c r="W1563" s="3">
        <v>5.7870370370370366E-5</v>
      </c>
      <c r="X1563" t="s">
        <v>121</v>
      </c>
      <c r="Y1563">
        <v>1</v>
      </c>
      <c r="Z1563">
        <v>0</v>
      </c>
      <c r="AA1563" t="s">
        <v>49</v>
      </c>
      <c r="AB1563">
        <v>0</v>
      </c>
      <c r="AC1563" t="s">
        <v>49</v>
      </c>
      <c r="AD1563">
        <v>0</v>
      </c>
      <c r="AE1563">
        <v>10615085</v>
      </c>
      <c r="AF1563" t="s">
        <v>50</v>
      </c>
      <c r="AG1563" t="s">
        <v>3507</v>
      </c>
    </row>
    <row r="1564" spans="1:33" x14ac:dyDescent="0.35">
      <c r="A1564" s="1">
        <v>44867.674305555556</v>
      </c>
      <c r="B1564">
        <v>3097892</v>
      </c>
      <c r="C1564" t="s">
        <v>3441</v>
      </c>
      <c r="D1564" t="s">
        <v>2271</v>
      </c>
      <c r="E1564" s="2">
        <v>35614</v>
      </c>
      <c r="F1564" t="str">
        <f>"9783662035016"</f>
        <v>9783662035016</v>
      </c>
      <c r="G1564" t="str">
        <f>"9783642082511"</f>
        <v>9783642082511</v>
      </c>
      <c r="H1564" t="s">
        <v>3442</v>
      </c>
      <c r="I1564" t="s">
        <v>3443</v>
      </c>
      <c r="J1564" t="s">
        <v>3444</v>
      </c>
      <c r="K1564" t="s">
        <v>44</v>
      </c>
      <c r="N1564" t="s">
        <v>45</v>
      </c>
      <c r="O1564" t="s">
        <v>46</v>
      </c>
      <c r="P1564" t="s">
        <v>45</v>
      </c>
      <c r="Q1564" t="s">
        <v>47</v>
      </c>
      <c r="R1564" t="s">
        <v>44</v>
      </c>
      <c r="S1564">
        <v>0</v>
      </c>
      <c r="W1564" s="3">
        <v>1.8402777777777778E-2</v>
      </c>
      <c r="X1564" t="s">
        <v>3508</v>
      </c>
      <c r="Y1564">
        <v>40</v>
      </c>
      <c r="Z1564">
        <v>0</v>
      </c>
      <c r="AA1564" t="s">
        <v>49</v>
      </c>
      <c r="AB1564">
        <v>0</v>
      </c>
      <c r="AC1564" t="s">
        <v>49</v>
      </c>
      <c r="AD1564">
        <v>0</v>
      </c>
      <c r="AE1564">
        <v>10971855</v>
      </c>
      <c r="AF1564" t="s">
        <v>50</v>
      </c>
      <c r="AG1564" t="s">
        <v>388</v>
      </c>
    </row>
    <row r="1565" spans="1:33" x14ac:dyDescent="0.35">
      <c r="A1565" s="1">
        <v>44867.643055555556</v>
      </c>
      <c r="B1565">
        <v>279494</v>
      </c>
      <c r="C1565" t="s">
        <v>1333</v>
      </c>
      <c r="D1565" t="s">
        <v>125</v>
      </c>
      <c r="E1565" s="2">
        <v>37280</v>
      </c>
      <c r="F1565" t="str">
        <f>"9780198032953"</f>
        <v>9780198032953</v>
      </c>
      <c r="G1565" t="str">
        <f>"9780195144208"</f>
        <v>9780195144208</v>
      </c>
      <c r="H1565" t="s">
        <v>667</v>
      </c>
      <c r="I1565" t="s">
        <v>1334</v>
      </c>
      <c r="J1565" t="s">
        <v>1335</v>
      </c>
      <c r="K1565" t="s">
        <v>44</v>
      </c>
      <c r="N1565" t="s">
        <v>45</v>
      </c>
      <c r="O1565" t="s">
        <v>46</v>
      </c>
      <c r="P1565" t="s">
        <v>45</v>
      </c>
      <c r="Q1565" t="s">
        <v>47</v>
      </c>
      <c r="R1565" t="s">
        <v>44</v>
      </c>
      <c r="S1565">
        <v>0</v>
      </c>
      <c r="W1565" s="3">
        <v>4.6296296296296294E-5</v>
      </c>
      <c r="X1565" t="s">
        <v>121</v>
      </c>
      <c r="Y1565">
        <v>1</v>
      </c>
      <c r="Z1565">
        <v>0</v>
      </c>
      <c r="AA1565" t="s">
        <v>49</v>
      </c>
      <c r="AB1565">
        <v>0</v>
      </c>
      <c r="AC1565" t="s">
        <v>49</v>
      </c>
      <c r="AD1565">
        <v>0</v>
      </c>
      <c r="AE1565">
        <v>11303309</v>
      </c>
      <c r="AF1565" t="s">
        <v>50</v>
      </c>
      <c r="AG1565" t="s">
        <v>2854</v>
      </c>
    </row>
    <row r="1566" spans="1:33" x14ac:dyDescent="0.35">
      <c r="A1566" s="1">
        <v>44867.607638888891</v>
      </c>
      <c r="B1566">
        <v>3415069</v>
      </c>
      <c r="C1566" t="s">
        <v>3509</v>
      </c>
      <c r="D1566" t="s">
        <v>3510</v>
      </c>
      <c r="E1566" s="2">
        <v>41120</v>
      </c>
      <c r="F1566" t="str">
        <f>"9780472028269"</f>
        <v>9780472028269</v>
      </c>
      <c r="G1566" t="str">
        <f>"9780472118182"</f>
        <v>9780472118182</v>
      </c>
      <c r="H1566" t="s">
        <v>1984</v>
      </c>
      <c r="I1566" t="s">
        <v>3511</v>
      </c>
      <c r="J1566" t="s">
        <v>3512</v>
      </c>
      <c r="K1566" t="s">
        <v>44</v>
      </c>
      <c r="N1566" t="s">
        <v>45</v>
      </c>
      <c r="O1566" t="s">
        <v>46</v>
      </c>
      <c r="P1566" t="s">
        <v>45</v>
      </c>
      <c r="Q1566" t="s">
        <v>47</v>
      </c>
      <c r="R1566" t="s">
        <v>44</v>
      </c>
      <c r="S1566">
        <v>0</v>
      </c>
      <c r="W1566" s="3">
        <v>3.1250000000000001E-4</v>
      </c>
      <c r="X1566" t="s">
        <v>3513</v>
      </c>
      <c r="Y1566">
        <v>5</v>
      </c>
      <c r="Z1566">
        <v>0</v>
      </c>
      <c r="AA1566" t="s">
        <v>49</v>
      </c>
      <c r="AB1566">
        <v>0</v>
      </c>
      <c r="AC1566" t="s">
        <v>49</v>
      </c>
      <c r="AD1566">
        <v>0</v>
      </c>
      <c r="AE1566">
        <v>10575753</v>
      </c>
      <c r="AF1566" t="s">
        <v>50</v>
      </c>
      <c r="AG1566" t="s">
        <v>3514</v>
      </c>
    </row>
    <row r="1567" spans="1:33" x14ac:dyDescent="0.35">
      <c r="A1567" s="1">
        <v>44867.552777777775</v>
      </c>
      <c r="B1567">
        <v>5430726</v>
      </c>
      <c r="C1567" t="s">
        <v>3157</v>
      </c>
      <c r="D1567" t="s">
        <v>861</v>
      </c>
      <c r="E1567" s="2">
        <v>43100</v>
      </c>
      <c r="F1567" t="str">
        <f>"9781630814953"</f>
        <v>9781630814953</v>
      </c>
      <c r="G1567" t="str">
        <f>"9781630811525"</f>
        <v>9781630811525</v>
      </c>
      <c r="H1567" t="s">
        <v>77</v>
      </c>
      <c r="I1567">
        <v>610.28</v>
      </c>
      <c r="J1567" t="s">
        <v>3158</v>
      </c>
      <c r="K1567" t="s">
        <v>44</v>
      </c>
      <c r="N1567" t="s">
        <v>45</v>
      </c>
      <c r="O1567" t="s">
        <v>46</v>
      </c>
      <c r="P1567" t="s">
        <v>45</v>
      </c>
      <c r="Q1567" t="s">
        <v>47</v>
      </c>
      <c r="R1567" t="s">
        <v>44</v>
      </c>
      <c r="S1567">
        <v>0</v>
      </c>
      <c r="W1567" s="3">
        <v>3.530092592592592E-3</v>
      </c>
      <c r="X1567" t="s">
        <v>3515</v>
      </c>
      <c r="Y1567">
        <v>26</v>
      </c>
      <c r="Z1567">
        <v>0</v>
      </c>
      <c r="AA1567" t="s">
        <v>49</v>
      </c>
      <c r="AB1567">
        <v>0</v>
      </c>
      <c r="AC1567" t="s">
        <v>49</v>
      </c>
      <c r="AD1567">
        <v>0</v>
      </c>
      <c r="AE1567">
        <v>-1</v>
      </c>
      <c r="AF1567" t="s">
        <v>50</v>
      </c>
      <c r="AG1567" t="s">
        <v>388</v>
      </c>
    </row>
    <row r="1568" spans="1:33" x14ac:dyDescent="0.35">
      <c r="A1568" s="1">
        <v>44867.51458333333</v>
      </c>
      <c r="B1568">
        <v>5841233</v>
      </c>
      <c r="C1568" t="s">
        <v>3516</v>
      </c>
      <c r="D1568" t="s">
        <v>213</v>
      </c>
      <c r="E1568" s="2">
        <v>43412</v>
      </c>
      <c r="F1568" t="str">
        <f>"9780128137239"</f>
        <v>9780128137239</v>
      </c>
      <c r="G1568" t="str">
        <f>"9780128137222"</f>
        <v>9780128137222</v>
      </c>
      <c r="H1568" t="s">
        <v>3517</v>
      </c>
      <c r="I1568">
        <v>660.28423999999995</v>
      </c>
      <c r="J1568" t="s">
        <v>3518</v>
      </c>
      <c r="K1568" t="s">
        <v>55</v>
      </c>
      <c r="Q1568" t="s">
        <v>47</v>
      </c>
      <c r="R1568" t="s">
        <v>44</v>
      </c>
      <c r="S1568">
        <v>0</v>
      </c>
      <c r="W1568" s="3">
        <v>2.8935185185185189E-4</v>
      </c>
      <c r="X1568" t="s">
        <v>3519</v>
      </c>
      <c r="Y1568">
        <v>2</v>
      </c>
      <c r="Z1568">
        <v>0</v>
      </c>
      <c r="AA1568" t="s">
        <v>49</v>
      </c>
      <c r="AB1568">
        <v>0</v>
      </c>
      <c r="AC1568" t="s">
        <v>49</v>
      </c>
      <c r="AD1568">
        <v>0</v>
      </c>
      <c r="AE1568">
        <v>-1</v>
      </c>
      <c r="AF1568" t="s">
        <v>63</v>
      </c>
      <c r="AG1568" t="s">
        <v>264</v>
      </c>
    </row>
    <row r="1569" spans="1:33" x14ac:dyDescent="0.35">
      <c r="A1569" s="1">
        <v>44867.497916666667</v>
      </c>
      <c r="B1569">
        <v>6893368</v>
      </c>
      <c r="C1569" t="s">
        <v>3414</v>
      </c>
      <c r="D1569" t="s">
        <v>213</v>
      </c>
      <c r="E1569" s="2">
        <v>44620</v>
      </c>
      <c r="F1569" t="str">
        <f>"9780128232347"</f>
        <v>9780128232347</v>
      </c>
      <c r="G1569" t="str">
        <f>"9780128216613"</f>
        <v>9780128216613</v>
      </c>
      <c r="H1569" t="s">
        <v>3415</v>
      </c>
      <c r="I1569">
        <v>681.2</v>
      </c>
      <c r="J1569" t="s">
        <v>3416</v>
      </c>
      <c r="K1569" t="s">
        <v>55</v>
      </c>
      <c r="Q1569" t="s">
        <v>47</v>
      </c>
      <c r="R1569" t="s">
        <v>44</v>
      </c>
      <c r="S1569">
        <v>0</v>
      </c>
      <c r="W1569" s="3">
        <v>1.7245370370370372E-3</v>
      </c>
      <c r="X1569" t="s">
        <v>3520</v>
      </c>
      <c r="Y1569">
        <v>3</v>
      </c>
      <c r="Z1569">
        <v>0</v>
      </c>
      <c r="AA1569" t="s">
        <v>49</v>
      </c>
      <c r="AB1569">
        <v>0</v>
      </c>
      <c r="AC1569" t="s">
        <v>49</v>
      </c>
      <c r="AD1569">
        <v>0</v>
      </c>
      <c r="AE1569">
        <v>-1</v>
      </c>
      <c r="AF1569" t="s">
        <v>63</v>
      </c>
      <c r="AG1569" t="s">
        <v>388</v>
      </c>
    </row>
    <row r="1570" spans="1:33" x14ac:dyDescent="0.35">
      <c r="A1570" s="1">
        <v>44867.459722222222</v>
      </c>
      <c r="B1570">
        <v>5841233</v>
      </c>
      <c r="C1570" t="s">
        <v>3516</v>
      </c>
      <c r="D1570" t="s">
        <v>213</v>
      </c>
      <c r="E1570" s="2">
        <v>43412</v>
      </c>
      <c r="F1570" t="str">
        <f>"9780128137239"</f>
        <v>9780128137239</v>
      </c>
      <c r="G1570" t="str">
        <f>"9780128137222"</f>
        <v>9780128137222</v>
      </c>
      <c r="H1570" t="s">
        <v>3517</v>
      </c>
      <c r="I1570">
        <v>660.28423999999995</v>
      </c>
      <c r="J1570" t="s">
        <v>3518</v>
      </c>
      <c r="K1570" t="s">
        <v>55</v>
      </c>
      <c r="Q1570" t="s">
        <v>47</v>
      </c>
      <c r="R1570" t="s">
        <v>44</v>
      </c>
      <c r="S1570">
        <v>0</v>
      </c>
      <c r="W1570" s="3">
        <v>1.834490740740741E-2</v>
      </c>
      <c r="X1570" t="s">
        <v>3521</v>
      </c>
      <c r="Y1570">
        <v>32</v>
      </c>
      <c r="Z1570">
        <v>0</v>
      </c>
      <c r="AA1570" t="s">
        <v>49</v>
      </c>
      <c r="AB1570">
        <v>0</v>
      </c>
      <c r="AC1570" t="s">
        <v>49</v>
      </c>
      <c r="AD1570">
        <v>0</v>
      </c>
      <c r="AE1570">
        <v>-1</v>
      </c>
      <c r="AF1570" t="s">
        <v>63</v>
      </c>
      <c r="AG1570" t="s">
        <v>264</v>
      </c>
    </row>
    <row r="1571" spans="1:33" x14ac:dyDescent="0.35">
      <c r="A1571" s="1">
        <v>44867.452777777777</v>
      </c>
      <c r="B1571">
        <v>5781401</v>
      </c>
      <c r="C1571" t="s">
        <v>3522</v>
      </c>
      <c r="D1571" t="s">
        <v>76</v>
      </c>
      <c r="E1571" s="2">
        <v>43633</v>
      </c>
      <c r="F1571" t="str">
        <f>"9781498748551"</f>
        <v>9781498748551</v>
      </c>
      <c r="G1571" t="str">
        <f>"9781498748544"</f>
        <v>9781498748544</v>
      </c>
      <c r="H1571" t="s">
        <v>261</v>
      </c>
      <c r="I1571" t="s">
        <v>3523</v>
      </c>
      <c r="J1571" t="s">
        <v>3524</v>
      </c>
      <c r="K1571" t="s">
        <v>55</v>
      </c>
      <c r="Q1571" t="s">
        <v>47</v>
      </c>
      <c r="R1571" t="s">
        <v>44</v>
      </c>
      <c r="S1571">
        <v>0</v>
      </c>
      <c r="W1571" s="3">
        <v>1.2037037037037038E-3</v>
      </c>
      <c r="X1571" t="s">
        <v>3525</v>
      </c>
      <c r="Y1571">
        <v>20</v>
      </c>
      <c r="Z1571">
        <v>0</v>
      </c>
      <c r="AA1571" t="s">
        <v>49</v>
      </c>
      <c r="AB1571">
        <v>0</v>
      </c>
      <c r="AC1571" t="s">
        <v>49</v>
      </c>
      <c r="AD1571">
        <v>0</v>
      </c>
      <c r="AE1571">
        <v>-1</v>
      </c>
      <c r="AF1571" t="s">
        <v>50</v>
      </c>
      <c r="AG1571" t="s">
        <v>264</v>
      </c>
    </row>
    <row r="1572" spans="1:33" x14ac:dyDescent="0.35">
      <c r="A1572" s="1">
        <v>44867.447222222225</v>
      </c>
      <c r="B1572">
        <v>4183127</v>
      </c>
      <c r="C1572" t="s">
        <v>190</v>
      </c>
      <c r="D1572" t="s">
        <v>59</v>
      </c>
      <c r="E1572" s="2">
        <v>42310</v>
      </c>
      <c r="F1572" t="str">
        <f>"9783527684649"</f>
        <v>9783527684649</v>
      </c>
      <c r="G1572" t="str">
        <f>"9783527331659"</f>
        <v>9783527331659</v>
      </c>
      <c r="H1572" t="s">
        <v>191</v>
      </c>
      <c r="I1572" t="s">
        <v>192</v>
      </c>
      <c r="J1572" t="s">
        <v>193</v>
      </c>
      <c r="K1572" t="s">
        <v>44</v>
      </c>
      <c r="N1572" t="s">
        <v>45</v>
      </c>
      <c r="O1572" t="s">
        <v>46</v>
      </c>
      <c r="P1572" t="s">
        <v>45</v>
      </c>
      <c r="Q1572" t="s">
        <v>47</v>
      </c>
      <c r="R1572" t="s">
        <v>44</v>
      </c>
      <c r="S1572">
        <v>2</v>
      </c>
      <c r="W1572" s="3">
        <v>6.5277777777777782E-3</v>
      </c>
      <c r="X1572" t="s">
        <v>3526</v>
      </c>
      <c r="Y1572">
        <v>111</v>
      </c>
      <c r="Z1572">
        <v>6</v>
      </c>
      <c r="AA1572" t="s">
        <v>3527</v>
      </c>
      <c r="AB1572">
        <v>82</v>
      </c>
      <c r="AC1572" t="s">
        <v>49</v>
      </c>
      <c r="AD1572">
        <v>0</v>
      </c>
      <c r="AE1572">
        <v>11125579</v>
      </c>
      <c r="AF1572" t="s">
        <v>63</v>
      </c>
      <c r="AG1572" t="s">
        <v>3528</v>
      </c>
    </row>
    <row r="1573" spans="1:33" x14ac:dyDescent="0.35">
      <c r="A1573" s="1">
        <v>44867.435416666667</v>
      </c>
      <c r="B1573">
        <v>4183127</v>
      </c>
      <c r="C1573" t="s">
        <v>190</v>
      </c>
      <c r="D1573" t="s">
        <v>59</v>
      </c>
      <c r="E1573" s="2">
        <v>42310</v>
      </c>
      <c r="F1573" t="str">
        <f>"9783527684649"</f>
        <v>9783527684649</v>
      </c>
      <c r="G1573" t="str">
        <f>"9783527331659"</f>
        <v>9783527331659</v>
      </c>
      <c r="H1573" t="s">
        <v>191</v>
      </c>
      <c r="I1573" t="s">
        <v>192</v>
      </c>
      <c r="J1573" t="s">
        <v>193</v>
      </c>
      <c r="K1573" t="s">
        <v>44</v>
      </c>
      <c r="N1573" t="s">
        <v>45</v>
      </c>
      <c r="O1573" t="s">
        <v>46</v>
      </c>
      <c r="P1573" t="s">
        <v>45</v>
      </c>
      <c r="Q1573" t="s">
        <v>47</v>
      </c>
      <c r="R1573" t="s">
        <v>44</v>
      </c>
      <c r="S1573">
        <v>0</v>
      </c>
      <c r="W1573" s="3">
        <v>1.1724537037037035E-2</v>
      </c>
      <c r="X1573" t="s">
        <v>3529</v>
      </c>
      <c r="Y1573">
        <v>18</v>
      </c>
      <c r="Z1573">
        <v>0</v>
      </c>
      <c r="AA1573" t="s">
        <v>49</v>
      </c>
      <c r="AB1573">
        <v>0</v>
      </c>
      <c r="AC1573" t="s">
        <v>49</v>
      </c>
      <c r="AD1573">
        <v>0</v>
      </c>
      <c r="AE1573">
        <v>11125579</v>
      </c>
      <c r="AF1573" t="s">
        <v>63</v>
      </c>
      <c r="AG1573" t="s">
        <v>3528</v>
      </c>
    </row>
    <row r="1574" spans="1:33" x14ac:dyDescent="0.35">
      <c r="A1574" s="1">
        <v>44867.36041666667</v>
      </c>
      <c r="B1574">
        <v>6859446</v>
      </c>
      <c r="C1574" t="s">
        <v>2217</v>
      </c>
      <c r="D1574" t="s">
        <v>213</v>
      </c>
      <c r="E1574" s="2">
        <v>44581</v>
      </c>
      <c r="F1574" t="str">
        <f>"9780128240892"</f>
        <v>9780128240892</v>
      </c>
      <c r="G1574" t="str">
        <f>"9780128240885"</f>
        <v>9780128240885</v>
      </c>
      <c r="H1574" t="s">
        <v>261</v>
      </c>
      <c r="I1574">
        <v>628.54999999999995</v>
      </c>
      <c r="J1574" t="s">
        <v>2218</v>
      </c>
      <c r="K1574" t="s">
        <v>55</v>
      </c>
      <c r="N1574" t="s">
        <v>293</v>
      </c>
      <c r="P1574" t="s">
        <v>80</v>
      </c>
      <c r="Q1574" t="s">
        <v>47</v>
      </c>
      <c r="R1574" t="s">
        <v>44</v>
      </c>
      <c r="S1574">
        <v>0</v>
      </c>
      <c r="W1574" s="3">
        <v>9.0740740740740729E-3</v>
      </c>
      <c r="X1574" t="s">
        <v>3530</v>
      </c>
      <c r="Y1574">
        <v>14</v>
      </c>
      <c r="Z1574">
        <v>0</v>
      </c>
      <c r="AA1574" t="s">
        <v>49</v>
      </c>
      <c r="AB1574">
        <v>0</v>
      </c>
      <c r="AC1574" t="s">
        <v>49</v>
      </c>
      <c r="AD1574">
        <v>0</v>
      </c>
      <c r="AE1574">
        <v>-1</v>
      </c>
      <c r="AF1574" t="s">
        <v>63</v>
      </c>
      <c r="AG1574" t="s">
        <v>1536</v>
      </c>
    </row>
    <row r="1575" spans="1:33" x14ac:dyDescent="0.35">
      <c r="A1575" s="1">
        <v>44867.356944444444</v>
      </c>
      <c r="B1575">
        <v>7050485</v>
      </c>
      <c r="C1575" t="s">
        <v>3531</v>
      </c>
      <c r="D1575" t="s">
        <v>76</v>
      </c>
      <c r="E1575" s="2">
        <v>44805</v>
      </c>
      <c r="F1575" t="str">
        <f>"9781000655872"</f>
        <v>9781000655872</v>
      </c>
      <c r="G1575" t="str">
        <f>"9780367419714"</f>
        <v>9780367419714</v>
      </c>
      <c r="H1575" t="s">
        <v>3532</v>
      </c>
      <c r="I1575">
        <v>623.44100000000003</v>
      </c>
      <c r="J1575" t="s">
        <v>3533</v>
      </c>
      <c r="K1575" t="s">
        <v>55</v>
      </c>
      <c r="N1575" t="s">
        <v>79</v>
      </c>
      <c r="P1575" t="s">
        <v>80</v>
      </c>
      <c r="Q1575" t="s">
        <v>47</v>
      </c>
      <c r="R1575" t="s">
        <v>44</v>
      </c>
      <c r="S1575">
        <v>0</v>
      </c>
      <c r="W1575" s="3">
        <v>0</v>
      </c>
      <c r="X1575" t="s">
        <v>49</v>
      </c>
      <c r="Y1575">
        <v>0</v>
      </c>
      <c r="Z1575">
        <v>7</v>
      </c>
      <c r="AA1575" t="s">
        <v>3534</v>
      </c>
      <c r="AB1575">
        <v>66</v>
      </c>
      <c r="AC1575" t="s">
        <v>49</v>
      </c>
      <c r="AD1575">
        <v>0</v>
      </c>
      <c r="AE1575">
        <v>-1</v>
      </c>
      <c r="AF1575" t="s">
        <v>50</v>
      </c>
      <c r="AG1575" t="s">
        <v>871</v>
      </c>
    </row>
    <row r="1576" spans="1:33" x14ac:dyDescent="0.35">
      <c r="A1576" s="1">
        <v>44867.354166666664</v>
      </c>
      <c r="B1576">
        <v>7050485</v>
      </c>
      <c r="C1576" t="s">
        <v>3531</v>
      </c>
      <c r="D1576" t="s">
        <v>76</v>
      </c>
      <c r="E1576" s="2">
        <v>44805</v>
      </c>
      <c r="F1576" t="str">
        <f>"9781000655872"</f>
        <v>9781000655872</v>
      </c>
      <c r="G1576" t="str">
        <f>"9780367419714"</f>
        <v>9780367419714</v>
      </c>
      <c r="H1576" t="s">
        <v>3532</v>
      </c>
      <c r="I1576">
        <v>623.44100000000003</v>
      </c>
      <c r="J1576" t="s">
        <v>3533</v>
      </c>
      <c r="K1576" t="s">
        <v>55</v>
      </c>
      <c r="N1576" t="s">
        <v>79</v>
      </c>
      <c r="P1576" t="s">
        <v>80</v>
      </c>
      <c r="Q1576" t="s">
        <v>47</v>
      </c>
      <c r="R1576" t="s">
        <v>44</v>
      </c>
      <c r="S1576">
        <v>0</v>
      </c>
      <c r="W1576" s="3">
        <v>0</v>
      </c>
      <c r="X1576" t="s">
        <v>49</v>
      </c>
      <c r="Y1576">
        <v>0</v>
      </c>
      <c r="Z1576">
        <v>3</v>
      </c>
      <c r="AA1576" t="s">
        <v>3535</v>
      </c>
      <c r="AB1576">
        <v>110</v>
      </c>
      <c r="AC1576" t="s">
        <v>49</v>
      </c>
      <c r="AD1576">
        <v>0</v>
      </c>
      <c r="AE1576">
        <v>-1</v>
      </c>
      <c r="AF1576" t="s">
        <v>50</v>
      </c>
      <c r="AG1576" t="s">
        <v>871</v>
      </c>
    </row>
    <row r="1577" spans="1:33" x14ac:dyDescent="0.35">
      <c r="A1577" s="1">
        <v>44867.352083333331</v>
      </c>
      <c r="B1577">
        <v>7050485</v>
      </c>
      <c r="C1577" t="s">
        <v>3531</v>
      </c>
      <c r="D1577" t="s">
        <v>76</v>
      </c>
      <c r="E1577" s="2">
        <v>44805</v>
      </c>
      <c r="F1577" t="str">
        <f>"9781000655872"</f>
        <v>9781000655872</v>
      </c>
      <c r="G1577" t="str">
        <f>"9780367419714"</f>
        <v>9780367419714</v>
      </c>
      <c r="H1577" t="s">
        <v>3532</v>
      </c>
      <c r="I1577">
        <v>623.44100000000003</v>
      </c>
      <c r="J1577" t="s">
        <v>3533</v>
      </c>
      <c r="K1577" t="s">
        <v>55</v>
      </c>
      <c r="N1577" t="s">
        <v>79</v>
      </c>
      <c r="P1577" t="s">
        <v>80</v>
      </c>
      <c r="Q1577" t="s">
        <v>47</v>
      </c>
      <c r="R1577" t="s">
        <v>44</v>
      </c>
      <c r="S1577">
        <v>0</v>
      </c>
      <c r="W1577" s="3">
        <v>1.1574074074074073E-5</v>
      </c>
      <c r="X1577" t="s">
        <v>49</v>
      </c>
      <c r="Y1577">
        <v>0</v>
      </c>
      <c r="Z1577">
        <v>3</v>
      </c>
      <c r="AA1577" t="s">
        <v>3536</v>
      </c>
      <c r="AB1577">
        <v>118</v>
      </c>
      <c r="AC1577" t="s">
        <v>49</v>
      </c>
      <c r="AD1577">
        <v>0</v>
      </c>
      <c r="AE1577">
        <v>-1</v>
      </c>
      <c r="AF1577" t="s">
        <v>50</v>
      </c>
      <c r="AG1577" t="s">
        <v>871</v>
      </c>
    </row>
    <row r="1578" spans="1:33" x14ac:dyDescent="0.35">
      <c r="A1578" s="1">
        <v>44867.347916666666</v>
      </c>
      <c r="B1578">
        <v>7050485</v>
      </c>
      <c r="C1578" t="s">
        <v>3531</v>
      </c>
      <c r="D1578" t="s">
        <v>76</v>
      </c>
      <c r="E1578" s="2">
        <v>44805</v>
      </c>
      <c r="F1578" t="str">
        <f>"9781000655872"</f>
        <v>9781000655872</v>
      </c>
      <c r="G1578" t="str">
        <f>"9780367419714"</f>
        <v>9780367419714</v>
      </c>
      <c r="H1578" t="s">
        <v>3532</v>
      </c>
      <c r="I1578">
        <v>623.44100000000003</v>
      </c>
      <c r="J1578" t="s">
        <v>3533</v>
      </c>
      <c r="K1578" t="s">
        <v>55</v>
      </c>
      <c r="N1578" t="s">
        <v>79</v>
      </c>
      <c r="P1578" t="s">
        <v>80</v>
      </c>
      <c r="Q1578" t="s">
        <v>47</v>
      </c>
      <c r="R1578" t="s">
        <v>44</v>
      </c>
      <c r="S1578">
        <v>0</v>
      </c>
      <c r="W1578" s="3">
        <v>0</v>
      </c>
      <c r="X1578" t="s">
        <v>49</v>
      </c>
      <c r="Y1578">
        <v>0</v>
      </c>
      <c r="Z1578">
        <v>9</v>
      </c>
      <c r="AA1578" t="s">
        <v>3537</v>
      </c>
      <c r="AB1578">
        <v>123</v>
      </c>
      <c r="AC1578" t="s">
        <v>49</v>
      </c>
      <c r="AD1578">
        <v>0</v>
      </c>
      <c r="AE1578">
        <v>-1</v>
      </c>
      <c r="AF1578" t="s">
        <v>50</v>
      </c>
      <c r="AG1578" t="s">
        <v>1536</v>
      </c>
    </row>
    <row r="1579" spans="1:33" x14ac:dyDescent="0.35">
      <c r="A1579" s="1">
        <v>44867.073611111111</v>
      </c>
      <c r="B1579">
        <v>6859446</v>
      </c>
      <c r="C1579" t="s">
        <v>2217</v>
      </c>
      <c r="D1579" t="s">
        <v>213</v>
      </c>
      <c r="E1579" s="2">
        <v>44581</v>
      </c>
      <c r="F1579" t="str">
        <f>"9780128240892"</f>
        <v>9780128240892</v>
      </c>
      <c r="G1579" t="str">
        <f>"9780128240885"</f>
        <v>9780128240885</v>
      </c>
      <c r="H1579" t="s">
        <v>261</v>
      </c>
      <c r="I1579">
        <v>628.54999999999995</v>
      </c>
      <c r="J1579" t="s">
        <v>2218</v>
      </c>
      <c r="K1579" t="s">
        <v>55</v>
      </c>
      <c r="Q1579" t="s">
        <v>47</v>
      </c>
      <c r="R1579" t="s">
        <v>44</v>
      </c>
      <c r="S1579">
        <v>0</v>
      </c>
      <c r="W1579" s="3">
        <v>1.2847222222222223E-3</v>
      </c>
      <c r="X1579" t="s">
        <v>3538</v>
      </c>
      <c r="Y1579">
        <v>20</v>
      </c>
      <c r="Z1579">
        <v>0</v>
      </c>
      <c r="AA1579" t="s">
        <v>49</v>
      </c>
      <c r="AB1579">
        <v>0</v>
      </c>
      <c r="AC1579" t="s">
        <v>49</v>
      </c>
      <c r="AD1579">
        <v>0</v>
      </c>
      <c r="AE1579">
        <v>-1</v>
      </c>
      <c r="AF1579" t="s">
        <v>50</v>
      </c>
      <c r="AG1579" t="s">
        <v>1536</v>
      </c>
    </row>
    <row r="1580" spans="1:33" x14ac:dyDescent="0.35">
      <c r="A1580" s="1">
        <v>44866.96875</v>
      </c>
      <c r="B1580">
        <v>907100</v>
      </c>
      <c r="C1580" t="s">
        <v>3539</v>
      </c>
      <c r="D1580" t="s">
        <v>502</v>
      </c>
      <c r="E1580" s="2">
        <v>41053</v>
      </c>
      <c r="F1580" t="str">
        <f>"9781139419284"</f>
        <v>9781139419284</v>
      </c>
      <c r="G1580" t="str">
        <f>"9780521197878"</f>
        <v>9780521197878</v>
      </c>
      <c r="H1580" t="s">
        <v>542</v>
      </c>
      <c r="I1580" t="s">
        <v>3540</v>
      </c>
      <c r="J1580" t="s">
        <v>3541</v>
      </c>
      <c r="K1580" t="s">
        <v>55</v>
      </c>
      <c r="P1580" t="s">
        <v>97</v>
      </c>
      <c r="Q1580" t="s">
        <v>47</v>
      </c>
      <c r="R1580" t="s">
        <v>44</v>
      </c>
      <c r="S1580">
        <v>0</v>
      </c>
      <c r="W1580" s="3">
        <v>4.6296296296296294E-5</v>
      </c>
      <c r="X1580" t="s">
        <v>121</v>
      </c>
      <c r="Y1580">
        <v>1</v>
      </c>
      <c r="Z1580">
        <v>0</v>
      </c>
      <c r="AA1580" t="s">
        <v>49</v>
      </c>
      <c r="AB1580">
        <v>0</v>
      </c>
      <c r="AC1580" t="s">
        <v>49</v>
      </c>
      <c r="AD1580">
        <v>0</v>
      </c>
      <c r="AE1580">
        <v>10568350</v>
      </c>
      <c r="AF1580" t="s">
        <v>50</v>
      </c>
      <c r="AG1580" t="s">
        <v>388</v>
      </c>
    </row>
    <row r="1581" spans="1:33" x14ac:dyDescent="0.35">
      <c r="A1581" s="1">
        <v>44866.965277777781</v>
      </c>
      <c r="B1581">
        <v>279494</v>
      </c>
      <c r="C1581" t="s">
        <v>1333</v>
      </c>
      <c r="D1581" t="s">
        <v>125</v>
      </c>
      <c r="E1581" s="2">
        <v>37280</v>
      </c>
      <c r="F1581" t="str">
        <f>"9780198032953"</f>
        <v>9780198032953</v>
      </c>
      <c r="G1581" t="str">
        <f>"9780195144208"</f>
        <v>9780195144208</v>
      </c>
      <c r="H1581" t="s">
        <v>667</v>
      </c>
      <c r="I1581" t="s">
        <v>1334</v>
      </c>
      <c r="J1581" t="s">
        <v>1335</v>
      </c>
      <c r="K1581" t="s">
        <v>44</v>
      </c>
      <c r="N1581" t="s">
        <v>45</v>
      </c>
      <c r="O1581" t="s">
        <v>46</v>
      </c>
      <c r="P1581" t="s">
        <v>45</v>
      </c>
      <c r="Q1581" t="s">
        <v>47</v>
      </c>
      <c r="R1581" t="s">
        <v>44</v>
      </c>
      <c r="S1581">
        <v>0</v>
      </c>
      <c r="W1581" s="3">
        <v>3.4722222222222222E-5</v>
      </c>
      <c r="X1581" t="s">
        <v>121</v>
      </c>
      <c r="Y1581">
        <v>1</v>
      </c>
      <c r="Z1581">
        <v>0</v>
      </c>
      <c r="AA1581" t="s">
        <v>49</v>
      </c>
      <c r="AB1581">
        <v>0</v>
      </c>
      <c r="AC1581" t="s">
        <v>49</v>
      </c>
      <c r="AD1581">
        <v>0</v>
      </c>
      <c r="AE1581">
        <v>11303309</v>
      </c>
      <c r="AF1581" t="s">
        <v>50</v>
      </c>
      <c r="AG1581" t="s">
        <v>2854</v>
      </c>
    </row>
    <row r="1582" spans="1:33" x14ac:dyDescent="0.35">
      <c r="A1582" s="1">
        <v>44866.907638888886</v>
      </c>
      <c r="B1582">
        <v>6859446</v>
      </c>
      <c r="C1582" t="s">
        <v>2217</v>
      </c>
      <c r="D1582" t="s">
        <v>213</v>
      </c>
      <c r="E1582" s="2">
        <v>44581</v>
      </c>
      <c r="F1582" t="str">
        <f>"9780128240892"</f>
        <v>9780128240892</v>
      </c>
      <c r="G1582" t="str">
        <f>"9780128240885"</f>
        <v>9780128240885</v>
      </c>
      <c r="H1582" t="s">
        <v>261</v>
      </c>
      <c r="I1582">
        <v>628.54999999999995</v>
      </c>
      <c r="J1582" t="s">
        <v>2218</v>
      </c>
      <c r="K1582" t="s">
        <v>55</v>
      </c>
      <c r="Q1582" t="s">
        <v>47</v>
      </c>
      <c r="R1582" t="s">
        <v>44</v>
      </c>
      <c r="S1582">
        <v>0</v>
      </c>
      <c r="W1582" s="3">
        <v>7.1643518518518514E-3</v>
      </c>
      <c r="X1582" t="s">
        <v>3542</v>
      </c>
      <c r="Y1582">
        <v>6</v>
      </c>
      <c r="Z1582">
        <v>0</v>
      </c>
      <c r="AA1582" t="s">
        <v>49</v>
      </c>
      <c r="AB1582">
        <v>0</v>
      </c>
      <c r="AC1582" t="s">
        <v>49</v>
      </c>
      <c r="AD1582">
        <v>0</v>
      </c>
      <c r="AE1582">
        <v>-1</v>
      </c>
      <c r="AF1582" t="s">
        <v>63</v>
      </c>
      <c r="AG1582" t="s">
        <v>1536</v>
      </c>
    </row>
    <row r="1583" spans="1:33" x14ac:dyDescent="0.35">
      <c r="A1583" s="1">
        <v>44866.883333333331</v>
      </c>
      <c r="B1583">
        <v>279494</v>
      </c>
      <c r="C1583" t="s">
        <v>1333</v>
      </c>
      <c r="D1583" t="s">
        <v>125</v>
      </c>
      <c r="E1583" s="2">
        <v>37280</v>
      </c>
      <c r="F1583" t="str">
        <f>"9780198032953"</f>
        <v>9780198032953</v>
      </c>
      <c r="G1583" t="str">
        <f>"9780195144208"</f>
        <v>9780195144208</v>
      </c>
      <c r="H1583" t="s">
        <v>667</v>
      </c>
      <c r="I1583" t="s">
        <v>1334</v>
      </c>
      <c r="J1583" t="s">
        <v>1335</v>
      </c>
      <c r="K1583" t="s">
        <v>44</v>
      </c>
      <c r="N1583" t="s">
        <v>45</v>
      </c>
      <c r="O1583" t="s">
        <v>46</v>
      </c>
      <c r="P1583" t="s">
        <v>45</v>
      </c>
      <c r="Q1583" t="s">
        <v>47</v>
      </c>
      <c r="R1583" t="s">
        <v>44</v>
      </c>
      <c r="S1583">
        <v>0</v>
      </c>
      <c r="W1583" s="3">
        <v>0</v>
      </c>
      <c r="X1583" t="s">
        <v>49</v>
      </c>
      <c r="Y1583">
        <v>0</v>
      </c>
      <c r="Z1583">
        <v>0</v>
      </c>
      <c r="AA1583" t="s">
        <v>49</v>
      </c>
      <c r="AB1583">
        <v>0</v>
      </c>
      <c r="AC1583" t="s">
        <v>49</v>
      </c>
      <c r="AD1583">
        <v>0</v>
      </c>
      <c r="AE1583">
        <v>11303309</v>
      </c>
      <c r="AF1583" t="s">
        <v>50</v>
      </c>
      <c r="AG1583" t="s">
        <v>3543</v>
      </c>
    </row>
    <row r="1584" spans="1:33" x14ac:dyDescent="0.35">
      <c r="A1584" s="1">
        <v>44866.839583333334</v>
      </c>
      <c r="B1584">
        <v>5515130</v>
      </c>
      <c r="C1584" t="s">
        <v>3544</v>
      </c>
      <c r="D1584" t="s">
        <v>810</v>
      </c>
      <c r="E1584" s="2">
        <v>42917</v>
      </c>
      <c r="F1584" t="str">
        <f>"9781627081382"</f>
        <v>9781627081382</v>
      </c>
      <c r="G1584" t="str">
        <f>"9781627081375"</f>
        <v>9781627081375</v>
      </c>
      <c r="H1584" t="s">
        <v>100</v>
      </c>
      <c r="I1584">
        <v>620.11</v>
      </c>
      <c r="J1584" t="s">
        <v>3545</v>
      </c>
      <c r="K1584" t="s">
        <v>44</v>
      </c>
      <c r="N1584" t="s">
        <v>45</v>
      </c>
      <c r="O1584" t="s">
        <v>46</v>
      </c>
      <c r="P1584" t="s">
        <v>45</v>
      </c>
      <c r="Q1584" t="s">
        <v>47</v>
      </c>
      <c r="R1584" t="s">
        <v>44</v>
      </c>
      <c r="S1584">
        <v>0</v>
      </c>
      <c r="W1584" s="3">
        <v>8.1018518518518516E-5</v>
      </c>
      <c r="X1584" t="s">
        <v>3546</v>
      </c>
      <c r="Y1584">
        <v>1</v>
      </c>
      <c r="Z1584">
        <v>3</v>
      </c>
      <c r="AA1584" t="s">
        <v>3547</v>
      </c>
      <c r="AB1584">
        <v>84</v>
      </c>
      <c r="AC1584" t="s">
        <v>49</v>
      </c>
      <c r="AD1584">
        <v>0</v>
      </c>
      <c r="AE1584">
        <v>11610180</v>
      </c>
      <c r="AF1584" t="s">
        <v>50</v>
      </c>
      <c r="AG1584" t="s">
        <v>871</v>
      </c>
    </row>
    <row r="1585" spans="1:33" x14ac:dyDescent="0.35">
      <c r="A1585" s="1">
        <v>44866.838194444441</v>
      </c>
      <c r="B1585">
        <v>5515130</v>
      </c>
      <c r="C1585" t="s">
        <v>3544</v>
      </c>
      <c r="D1585" t="s">
        <v>810</v>
      </c>
      <c r="E1585" s="2">
        <v>42917</v>
      </c>
      <c r="F1585" t="str">
        <f>"9781627081382"</f>
        <v>9781627081382</v>
      </c>
      <c r="G1585" t="str">
        <f>"9781627081375"</f>
        <v>9781627081375</v>
      </c>
      <c r="H1585" t="s">
        <v>100</v>
      </c>
      <c r="I1585">
        <v>620.11</v>
      </c>
      <c r="J1585" t="s">
        <v>3545</v>
      </c>
      <c r="K1585" t="s">
        <v>44</v>
      </c>
      <c r="N1585" t="s">
        <v>45</v>
      </c>
      <c r="O1585" t="s">
        <v>46</v>
      </c>
      <c r="P1585" t="s">
        <v>45</v>
      </c>
      <c r="Q1585" t="s">
        <v>47</v>
      </c>
      <c r="R1585" t="s">
        <v>44</v>
      </c>
      <c r="S1585">
        <v>0</v>
      </c>
      <c r="W1585" s="3">
        <v>0</v>
      </c>
      <c r="X1585" t="s">
        <v>49</v>
      </c>
      <c r="Y1585">
        <v>0</v>
      </c>
      <c r="Z1585">
        <v>6</v>
      </c>
      <c r="AA1585" t="s">
        <v>3548</v>
      </c>
      <c r="AB1585">
        <v>168</v>
      </c>
      <c r="AC1585" t="s">
        <v>49</v>
      </c>
      <c r="AD1585">
        <v>0</v>
      </c>
      <c r="AE1585">
        <v>11610180</v>
      </c>
      <c r="AF1585" t="s">
        <v>50</v>
      </c>
      <c r="AG1585" t="s">
        <v>871</v>
      </c>
    </row>
    <row r="1586" spans="1:33" x14ac:dyDescent="0.35">
      <c r="A1586" s="1">
        <v>44866.836805555555</v>
      </c>
      <c r="B1586">
        <v>5515130</v>
      </c>
      <c r="C1586" t="s">
        <v>3544</v>
      </c>
      <c r="D1586" t="s">
        <v>810</v>
      </c>
      <c r="E1586" s="2">
        <v>42917</v>
      </c>
      <c r="F1586" t="str">
        <f>"9781627081382"</f>
        <v>9781627081382</v>
      </c>
      <c r="G1586" t="str">
        <f>"9781627081375"</f>
        <v>9781627081375</v>
      </c>
      <c r="H1586" t="s">
        <v>100</v>
      </c>
      <c r="I1586">
        <v>620.11</v>
      </c>
      <c r="J1586" t="s">
        <v>3545</v>
      </c>
      <c r="K1586" t="s">
        <v>44</v>
      </c>
      <c r="N1586" t="s">
        <v>45</v>
      </c>
      <c r="O1586" t="s">
        <v>46</v>
      </c>
      <c r="P1586" t="s">
        <v>45</v>
      </c>
      <c r="Q1586" t="s">
        <v>47</v>
      </c>
      <c r="R1586" t="s">
        <v>44</v>
      </c>
      <c r="S1586">
        <v>0</v>
      </c>
      <c r="W1586" s="3">
        <v>0</v>
      </c>
      <c r="X1586" t="s">
        <v>49</v>
      </c>
      <c r="Y1586">
        <v>0</v>
      </c>
      <c r="Z1586">
        <v>6</v>
      </c>
      <c r="AA1586" t="s">
        <v>3549</v>
      </c>
      <c r="AB1586">
        <v>148</v>
      </c>
      <c r="AC1586" t="s">
        <v>49</v>
      </c>
      <c r="AD1586">
        <v>0</v>
      </c>
      <c r="AE1586">
        <v>11610180</v>
      </c>
      <c r="AF1586" t="s">
        <v>50</v>
      </c>
      <c r="AG1586" t="s">
        <v>871</v>
      </c>
    </row>
    <row r="1587" spans="1:33" x14ac:dyDescent="0.35">
      <c r="A1587" s="1">
        <v>44866.835416666669</v>
      </c>
      <c r="B1587">
        <v>5515130</v>
      </c>
      <c r="C1587" t="s">
        <v>3544</v>
      </c>
      <c r="D1587" t="s">
        <v>810</v>
      </c>
      <c r="E1587" s="2">
        <v>42917</v>
      </c>
      <c r="F1587" t="str">
        <f>"9781627081382"</f>
        <v>9781627081382</v>
      </c>
      <c r="G1587" t="str">
        <f>"9781627081375"</f>
        <v>9781627081375</v>
      </c>
      <c r="H1587" t="s">
        <v>100</v>
      </c>
      <c r="I1587">
        <v>620.11</v>
      </c>
      <c r="J1587" t="s">
        <v>3545</v>
      </c>
      <c r="K1587" t="s">
        <v>44</v>
      </c>
      <c r="N1587" t="s">
        <v>45</v>
      </c>
      <c r="O1587" t="s">
        <v>46</v>
      </c>
      <c r="P1587" t="s">
        <v>45</v>
      </c>
      <c r="Q1587" t="s">
        <v>47</v>
      </c>
      <c r="R1587" t="s">
        <v>44</v>
      </c>
      <c r="S1587">
        <v>0</v>
      </c>
      <c r="W1587" s="3">
        <v>0</v>
      </c>
      <c r="X1587" t="s">
        <v>49</v>
      </c>
      <c r="Y1587">
        <v>0</v>
      </c>
      <c r="Z1587">
        <v>7</v>
      </c>
      <c r="AA1587" t="s">
        <v>3550</v>
      </c>
      <c r="AB1587">
        <v>196</v>
      </c>
      <c r="AC1587" t="s">
        <v>49</v>
      </c>
      <c r="AD1587">
        <v>0</v>
      </c>
      <c r="AE1587">
        <v>11610180</v>
      </c>
      <c r="AF1587" t="s">
        <v>50</v>
      </c>
      <c r="AG1587" t="s">
        <v>871</v>
      </c>
    </row>
    <row r="1588" spans="1:33" x14ac:dyDescent="0.35">
      <c r="A1588" s="1">
        <v>44866.823611111111</v>
      </c>
      <c r="B1588">
        <v>1775721</v>
      </c>
      <c r="C1588" t="s">
        <v>3449</v>
      </c>
      <c r="D1588" t="s">
        <v>3450</v>
      </c>
      <c r="E1588" s="2">
        <v>41872</v>
      </c>
      <c r="F1588" t="str">
        <f>"9780838912409"</f>
        <v>9780838912409</v>
      </c>
      <c r="G1588" t="str">
        <f>"9780838912393"</f>
        <v>9780838912393</v>
      </c>
      <c r="H1588" t="s">
        <v>385</v>
      </c>
      <c r="I1588" t="s">
        <v>3451</v>
      </c>
      <c r="J1588" t="s">
        <v>3452</v>
      </c>
      <c r="K1588" t="s">
        <v>44</v>
      </c>
      <c r="N1588" t="s">
        <v>45</v>
      </c>
      <c r="O1588" t="s">
        <v>46</v>
      </c>
      <c r="P1588" t="s">
        <v>45</v>
      </c>
      <c r="Q1588" t="s">
        <v>47</v>
      </c>
      <c r="R1588" t="s">
        <v>44</v>
      </c>
      <c r="S1588">
        <v>0</v>
      </c>
      <c r="W1588" s="3">
        <v>5.4398148148148144E-4</v>
      </c>
      <c r="X1588" t="s">
        <v>3551</v>
      </c>
      <c r="Y1588">
        <v>3</v>
      </c>
      <c r="Z1588">
        <v>0</v>
      </c>
      <c r="AA1588" t="s">
        <v>49</v>
      </c>
      <c r="AB1588">
        <v>0</v>
      </c>
      <c r="AC1588" t="s">
        <v>49</v>
      </c>
      <c r="AD1588">
        <v>0</v>
      </c>
      <c r="AE1588">
        <v>10921676</v>
      </c>
      <c r="AF1588" t="s">
        <v>50</v>
      </c>
      <c r="AG1588" t="s">
        <v>1536</v>
      </c>
    </row>
    <row r="1589" spans="1:33" x14ac:dyDescent="0.35">
      <c r="A1589" s="1">
        <v>44866.804861111108</v>
      </c>
      <c r="B1589">
        <v>6020721</v>
      </c>
      <c r="C1589" t="s">
        <v>2770</v>
      </c>
      <c r="D1589" t="s">
        <v>59</v>
      </c>
      <c r="E1589" s="2">
        <v>43899</v>
      </c>
      <c r="F1589" t="str">
        <f>"9781118638484"</f>
        <v>9781118638484</v>
      </c>
      <c r="G1589" t="str">
        <f>"9781118638514"</f>
        <v>9781118638514</v>
      </c>
      <c r="H1589" t="s">
        <v>162</v>
      </c>
      <c r="I1589">
        <v>297.125</v>
      </c>
      <c r="J1589" t="s">
        <v>2771</v>
      </c>
      <c r="K1589" t="s">
        <v>44</v>
      </c>
      <c r="N1589" t="s">
        <v>45</v>
      </c>
      <c r="O1589" t="s">
        <v>46</v>
      </c>
      <c r="P1589" t="s">
        <v>45</v>
      </c>
      <c r="Q1589" t="s">
        <v>47</v>
      </c>
      <c r="R1589" t="s">
        <v>44</v>
      </c>
      <c r="S1589">
        <v>0</v>
      </c>
      <c r="W1589" s="3">
        <v>1.5972222222222221E-3</v>
      </c>
      <c r="X1589" t="s">
        <v>3552</v>
      </c>
      <c r="Y1589">
        <v>7</v>
      </c>
      <c r="Z1589">
        <v>0</v>
      </c>
      <c r="AA1589" t="s">
        <v>49</v>
      </c>
      <c r="AB1589">
        <v>0</v>
      </c>
      <c r="AC1589" t="s">
        <v>49</v>
      </c>
      <c r="AD1589">
        <v>0</v>
      </c>
      <c r="AE1589">
        <v>-1</v>
      </c>
      <c r="AF1589" t="s">
        <v>50</v>
      </c>
      <c r="AG1589" t="s">
        <v>388</v>
      </c>
    </row>
    <row r="1590" spans="1:33" x14ac:dyDescent="0.35">
      <c r="A1590" s="1">
        <v>44866.802083333336</v>
      </c>
      <c r="B1590">
        <v>292370</v>
      </c>
      <c r="C1590" t="s">
        <v>3553</v>
      </c>
      <c r="D1590" t="s">
        <v>507</v>
      </c>
      <c r="E1590" s="2">
        <v>39184</v>
      </c>
      <c r="F1590" t="str">
        <f>"9780748628971"</f>
        <v>9780748628971</v>
      </c>
      <c r="G1590" t="str">
        <f>"9780748619191"</f>
        <v>9780748619191</v>
      </c>
      <c r="H1590" t="s">
        <v>162</v>
      </c>
      <c r="I1590">
        <v>297.40902</v>
      </c>
      <c r="J1590" t="s">
        <v>3554</v>
      </c>
      <c r="K1590" t="s">
        <v>44</v>
      </c>
      <c r="N1590" t="s">
        <v>45</v>
      </c>
      <c r="O1590" t="s">
        <v>46</v>
      </c>
      <c r="P1590" t="s">
        <v>45</v>
      </c>
      <c r="Q1590" t="s">
        <v>47</v>
      </c>
      <c r="R1590" t="s">
        <v>44</v>
      </c>
      <c r="S1590">
        <v>0</v>
      </c>
      <c r="W1590" s="3">
        <v>1.2731481481481483E-3</v>
      </c>
      <c r="X1590" t="s">
        <v>3555</v>
      </c>
      <c r="Y1590">
        <v>23</v>
      </c>
      <c r="Z1590">
        <v>0</v>
      </c>
      <c r="AA1590" t="s">
        <v>49</v>
      </c>
      <c r="AB1590">
        <v>0</v>
      </c>
      <c r="AC1590" t="s">
        <v>49</v>
      </c>
      <c r="AD1590">
        <v>0</v>
      </c>
      <c r="AE1590">
        <v>10405162</v>
      </c>
      <c r="AF1590" t="s">
        <v>50</v>
      </c>
      <c r="AG1590" t="s">
        <v>388</v>
      </c>
    </row>
    <row r="1591" spans="1:33" x14ac:dyDescent="0.35">
      <c r="A1591" s="1">
        <v>44866.801388888889</v>
      </c>
      <c r="B1591">
        <v>4085851</v>
      </c>
      <c r="C1591" t="s">
        <v>3556</v>
      </c>
      <c r="D1591" t="s">
        <v>424</v>
      </c>
      <c r="E1591" s="2">
        <v>42327</v>
      </c>
      <c r="F1591" t="str">
        <f>"9780810879744"</f>
        <v>9780810879744</v>
      </c>
      <c r="G1591" t="str">
        <f>"9780810879737"</f>
        <v>9780810879737</v>
      </c>
      <c r="H1591" t="s">
        <v>162</v>
      </c>
      <c r="I1591">
        <v>297.40300000000002</v>
      </c>
      <c r="J1591" t="s">
        <v>3557</v>
      </c>
      <c r="K1591" t="s">
        <v>44</v>
      </c>
      <c r="N1591" t="s">
        <v>45</v>
      </c>
      <c r="O1591" t="s">
        <v>46</v>
      </c>
      <c r="P1591" t="s">
        <v>45</v>
      </c>
      <c r="Q1591" t="s">
        <v>47</v>
      </c>
      <c r="R1591" t="s">
        <v>44</v>
      </c>
      <c r="S1591">
        <v>0</v>
      </c>
      <c r="W1591" s="3">
        <v>9.6064814814814808E-4</v>
      </c>
      <c r="X1591" t="s">
        <v>3558</v>
      </c>
      <c r="Y1591">
        <v>22</v>
      </c>
      <c r="Z1591">
        <v>0</v>
      </c>
      <c r="AA1591" t="s">
        <v>49</v>
      </c>
      <c r="AB1591">
        <v>0</v>
      </c>
      <c r="AC1591" t="s">
        <v>49</v>
      </c>
      <c r="AD1591">
        <v>0</v>
      </c>
      <c r="AE1591">
        <v>11124058</v>
      </c>
      <c r="AF1591" t="s">
        <v>50</v>
      </c>
      <c r="AG1591" t="s">
        <v>388</v>
      </c>
    </row>
    <row r="1592" spans="1:33" x14ac:dyDescent="0.35">
      <c r="A1592" s="1">
        <v>44866.795138888891</v>
      </c>
      <c r="B1592">
        <v>6712463</v>
      </c>
      <c r="C1592" t="s">
        <v>3559</v>
      </c>
      <c r="D1592" t="s">
        <v>59</v>
      </c>
      <c r="E1592" s="2">
        <v>44550</v>
      </c>
      <c r="F1592" t="str">
        <f>"9783527824762"</f>
        <v>9783527824762</v>
      </c>
      <c r="G1592" t="str">
        <f>"9783527346875"</f>
        <v>9783527346875</v>
      </c>
      <c r="H1592" t="s">
        <v>546</v>
      </c>
      <c r="I1592">
        <v>621.31500000000005</v>
      </c>
      <c r="J1592" t="s">
        <v>3560</v>
      </c>
      <c r="K1592" t="s">
        <v>55</v>
      </c>
      <c r="N1592" t="s">
        <v>293</v>
      </c>
      <c r="P1592" t="s">
        <v>80</v>
      </c>
      <c r="Q1592" t="s">
        <v>47</v>
      </c>
      <c r="R1592" t="s">
        <v>44</v>
      </c>
      <c r="S1592">
        <v>1</v>
      </c>
      <c r="T1592">
        <v>1</v>
      </c>
      <c r="U1592" s="1">
        <v>44866.795138888891</v>
      </c>
      <c r="V1592" s="1">
        <v>44867.795138888891</v>
      </c>
      <c r="W1592" s="3">
        <v>0</v>
      </c>
      <c r="X1592" t="s">
        <v>49</v>
      </c>
      <c r="Y1592">
        <v>0</v>
      </c>
      <c r="Z1592">
        <v>0</v>
      </c>
      <c r="AA1592" t="s">
        <v>49</v>
      </c>
      <c r="AB1592">
        <v>0</v>
      </c>
      <c r="AC1592" t="s">
        <v>49</v>
      </c>
      <c r="AD1592">
        <v>0</v>
      </c>
      <c r="AE1592">
        <v>-1</v>
      </c>
      <c r="AF1592" t="s">
        <v>63</v>
      </c>
      <c r="AG1592" t="s">
        <v>1536</v>
      </c>
    </row>
    <row r="1593" spans="1:33" x14ac:dyDescent="0.35">
      <c r="A1593" s="1">
        <v>44866.792361111111</v>
      </c>
      <c r="B1593">
        <v>6712463</v>
      </c>
      <c r="C1593" t="s">
        <v>3559</v>
      </c>
      <c r="D1593" t="s">
        <v>59</v>
      </c>
      <c r="E1593" s="2">
        <v>44550</v>
      </c>
      <c r="F1593" t="str">
        <f>"9783527824762"</f>
        <v>9783527824762</v>
      </c>
      <c r="G1593" t="str">
        <f>"9783527346875"</f>
        <v>9783527346875</v>
      </c>
      <c r="H1593" t="s">
        <v>546</v>
      </c>
      <c r="I1593">
        <v>621.31500000000005</v>
      </c>
      <c r="J1593" t="s">
        <v>3560</v>
      </c>
      <c r="K1593" t="s">
        <v>55</v>
      </c>
      <c r="N1593" t="s">
        <v>293</v>
      </c>
      <c r="P1593" t="s">
        <v>80</v>
      </c>
      <c r="Q1593" t="s">
        <v>47</v>
      </c>
      <c r="R1593" t="s">
        <v>44</v>
      </c>
      <c r="S1593">
        <v>0</v>
      </c>
      <c r="W1593" s="3">
        <v>2.5462962962962961E-3</v>
      </c>
      <c r="X1593" t="s">
        <v>196</v>
      </c>
      <c r="Y1593">
        <v>2</v>
      </c>
      <c r="Z1593">
        <v>0</v>
      </c>
      <c r="AA1593" t="s">
        <v>49</v>
      </c>
      <c r="AB1593">
        <v>0</v>
      </c>
      <c r="AC1593" t="s">
        <v>49</v>
      </c>
      <c r="AD1593">
        <v>0</v>
      </c>
      <c r="AE1593">
        <v>-1</v>
      </c>
      <c r="AF1593" t="s">
        <v>63</v>
      </c>
      <c r="AG1593" t="s">
        <v>1536</v>
      </c>
    </row>
    <row r="1594" spans="1:33" x14ac:dyDescent="0.35">
      <c r="A1594" s="1">
        <v>44866.759722222225</v>
      </c>
      <c r="B1594">
        <v>1895580</v>
      </c>
      <c r="C1594" t="s">
        <v>3561</v>
      </c>
      <c r="D1594" t="s">
        <v>59</v>
      </c>
      <c r="E1594" s="2">
        <v>42010</v>
      </c>
      <c r="F1594" t="str">
        <f>"9781118759035"</f>
        <v>9781118759035</v>
      </c>
      <c r="G1594" t="str">
        <f>"9781118759066"</f>
        <v>9781118759066</v>
      </c>
      <c r="H1594" t="s">
        <v>483</v>
      </c>
      <c r="I1594">
        <v>720.95</v>
      </c>
      <c r="J1594" t="s">
        <v>3562</v>
      </c>
      <c r="K1594" t="s">
        <v>44</v>
      </c>
      <c r="N1594" t="s">
        <v>45</v>
      </c>
      <c r="O1594" t="s">
        <v>46</v>
      </c>
      <c r="P1594" t="s">
        <v>45</v>
      </c>
      <c r="Q1594" t="s">
        <v>47</v>
      </c>
      <c r="R1594" t="s">
        <v>44</v>
      </c>
      <c r="S1594">
        <v>0</v>
      </c>
      <c r="W1594" s="3">
        <v>2.0949074074074073E-3</v>
      </c>
      <c r="X1594" t="s">
        <v>3563</v>
      </c>
      <c r="Y1594">
        <v>12</v>
      </c>
      <c r="Z1594">
        <v>0</v>
      </c>
      <c r="AA1594" t="s">
        <v>49</v>
      </c>
      <c r="AB1594">
        <v>0</v>
      </c>
      <c r="AC1594" t="s">
        <v>49</v>
      </c>
      <c r="AD1594">
        <v>0</v>
      </c>
      <c r="AE1594">
        <v>11055099</v>
      </c>
      <c r="AF1594" t="s">
        <v>50</v>
      </c>
      <c r="AG1594" t="s">
        <v>1536</v>
      </c>
    </row>
    <row r="1595" spans="1:33" x14ac:dyDescent="0.35">
      <c r="A1595" s="1">
        <v>44866.754861111112</v>
      </c>
      <c r="B1595">
        <v>907100</v>
      </c>
      <c r="C1595" t="s">
        <v>3539</v>
      </c>
      <c r="D1595" t="s">
        <v>502</v>
      </c>
      <c r="E1595" s="2">
        <v>41053</v>
      </c>
      <c r="F1595" t="str">
        <f>"9781139419284"</f>
        <v>9781139419284</v>
      </c>
      <c r="G1595" t="str">
        <f>"9780521197878"</f>
        <v>9780521197878</v>
      </c>
      <c r="H1595" t="s">
        <v>542</v>
      </c>
      <c r="I1595" t="s">
        <v>3540</v>
      </c>
      <c r="J1595" t="s">
        <v>3541</v>
      </c>
      <c r="K1595" t="s">
        <v>55</v>
      </c>
      <c r="P1595" t="s">
        <v>97</v>
      </c>
      <c r="Q1595" t="s">
        <v>47</v>
      </c>
      <c r="R1595" t="s">
        <v>44</v>
      </c>
      <c r="S1595">
        <v>0</v>
      </c>
      <c r="W1595" s="3">
        <v>1.3888888888888889E-4</v>
      </c>
      <c r="X1595" t="s">
        <v>577</v>
      </c>
      <c r="Y1595">
        <v>2</v>
      </c>
      <c r="Z1595">
        <v>0</v>
      </c>
      <c r="AA1595" t="s">
        <v>49</v>
      </c>
      <c r="AB1595">
        <v>0</v>
      </c>
      <c r="AC1595" t="s">
        <v>49</v>
      </c>
      <c r="AD1595">
        <v>0</v>
      </c>
      <c r="AE1595">
        <v>10568350</v>
      </c>
      <c r="AF1595" t="s">
        <v>50</v>
      </c>
      <c r="AG1595" t="s">
        <v>1536</v>
      </c>
    </row>
    <row r="1596" spans="1:33" x14ac:dyDescent="0.35">
      <c r="A1596" s="1">
        <v>44866.695833333331</v>
      </c>
      <c r="B1596">
        <v>864289</v>
      </c>
      <c r="C1596" t="s">
        <v>3564</v>
      </c>
      <c r="D1596" t="s">
        <v>940</v>
      </c>
      <c r="E1596" s="2">
        <v>40536</v>
      </c>
      <c r="F1596" t="str">
        <f>"9781608050246"</f>
        <v>9781608050246</v>
      </c>
      <c r="G1596" t="str">
        <f>"9781608053261"</f>
        <v>9781608053261</v>
      </c>
      <c r="H1596" t="s">
        <v>579</v>
      </c>
      <c r="I1596">
        <v>629</v>
      </c>
      <c r="J1596" t="s">
        <v>3565</v>
      </c>
      <c r="K1596" t="s">
        <v>44</v>
      </c>
      <c r="N1596" t="s">
        <v>45</v>
      </c>
      <c r="O1596" t="s">
        <v>46</v>
      </c>
      <c r="P1596" t="s">
        <v>45</v>
      </c>
      <c r="Q1596" t="s">
        <v>47</v>
      </c>
      <c r="R1596" t="s">
        <v>44</v>
      </c>
      <c r="S1596">
        <v>0</v>
      </c>
      <c r="W1596" s="3">
        <v>2.5231481481481481E-3</v>
      </c>
      <c r="X1596" t="s">
        <v>3566</v>
      </c>
      <c r="Y1596">
        <v>40</v>
      </c>
      <c r="Z1596">
        <v>0</v>
      </c>
      <c r="AA1596" t="s">
        <v>49</v>
      </c>
      <c r="AB1596">
        <v>0</v>
      </c>
      <c r="AC1596" t="s">
        <v>49</v>
      </c>
      <c r="AD1596">
        <v>0</v>
      </c>
      <c r="AE1596">
        <v>10447998</v>
      </c>
      <c r="AF1596" t="s">
        <v>50</v>
      </c>
      <c r="AG1596" t="s">
        <v>1536</v>
      </c>
    </row>
    <row r="1597" spans="1:33" x14ac:dyDescent="0.35">
      <c r="A1597" s="1">
        <v>44866.68472222222</v>
      </c>
      <c r="B1597">
        <v>689292</v>
      </c>
      <c r="C1597" t="s">
        <v>3567</v>
      </c>
      <c r="D1597" t="s">
        <v>125</v>
      </c>
      <c r="E1597" s="2">
        <v>40680</v>
      </c>
      <c r="F1597" t="str">
        <f>"9780199792450"</f>
        <v>9780199792450</v>
      </c>
      <c r="G1597" t="str">
        <f>"9780199759453"</f>
        <v>9780199759453</v>
      </c>
      <c r="H1597" t="s">
        <v>3568</v>
      </c>
      <c r="I1597" t="s">
        <v>3569</v>
      </c>
      <c r="J1597" t="s">
        <v>3570</v>
      </c>
      <c r="K1597" t="s">
        <v>55</v>
      </c>
      <c r="N1597" t="s">
        <v>45</v>
      </c>
      <c r="O1597" t="s">
        <v>46</v>
      </c>
      <c r="P1597" t="s">
        <v>45</v>
      </c>
      <c r="Q1597" t="s">
        <v>47</v>
      </c>
      <c r="R1597" t="s">
        <v>44</v>
      </c>
      <c r="S1597">
        <v>0</v>
      </c>
      <c r="W1597" s="3">
        <v>3.5185185185185185E-3</v>
      </c>
      <c r="X1597" t="s">
        <v>3571</v>
      </c>
      <c r="Y1597">
        <v>18</v>
      </c>
      <c r="Z1597">
        <v>0</v>
      </c>
      <c r="AA1597" t="s">
        <v>49</v>
      </c>
      <c r="AB1597">
        <v>0</v>
      </c>
      <c r="AC1597" t="s">
        <v>49</v>
      </c>
      <c r="AD1597">
        <v>0</v>
      </c>
      <c r="AE1597">
        <v>10467545</v>
      </c>
      <c r="AF1597" t="s">
        <v>50</v>
      </c>
      <c r="AG1597" t="s">
        <v>1536</v>
      </c>
    </row>
    <row r="1598" spans="1:33" x14ac:dyDescent="0.35">
      <c r="A1598" s="1">
        <v>44866.656944444447</v>
      </c>
      <c r="B1598">
        <v>279494</v>
      </c>
      <c r="C1598" t="s">
        <v>1333</v>
      </c>
      <c r="D1598" t="s">
        <v>125</v>
      </c>
      <c r="E1598" s="2">
        <v>37280</v>
      </c>
      <c r="F1598" t="str">
        <f>"9780198032953"</f>
        <v>9780198032953</v>
      </c>
      <c r="G1598" t="str">
        <f>"9780195144208"</f>
        <v>9780195144208</v>
      </c>
      <c r="H1598" t="s">
        <v>667</v>
      </c>
      <c r="I1598" t="s">
        <v>1334</v>
      </c>
      <c r="J1598" t="s">
        <v>1335</v>
      </c>
      <c r="K1598" t="s">
        <v>44</v>
      </c>
      <c r="N1598" t="s">
        <v>45</v>
      </c>
      <c r="O1598" t="s">
        <v>46</v>
      </c>
      <c r="P1598" t="s">
        <v>45</v>
      </c>
      <c r="Q1598" t="s">
        <v>47</v>
      </c>
      <c r="R1598" t="s">
        <v>44</v>
      </c>
      <c r="S1598">
        <v>0</v>
      </c>
      <c r="W1598" s="3">
        <v>5.7523148148148143E-3</v>
      </c>
      <c r="X1598" t="s">
        <v>1283</v>
      </c>
      <c r="Y1598">
        <v>3</v>
      </c>
      <c r="Z1598">
        <v>0</v>
      </c>
      <c r="AA1598" t="s">
        <v>49</v>
      </c>
      <c r="AB1598">
        <v>0</v>
      </c>
      <c r="AC1598" t="s">
        <v>49</v>
      </c>
      <c r="AD1598">
        <v>0</v>
      </c>
      <c r="AE1598">
        <v>11303309</v>
      </c>
      <c r="AF1598" t="s">
        <v>50</v>
      </c>
      <c r="AG1598" t="s">
        <v>2854</v>
      </c>
    </row>
    <row r="1599" spans="1:33" x14ac:dyDescent="0.35">
      <c r="A1599" s="1">
        <v>44866.636805555558</v>
      </c>
      <c r="B1599">
        <v>316852</v>
      </c>
      <c r="C1599" t="s">
        <v>3572</v>
      </c>
      <c r="D1599" t="s">
        <v>65</v>
      </c>
      <c r="E1599" s="2">
        <v>36698</v>
      </c>
      <c r="F1599" t="str">
        <f>"9780080511467"</f>
        <v>9780080511467</v>
      </c>
      <c r="G1599" t="str">
        <f>"9780750672191"</f>
        <v>9780750672191</v>
      </c>
      <c r="H1599" t="s">
        <v>3573</v>
      </c>
      <c r="I1599">
        <v>671.8</v>
      </c>
      <c r="J1599" t="s">
        <v>3574</v>
      </c>
      <c r="K1599" t="s">
        <v>55</v>
      </c>
      <c r="N1599" t="s">
        <v>79</v>
      </c>
      <c r="P1599" t="s">
        <v>80</v>
      </c>
      <c r="Q1599" t="s">
        <v>47</v>
      </c>
      <c r="R1599" t="s">
        <v>44</v>
      </c>
      <c r="S1599">
        <v>1</v>
      </c>
      <c r="T1599">
        <v>90</v>
      </c>
      <c r="U1599" s="1">
        <v>44866.636805555558</v>
      </c>
      <c r="V1599" s="1">
        <v>44956.636805555558</v>
      </c>
      <c r="W1599" s="3">
        <v>0</v>
      </c>
      <c r="X1599" t="s">
        <v>49</v>
      </c>
      <c r="Y1599">
        <v>0</v>
      </c>
      <c r="Z1599">
        <v>0</v>
      </c>
      <c r="AA1599" t="s">
        <v>49</v>
      </c>
      <c r="AB1599">
        <v>0</v>
      </c>
      <c r="AC1599" t="s">
        <v>49</v>
      </c>
      <c r="AD1599">
        <v>0</v>
      </c>
      <c r="AE1599">
        <v>10245838</v>
      </c>
      <c r="AF1599" t="s">
        <v>63</v>
      </c>
      <c r="AG1599" t="s">
        <v>1536</v>
      </c>
    </row>
    <row r="1600" spans="1:33" x14ac:dyDescent="0.35">
      <c r="A1600" s="1">
        <v>44866.620138888888</v>
      </c>
      <c r="B1600">
        <v>4931949</v>
      </c>
      <c r="C1600" t="s">
        <v>3575</v>
      </c>
      <c r="D1600" t="s">
        <v>76</v>
      </c>
      <c r="E1600" s="2">
        <v>42971</v>
      </c>
      <c r="F1600" t="str">
        <f>"9781351705097"</f>
        <v>9781351705097</v>
      </c>
      <c r="G1600" t="str">
        <f>"9781138040687"</f>
        <v>9781138040687</v>
      </c>
      <c r="H1600" t="s">
        <v>133</v>
      </c>
      <c r="I1600">
        <v>338.95360699999998</v>
      </c>
      <c r="J1600" t="s">
        <v>3576</v>
      </c>
      <c r="K1600" t="s">
        <v>55</v>
      </c>
      <c r="N1600" t="s">
        <v>79</v>
      </c>
      <c r="P1600" t="s">
        <v>80</v>
      </c>
      <c r="Q1600" t="s">
        <v>47</v>
      </c>
      <c r="R1600" t="s">
        <v>44</v>
      </c>
      <c r="S1600">
        <v>0</v>
      </c>
      <c r="W1600" s="3">
        <v>1.1666666666666667E-2</v>
      </c>
      <c r="X1600" t="s">
        <v>3577</v>
      </c>
      <c r="Y1600">
        <v>28</v>
      </c>
      <c r="Z1600">
        <v>0</v>
      </c>
      <c r="AA1600" t="s">
        <v>49</v>
      </c>
      <c r="AB1600">
        <v>0</v>
      </c>
      <c r="AC1600" t="s">
        <v>49</v>
      </c>
      <c r="AD1600">
        <v>0</v>
      </c>
      <c r="AE1600">
        <v>11419775</v>
      </c>
      <c r="AF1600" t="s">
        <v>50</v>
      </c>
      <c r="AG1600" t="s">
        <v>388</v>
      </c>
    </row>
    <row r="1601" spans="1:33" x14ac:dyDescent="0.35">
      <c r="A1601" s="1">
        <v>44866.609722222223</v>
      </c>
      <c r="B1601">
        <v>6961344</v>
      </c>
      <c r="C1601" t="s">
        <v>3578</v>
      </c>
      <c r="D1601" t="s">
        <v>3579</v>
      </c>
      <c r="E1601" s="2">
        <v>44713</v>
      </c>
      <c r="F1601" t="str">
        <f>"9781119594963"</f>
        <v>9781119594963</v>
      </c>
      <c r="G1601" t="str">
        <f>"9781119594970"</f>
        <v>9781119594970</v>
      </c>
      <c r="H1601" t="s">
        <v>1626</v>
      </c>
      <c r="I1601">
        <v>551.9</v>
      </c>
      <c r="J1601" t="s">
        <v>3580</v>
      </c>
      <c r="K1601" t="s">
        <v>55</v>
      </c>
      <c r="N1601" t="s">
        <v>79</v>
      </c>
      <c r="P1601" t="s">
        <v>80</v>
      </c>
      <c r="Q1601" t="s">
        <v>47</v>
      </c>
      <c r="R1601" t="s">
        <v>44</v>
      </c>
      <c r="S1601">
        <v>0</v>
      </c>
      <c r="W1601" s="3">
        <v>9.6064814814814808E-4</v>
      </c>
      <c r="X1601" t="s">
        <v>3581</v>
      </c>
      <c r="Y1601">
        <v>13</v>
      </c>
      <c r="Z1601">
        <v>0</v>
      </c>
      <c r="AA1601" t="s">
        <v>49</v>
      </c>
      <c r="AB1601">
        <v>0</v>
      </c>
      <c r="AC1601" t="s">
        <v>49</v>
      </c>
      <c r="AD1601">
        <v>0</v>
      </c>
      <c r="AE1601">
        <v>-1</v>
      </c>
      <c r="AF1601" t="s">
        <v>50</v>
      </c>
      <c r="AG1601" t="s">
        <v>866</v>
      </c>
    </row>
    <row r="1602" spans="1:33" x14ac:dyDescent="0.35">
      <c r="A1602" s="1">
        <v>44866.60833333333</v>
      </c>
      <c r="B1602">
        <v>7104152</v>
      </c>
      <c r="C1602" t="s">
        <v>3582</v>
      </c>
      <c r="D1602" t="s">
        <v>59</v>
      </c>
      <c r="E1602" s="2">
        <v>41786</v>
      </c>
      <c r="F1602" t="str">
        <f>"9781118867501"</f>
        <v>9781118867501</v>
      </c>
      <c r="G1602" t="str">
        <f>"9781118867358"</f>
        <v>9781118867358</v>
      </c>
      <c r="H1602" t="s">
        <v>3583</v>
      </c>
      <c r="K1602" t="s">
        <v>44</v>
      </c>
      <c r="N1602" t="s">
        <v>45</v>
      </c>
      <c r="O1602" t="s">
        <v>46</v>
      </c>
      <c r="P1602" t="s">
        <v>45</v>
      </c>
      <c r="Q1602" t="s">
        <v>47</v>
      </c>
      <c r="R1602" t="s">
        <v>44</v>
      </c>
      <c r="S1602">
        <v>0</v>
      </c>
      <c r="W1602" s="3">
        <v>0</v>
      </c>
      <c r="X1602" t="s">
        <v>49</v>
      </c>
      <c r="Y1602">
        <v>0</v>
      </c>
      <c r="Z1602">
        <v>2</v>
      </c>
      <c r="AA1602" t="s">
        <v>3584</v>
      </c>
      <c r="AB1602">
        <v>65</v>
      </c>
      <c r="AC1602" t="s">
        <v>49</v>
      </c>
      <c r="AD1602">
        <v>0</v>
      </c>
      <c r="AE1602">
        <v>-1</v>
      </c>
      <c r="AF1602" t="s">
        <v>50</v>
      </c>
      <c r="AG1602" t="s">
        <v>866</v>
      </c>
    </row>
    <row r="1603" spans="1:33" x14ac:dyDescent="0.35">
      <c r="A1603" s="1">
        <v>44866.604861111111</v>
      </c>
      <c r="B1603">
        <v>279494</v>
      </c>
      <c r="C1603" t="s">
        <v>1333</v>
      </c>
      <c r="D1603" t="s">
        <v>125</v>
      </c>
      <c r="E1603" s="2">
        <v>37280</v>
      </c>
      <c r="F1603" t="str">
        <f>"9780198032953"</f>
        <v>9780198032953</v>
      </c>
      <c r="G1603" t="str">
        <f>"9780195144208"</f>
        <v>9780195144208</v>
      </c>
      <c r="H1603" t="s">
        <v>667</v>
      </c>
      <c r="I1603" t="s">
        <v>1334</v>
      </c>
      <c r="J1603" t="s">
        <v>1335</v>
      </c>
      <c r="K1603" t="s">
        <v>44</v>
      </c>
      <c r="N1603" t="s">
        <v>45</v>
      </c>
      <c r="O1603" t="s">
        <v>46</v>
      </c>
      <c r="P1603" t="s">
        <v>45</v>
      </c>
      <c r="Q1603" t="s">
        <v>47</v>
      </c>
      <c r="R1603" t="s">
        <v>44</v>
      </c>
      <c r="S1603">
        <v>0</v>
      </c>
      <c r="W1603" s="3">
        <v>5.5555555555555556E-4</v>
      </c>
      <c r="X1603" t="s">
        <v>3585</v>
      </c>
      <c r="Y1603">
        <v>11</v>
      </c>
      <c r="Z1603">
        <v>0</v>
      </c>
      <c r="AA1603" t="s">
        <v>49</v>
      </c>
      <c r="AB1603">
        <v>0</v>
      </c>
      <c r="AC1603" t="s">
        <v>49</v>
      </c>
      <c r="AD1603">
        <v>0</v>
      </c>
      <c r="AE1603">
        <v>11303309</v>
      </c>
      <c r="AF1603" t="s">
        <v>50</v>
      </c>
      <c r="AG1603" t="s">
        <v>3543</v>
      </c>
    </row>
    <row r="1604" spans="1:33" x14ac:dyDescent="0.35">
      <c r="A1604" s="1">
        <v>44866.574305555558</v>
      </c>
      <c r="B1604">
        <v>6005182</v>
      </c>
      <c r="C1604" t="s">
        <v>3586</v>
      </c>
      <c r="D1604" t="s">
        <v>105</v>
      </c>
      <c r="E1604" s="2">
        <v>43832</v>
      </c>
      <c r="F1604" t="str">
        <f>"9783030319045"</f>
        <v>9783030319045</v>
      </c>
      <c r="G1604" t="str">
        <f>"9783030319038"</f>
        <v>9783030319038</v>
      </c>
      <c r="H1604" t="s">
        <v>1112</v>
      </c>
      <c r="I1604">
        <v>660.6</v>
      </c>
      <c r="J1604" t="s">
        <v>488</v>
      </c>
      <c r="K1604" t="s">
        <v>55</v>
      </c>
      <c r="Q1604" t="s">
        <v>47</v>
      </c>
      <c r="R1604" t="s">
        <v>44</v>
      </c>
      <c r="S1604">
        <v>0</v>
      </c>
      <c r="W1604" s="3">
        <v>3.7037037037037034E-3</v>
      </c>
      <c r="X1604" t="s">
        <v>3587</v>
      </c>
      <c r="Y1604">
        <v>11</v>
      </c>
      <c r="Z1604">
        <v>0</v>
      </c>
      <c r="AA1604" t="s">
        <v>49</v>
      </c>
      <c r="AB1604">
        <v>0</v>
      </c>
      <c r="AC1604" t="s">
        <v>49</v>
      </c>
      <c r="AD1604">
        <v>0</v>
      </c>
      <c r="AE1604">
        <v>-1</v>
      </c>
      <c r="AF1604" t="s">
        <v>50</v>
      </c>
      <c r="AG1604" t="s">
        <v>3588</v>
      </c>
    </row>
    <row r="1605" spans="1:33" x14ac:dyDescent="0.35">
      <c r="A1605" s="1">
        <v>44866.574305555558</v>
      </c>
      <c r="B1605">
        <v>7050485</v>
      </c>
      <c r="C1605" t="s">
        <v>3531</v>
      </c>
      <c r="D1605" t="s">
        <v>76</v>
      </c>
      <c r="E1605" s="2">
        <v>44805</v>
      </c>
      <c r="F1605" t="str">
        <f>"9781000655872"</f>
        <v>9781000655872</v>
      </c>
      <c r="G1605" t="str">
        <f>"9780367419714"</f>
        <v>9780367419714</v>
      </c>
      <c r="H1605" t="s">
        <v>3532</v>
      </c>
      <c r="I1605">
        <v>623.44100000000003</v>
      </c>
      <c r="J1605" t="s">
        <v>3533</v>
      </c>
      <c r="K1605" t="s">
        <v>55</v>
      </c>
      <c r="N1605" t="s">
        <v>79</v>
      </c>
      <c r="P1605" t="s">
        <v>80</v>
      </c>
      <c r="Q1605" t="s">
        <v>47</v>
      </c>
      <c r="R1605" t="s">
        <v>44</v>
      </c>
      <c r="S1605">
        <v>1</v>
      </c>
      <c r="T1605">
        <v>90</v>
      </c>
      <c r="U1605" s="1">
        <v>44866.574305555558</v>
      </c>
      <c r="V1605" s="1">
        <v>44956.574305555558</v>
      </c>
      <c r="W1605" s="3">
        <v>0</v>
      </c>
      <c r="X1605" t="s">
        <v>49</v>
      </c>
      <c r="Y1605">
        <v>0</v>
      </c>
      <c r="Z1605">
        <v>1</v>
      </c>
      <c r="AA1605" t="s">
        <v>3589</v>
      </c>
      <c r="AB1605">
        <v>82</v>
      </c>
      <c r="AC1605" t="s">
        <v>49</v>
      </c>
      <c r="AD1605">
        <v>0</v>
      </c>
      <c r="AE1605">
        <v>-1</v>
      </c>
      <c r="AF1605" t="s">
        <v>63</v>
      </c>
      <c r="AG1605" t="s">
        <v>1536</v>
      </c>
    </row>
    <row r="1606" spans="1:33" x14ac:dyDescent="0.35">
      <c r="A1606" s="1">
        <v>44866.524305555555</v>
      </c>
      <c r="B1606">
        <v>1273074</v>
      </c>
      <c r="C1606" t="s">
        <v>3590</v>
      </c>
      <c r="D1606" t="s">
        <v>76</v>
      </c>
      <c r="E1606" s="2">
        <v>36372</v>
      </c>
      <c r="F1606" t="str">
        <f>"9781136318030"</f>
        <v>9781136318030</v>
      </c>
      <c r="G1606" t="str">
        <f>"9780415210058"</f>
        <v>9780415210058</v>
      </c>
      <c r="H1606" t="s">
        <v>244</v>
      </c>
      <c r="I1606">
        <v>155.41200000000001</v>
      </c>
      <c r="J1606" t="s">
        <v>3591</v>
      </c>
      <c r="K1606" t="s">
        <v>44</v>
      </c>
      <c r="N1606" t="s">
        <v>45</v>
      </c>
      <c r="O1606" t="s">
        <v>46</v>
      </c>
      <c r="P1606" t="s">
        <v>45</v>
      </c>
      <c r="Q1606" t="s">
        <v>47</v>
      </c>
      <c r="R1606" t="s">
        <v>44</v>
      </c>
      <c r="S1606">
        <v>0</v>
      </c>
      <c r="W1606" s="3">
        <v>3.7384259259259263E-3</v>
      </c>
      <c r="X1606" t="s">
        <v>3592</v>
      </c>
      <c r="Y1606">
        <v>19</v>
      </c>
      <c r="Z1606">
        <v>0</v>
      </c>
      <c r="AA1606" t="s">
        <v>49</v>
      </c>
      <c r="AB1606">
        <v>0</v>
      </c>
      <c r="AC1606" t="s">
        <v>49</v>
      </c>
      <c r="AD1606">
        <v>0</v>
      </c>
      <c r="AE1606">
        <v>10017405</v>
      </c>
      <c r="AF1606" t="s">
        <v>50</v>
      </c>
      <c r="AG1606" t="s">
        <v>3593</v>
      </c>
    </row>
    <row r="1607" spans="1:33" x14ac:dyDescent="0.35">
      <c r="A1607" s="1">
        <v>44866.520138888889</v>
      </c>
      <c r="B1607">
        <v>5755748</v>
      </c>
      <c r="C1607" t="s">
        <v>3594</v>
      </c>
      <c r="D1607" t="s">
        <v>76</v>
      </c>
      <c r="E1607" s="2">
        <v>43587</v>
      </c>
      <c r="F1607" t="str">
        <f>"9781498742702"</f>
        <v>9781498742702</v>
      </c>
      <c r="G1607" t="str">
        <f>"9781498742696"</f>
        <v>9781498742696</v>
      </c>
      <c r="H1607" t="s">
        <v>546</v>
      </c>
      <c r="I1607">
        <v>621.3827</v>
      </c>
      <c r="J1607" t="s">
        <v>3595</v>
      </c>
      <c r="K1607" t="s">
        <v>55</v>
      </c>
      <c r="Q1607" t="s">
        <v>47</v>
      </c>
      <c r="R1607" t="s">
        <v>44</v>
      </c>
      <c r="S1607">
        <v>0</v>
      </c>
      <c r="W1607" s="3">
        <v>2.8935185185185189E-4</v>
      </c>
      <c r="X1607" t="s">
        <v>3596</v>
      </c>
      <c r="Y1607">
        <v>7</v>
      </c>
      <c r="Z1607">
        <v>0</v>
      </c>
      <c r="AA1607" t="s">
        <v>49</v>
      </c>
      <c r="AB1607">
        <v>0</v>
      </c>
      <c r="AC1607" t="s">
        <v>49</v>
      </c>
      <c r="AD1607">
        <v>0</v>
      </c>
      <c r="AE1607">
        <v>-1</v>
      </c>
      <c r="AF1607" t="s">
        <v>50</v>
      </c>
      <c r="AG1607" t="s">
        <v>1536</v>
      </c>
    </row>
    <row r="1608" spans="1:33" x14ac:dyDescent="0.35">
      <c r="A1608" s="1">
        <v>44866.503472222219</v>
      </c>
      <c r="B1608">
        <v>1446430</v>
      </c>
      <c r="C1608" t="s">
        <v>99</v>
      </c>
      <c r="D1608" t="s">
        <v>76</v>
      </c>
      <c r="E1608" s="2">
        <v>40274</v>
      </c>
      <c r="F1608" t="str">
        <f>"9781439882573"</f>
        <v>9781439882573</v>
      </c>
      <c r="G1608" t="str">
        <f>"9781420085983"</f>
        <v>9781420085983</v>
      </c>
      <c r="H1608" t="s">
        <v>100</v>
      </c>
      <c r="I1608" t="s">
        <v>101</v>
      </c>
      <c r="J1608" t="s">
        <v>102</v>
      </c>
      <c r="K1608" t="s">
        <v>44</v>
      </c>
      <c r="N1608" t="s">
        <v>45</v>
      </c>
      <c r="O1608" t="s">
        <v>46</v>
      </c>
      <c r="P1608" t="s">
        <v>45</v>
      </c>
      <c r="Q1608" t="s">
        <v>47</v>
      </c>
      <c r="R1608" t="s">
        <v>44</v>
      </c>
      <c r="S1608">
        <v>0</v>
      </c>
      <c r="W1608" s="3">
        <v>1.0532407407407407E-3</v>
      </c>
      <c r="X1608" t="s">
        <v>3597</v>
      </c>
      <c r="Y1608">
        <v>18</v>
      </c>
      <c r="Z1608">
        <v>0</v>
      </c>
      <c r="AA1608" t="s">
        <v>49</v>
      </c>
      <c r="AB1608">
        <v>0</v>
      </c>
      <c r="AC1608" t="s">
        <v>49</v>
      </c>
      <c r="AD1608">
        <v>0</v>
      </c>
      <c r="AE1608">
        <v>11166018</v>
      </c>
      <c r="AF1608" t="s">
        <v>50</v>
      </c>
      <c r="AG1608" t="s">
        <v>1536</v>
      </c>
    </row>
    <row r="1609" spans="1:33" x14ac:dyDescent="0.35">
      <c r="A1609" s="1">
        <v>44866.479861111111</v>
      </c>
      <c r="B1609">
        <v>6184636</v>
      </c>
      <c r="C1609" t="s">
        <v>3598</v>
      </c>
      <c r="D1609" t="s">
        <v>53</v>
      </c>
      <c r="E1609" s="2">
        <v>43949</v>
      </c>
      <c r="F1609" t="str">
        <f>"9780691203317"</f>
        <v>9780691203317</v>
      </c>
      <c r="G1609" t="str">
        <f>"9780691202549"</f>
        <v>9780691202549</v>
      </c>
      <c r="H1609" t="s">
        <v>233</v>
      </c>
      <c r="I1609">
        <v>629.83199999999897</v>
      </c>
      <c r="J1609" t="s">
        <v>3599</v>
      </c>
      <c r="K1609" t="s">
        <v>55</v>
      </c>
      <c r="Q1609" t="s">
        <v>47</v>
      </c>
      <c r="R1609" t="s">
        <v>44</v>
      </c>
      <c r="S1609">
        <v>0</v>
      </c>
      <c r="W1609" s="3">
        <v>1.3310185185185185E-3</v>
      </c>
      <c r="X1609" t="s">
        <v>3600</v>
      </c>
      <c r="Y1609">
        <v>9</v>
      </c>
      <c r="Z1609">
        <v>0</v>
      </c>
      <c r="AA1609" t="s">
        <v>49</v>
      </c>
      <c r="AB1609">
        <v>0</v>
      </c>
      <c r="AC1609" t="s">
        <v>49</v>
      </c>
      <c r="AD1609">
        <v>0</v>
      </c>
      <c r="AE1609">
        <v>-1</v>
      </c>
      <c r="AF1609" t="s">
        <v>50</v>
      </c>
      <c r="AG1609" t="s">
        <v>1536</v>
      </c>
    </row>
    <row r="1610" spans="1:33" x14ac:dyDescent="0.35">
      <c r="A1610" s="1">
        <v>44866.468055555553</v>
      </c>
      <c r="B1610">
        <v>848526</v>
      </c>
      <c r="C1610" t="s">
        <v>2541</v>
      </c>
      <c r="D1610" t="s">
        <v>59</v>
      </c>
      <c r="E1610" s="2">
        <v>41212</v>
      </c>
      <c r="F1610" t="str">
        <f>"9781118310069"</f>
        <v>9781118310069</v>
      </c>
      <c r="G1610" t="str">
        <f>"9780470566671"</f>
        <v>9780470566671</v>
      </c>
      <c r="H1610" t="s">
        <v>2542</v>
      </c>
      <c r="I1610">
        <v>610.28</v>
      </c>
      <c r="J1610" t="s">
        <v>2543</v>
      </c>
      <c r="K1610" t="s">
        <v>44</v>
      </c>
      <c r="N1610" t="s">
        <v>45</v>
      </c>
      <c r="O1610" t="s">
        <v>46</v>
      </c>
      <c r="P1610" t="s">
        <v>45</v>
      </c>
      <c r="Q1610" t="s">
        <v>47</v>
      </c>
      <c r="R1610" t="s">
        <v>44</v>
      </c>
      <c r="S1610">
        <v>0</v>
      </c>
      <c r="W1610" s="3">
        <v>1.8518518518518518E-4</v>
      </c>
      <c r="X1610" t="s">
        <v>121</v>
      </c>
      <c r="Y1610">
        <v>1</v>
      </c>
      <c r="Z1610">
        <v>0</v>
      </c>
      <c r="AA1610" t="s">
        <v>49</v>
      </c>
      <c r="AB1610">
        <v>0</v>
      </c>
      <c r="AC1610" t="s">
        <v>49</v>
      </c>
      <c r="AD1610">
        <v>0</v>
      </c>
      <c r="AE1610">
        <v>10615085</v>
      </c>
      <c r="AF1610" t="s">
        <v>50</v>
      </c>
      <c r="AG1610" t="s">
        <v>388</v>
      </c>
    </row>
    <row r="1611" spans="1:33" x14ac:dyDescent="0.35">
      <c r="A1611" s="1">
        <v>44866.467361111114</v>
      </c>
      <c r="B1611">
        <v>848526</v>
      </c>
      <c r="C1611" t="s">
        <v>2541</v>
      </c>
      <c r="D1611" t="s">
        <v>59</v>
      </c>
      <c r="E1611" s="2">
        <v>41212</v>
      </c>
      <c r="F1611" t="str">
        <f>"9781118310069"</f>
        <v>9781118310069</v>
      </c>
      <c r="G1611" t="str">
        <f>"9780470566671"</f>
        <v>9780470566671</v>
      </c>
      <c r="H1611" t="s">
        <v>2542</v>
      </c>
      <c r="I1611">
        <v>610.28</v>
      </c>
      <c r="J1611" t="s">
        <v>2543</v>
      </c>
      <c r="K1611" t="s">
        <v>44</v>
      </c>
      <c r="N1611" t="s">
        <v>45</v>
      </c>
      <c r="O1611" t="s">
        <v>46</v>
      </c>
      <c r="P1611" t="s">
        <v>45</v>
      </c>
      <c r="Q1611" t="s">
        <v>47</v>
      </c>
      <c r="R1611" t="s">
        <v>44</v>
      </c>
      <c r="S1611">
        <v>0</v>
      </c>
      <c r="W1611" s="3">
        <v>8.4027777777777781E-3</v>
      </c>
      <c r="X1611" t="s">
        <v>3601</v>
      </c>
      <c r="Y1611">
        <v>7</v>
      </c>
      <c r="Z1611">
        <v>0</v>
      </c>
      <c r="AA1611" t="s">
        <v>49</v>
      </c>
      <c r="AB1611">
        <v>0</v>
      </c>
      <c r="AC1611" t="s">
        <v>49</v>
      </c>
      <c r="AD1611">
        <v>0</v>
      </c>
      <c r="AE1611">
        <v>10615085</v>
      </c>
      <c r="AF1611" t="s">
        <v>50</v>
      </c>
      <c r="AG1611" t="s">
        <v>2368</v>
      </c>
    </row>
    <row r="1612" spans="1:33" x14ac:dyDescent="0.35">
      <c r="A1612" s="1">
        <v>44866.46597222222</v>
      </c>
      <c r="B1612">
        <v>279494</v>
      </c>
      <c r="C1612" t="s">
        <v>1333</v>
      </c>
      <c r="D1612" t="s">
        <v>125</v>
      </c>
      <c r="E1612" s="2">
        <v>37280</v>
      </c>
      <c r="F1612" t="str">
        <f>"9780198032953"</f>
        <v>9780198032953</v>
      </c>
      <c r="G1612" t="str">
        <f>"9780195144208"</f>
        <v>9780195144208</v>
      </c>
      <c r="H1612" t="s">
        <v>667</v>
      </c>
      <c r="I1612" t="s">
        <v>1334</v>
      </c>
      <c r="J1612" t="s">
        <v>1335</v>
      </c>
      <c r="K1612" t="s">
        <v>44</v>
      </c>
      <c r="N1612" t="s">
        <v>45</v>
      </c>
      <c r="O1612" t="s">
        <v>46</v>
      </c>
      <c r="P1612" t="s">
        <v>45</v>
      </c>
      <c r="Q1612" t="s">
        <v>47</v>
      </c>
      <c r="R1612" t="s">
        <v>44</v>
      </c>
      <c r="S1612">
        <v>0</v>
      </c>
      <c r="W1612" s="3">
        <v>1.4791666666666668E-2</v>
      </c>
      <c r="X1612" t="s">
        <v>3602</v>
      </c>
      <c r="Y1612">
        <v>10</v>
      </c>
      <c r="Z1612">
        <v>0</v>
      </c>
      <c r="AA1612" t="s">
        <v>49</v>
      </c>
      <c r="AB1612">
        <v>0</v>
      </c>
      <c r="AC1612" t="s">
        <v>49</v>
      </c>
      <c r="AD1612">
        <v>0</v>
      </c>
      <c r="AE1612">
        <v>11303309</v>
      </c>
      <c r="AF1612" t="s">
        <v>50</v>
      </c>
      <c r="AG1612" t="s">
        <v>3098</v>
      </c>
    </row>
    <row r="1613" spans="1:33" x14ac:dyDescent="0.35">
      <c r="A1613" s="1">
        <v>44866.462500000001</v>
      </c>
      <c r="B1613">
        <v>1872933</v>
      </c>
      <c r="C1613" t="s">
        <v>3603</v>
      </c>
      <c r="D1613" t="s">
        <v>371</v>
      </c>
      <c r="E1613" s="2">
        <v>41287</v>
      </c>
      <c r="F1613" t="str">
        <f>"9783908158875"</f>
        <v>9783908158875</v>
      </c>
      <c r="G1613" t="str">
        <f>"9783908158653"</f>
        <v>9783908158653</v>
      </c>
      <c r="H1613" t="s">
        <v>1945</v>
      </c>
      <c r="J1613" t="s">
        <v>3604</v>
      </c>
      <c r="K1613" t="s">
        <v>44</v>
      </c>
      <c r="N1613" t="s">
        <v>45</v>
      </c>
      <c r="O1613" t="s">
        <v>46</v>
      </c>
      <c r="P1613" t="s">
        <v>45</v>
      </c>
      <c r="Q1613" t="s">
        <v>47</v>
      </c>
      <c r="R1613" t="s">
        <v>44</v>
      </c>
      <c r="S1613">
        <v>0</v>
      </c>
      <c r="W1613" s="3">
        <v>1.3773148148148147E-3</v>
      </c>
      <c r="X1613" t="s">
        <v>3605</v>
      </c>
      <c r="Y1613">
        <v>10</v>
      </c>
      <c r="Z1613">
        <v>0</v>
      </c>
      <c r="AA1613" t="s">
        <v>49</v>
      </c>
      <c r="AB1613">
        <v>0</v>
      </c>
      <c r="AC1613" t="s">
        <v>49</v>
      </c>
      <c r="AD1613">
        <v>0</v>
      </c>
      <c r="AE1613">
        <v>10777699</v>
      </c>
      <c r="AF1613" t="s">
        <v>50</v>
      </c>
      <c r="AG1613" t="s">
        <v>388</v>
      </c>
    </row>
    <row r="1614" spans="1:33" x14ac:dyDescent="0.35">
      <c r="A1614" s="1">
        <v>44866.441666666666</v>
      </c>
      <c r="B1614">
        <v>6514127</v>
      </c>
      <c r="C1614" t="s">
        <v>3606</v>
      </c>
      <c r="D1614" t="s">
        <v>473</v>
      </c>
      <c r="E1614" s="2">
        <v>42982</v>
      </c>
      <c r="F1614" t="str">
        <f>"9783846762097"</f>
        <v>9783846762097</v>
      </c>
      <c r="G1614" t="str">
        <f>"9783770562091"</f>
        <v>9783770562091</v>
      </c>
      <c r="H1614" t="s">
        <v>1069</v>
      </c>
      <c r="K1614" t="s">
        <v>44</v>
      </c>
      <c r="N1614" t="s">
        <v>45</v>
      </c>
      <c r="O1614" t="s">
        <v>46</v>
      </c>
      <c r="P1614" t="s">
        <v>45</v>
      </c>
      <c r="Q1614" t="s">
        <v>47</v>
      </c>
      <c r="R1614" t="s">
        <v>44</v>
      </c>
      <c r="S1614">
        <v>0</v>
      </c>
      <c r="W1614" s="3">
        <v>3.3564814814814812E-4</v>
      </c>
      <c r="X1614" t="s">
        <v>3607</v>
      </c>
      <c r="Y1614">
        <v>10</v>
      </c>
      <c r="Z1614">
        <v>0</v>
      </c>
      <c r="AA1614" t="s">
        <v>49</v>
      </c>
      <c r="AB1614">
        <v>0</v>
      </c>
      <c r="AC1614" t="s">
        <v>49</v>
      </c>
      <c r="AD1614">
        <v>0</v>
      </c>
      <c r="AE1614">
        <v>-1</v>
      </c>
      <c r="AF1614" t="s">
        <v>50</v>
      </c>
      <c r="AG1614" t="s">
        <v>3608</v>
      </c>
    </row>
    <row r="1615" spans="1:33" x14ac:dyDescent="0.35">
      <c r="A1615" s="1">
        <v>44866.423611111109</v>
      </c>
      <c r="B1615">
        <v>5378555</v>
      </c>
      <c r="C1615" t="s">
        <v>1803</v>
      </c>
      <c r="D1615" t="s">
        <v>76</v>
      </c>
      <c r="E1615" s="2">
        <v>40532</v>
      </c>
      <c r="F1615" t="str">
        <f>"9781439891155"</f>
        <v>9781439891155</v>
      </c>
      <c r="G1615" t="str">
        <f>"9781439815335"</f>
        <v>9781439815335</v>
      </c>
      <c r="H1615" t="s">
        <v>546</v>
      </c>
      <c r="I1615" t="s">
        <v>559</v>
      </c>
      <c r="J1615" t="s">
        <v>1804</v>
      </c>
      <c r="K1615" t="s">
        <v>44</v>
      </c>
      <c r="N1615" t="s">
        <v>45</v>
      </c>
      <c r="O1615" t="s">
        <v>46</v>
      </c>
      <c r="P1615" t="s">
        <v>45</v>
      </c>
      <c r="Q1615" t="s">
        <v>47</v>
      </c>
      <c r="R1615" t="s">
        <v>44</v>
      </c>
      <c r="S1615">
        <v>0</v>
      </c>
      <c r="W1615" s="3">
        <v>1.5856481481481479E-3</v>
      </c>
      <c r="X1615" t="s">
        <v>3609</v>
      </c>
      <c r="Y1615">
        <v>3</v>
      </c>
      <c r="Z1615">
        <v>0</v>
      </c>
      <c r="AA1615" t="s">
        <v>3610</v>
      </c>
      <c r="AB1615">
        <v>164</v>
      </c>
      <c r="AC1615" t="s">
        <v>49</v>
      </c>
      <c r="AD1615">
        <v>0</v>
      </c>
      <c r="AE1615">
        <v>11554332</v>
      </c>
      <c r="AF1615" t="s">
        <v>50</v>
      </c>
      <c r="AG1615" t="s">
        <v>3588</v>
      </c>
    </row>
    <row r="1616" spans="1:33" x14ac:dyDescent="0.35">
      <c r="A1616" s="1">
        <v>44866.421527777777</v>
      </c>
      <c r="B1616">
        <v>5378555</v>
      </c>
      <c r="C1616" t="s">
        <v>1803</v>
      </c>
      <c r="D1616" t="s">
        <v>76</v>
      </c>
      <c r="E1616" s="2">
        <v>40532</v>
      </c>
      <c r="F1616" t="str">
        <f>"9781439891155"</f>
        <v>9781439891155</v>
      </c>
      <c r="G1616" t="str">
        <f>"9781439815335"</f>
        <v>9781439815335</v>
      </c>
      <c r="H1616" t="s">
        <v>546</v>
      </c>
      <c r="I1616" t="s">
        <v>559</v>
      </c>
      <c r="J1616" t="s">
        <v>1804</v>
      </c>
      <c r="K1616" t="s">
        <v>44</v>
      </c>
      <c r="N1616" t="s">
        <v>45</v>
      </c>
      <c r="O1616" t="s">
        <v>46</v>
      </c>
      <c r="P1616" t="s">
        <v>45</v>
      </c>
      <c r="Q1616" t="s">
        <v>47</v>
      </c>
      <c r="R1616" t="s">
        <v>44</v>
      </c>
      <c r="S1616">
        <v>0</v>
      </c>
      <c r="W1616" s="3">
        <v>4.6296296296296293E-4</v>
      </c>
      <c r="X1616" t="s">
        <v>3611</v>
      </c>
      <c r="Y1616">
        <v>7</v>
      </c>
      <c r="Z1616">
        <v>0</v>
      </c>
      <c r="AA1616" t="s">
        <v>49</v>
      </c>
      <c r="AB1616">
        <v>0</v>
      </c>
      <c r="AC1616" t="s">
        <v>49</v>
      </c>
      <c r="AD1616">
        <v>0</v>
      </c>
      <c r="AE1616">
        <v>11554332</v>
      </c>
      <c r="AF1616" t="s">
        <v>50</v>
      </c>
      <c r="AG1616" t="s">
        <v>3588</v>
      </c>
    </row>
    <row r="1617" spans="1:33" x14ac:dyDescent="0.35">
      <c r="A1617" s="1">
        <v>44866.392361111109</v>
      </c>
      <c r="B1617">
        <v>5515130</v>
      </c>
      <c r="C1617" t="s">
        <v>3544</v>
      </c>
      <c r="D1617" t="s">
        <v>810</v>
      </c>
      <c r="E1617" s="2">
        <v>42917</v>
      </c>
      <c r="F1617" t="str">
        <f>"9781627081382"</f>
        <v>9781627081382</v>
      </c>
      <c r="G1617" t="str">
        <f>"9781627081375"</f>
        <v>9781627081375</v>
      </c>
      <c r="H1617" t="s">
        <v>100</v>
      </c>
      <c r="I1617">
        <v>620.11</v>
      </c>
      <c r="J1617" t="s">
        <v>3545</v>
      </c>
      <c r="K1617" t="s">
        <v>44</v>
      </c>
      <c r="N1617" t="s">
        <v>45</v>
      </c>
      <c r="O1617" t="s">
        <v>46</v>
      </c>
      <c r="P1617" t="s">
        <v>45</v>
      </c>
      <c r="Q1617" t="s">
        <v>47</v>
      </c>
      <c r="R1617" t="s">
        <v>44</v>
      </c>
      <c r="S1617">
        <v>0</v>
      </c>
      <c r="W1617" s="3">
        <v>1.6550925925925926E-3</v>
      </c>
      <c r="X1617" t="s">
        <v>205</v>
      </c>
      <c r="Y1617">
        <v>2</v>
      </c>
      <c r="Z1617">
        <v>1</v>
      </c>
      <c r="AA1617" t="s">
        <v>3612</v>
      </c>
      <c r="AB1617">
        <v>28</v>
      </c>
      <c r="AC1617" t="s">
        <v>49</v>
      </c>
      <c r="AD1617">
        <v>0</v>
      </c>
      <c r="AE1617">
        <v>11610180</v>
      </c>
      <c r="AF1617" t="s">
        <v>50</v>
      </c>
      <c r="AG1617" t="s">
        <v>3588</v>
      </c>
    </row>
    <row r="1618" spans="1:33" x14ac:dyDescent="0.35">
      <c r="A1618" s="1">
        <v>44866.367361111108</v>
      </c>
      <c r="B1618">
        <v>848526</v>
      </c>
      <c r="C1618" t="s">
        <v>2541</v>
      </c>
      <c r="D1618" t="s">
        <v>59</v>
      </c>
      <c r="E1618" s="2">
        <v>41212</v>
      </c>
      <c r="F1618" t="str">
        <f>"9781118310069"</f>
        <v>9781118310069</v>
      </c>
      <c r="G1618" t="str">
        <f>"9780470566671"</f>
        <v>9780470566671</v>
      </c>
      <c r="H1618" t="s">
        <v>2542</v>
      </c>
      <c r="I1618">
        <v>610.28</v>
      </c>
      <c r="J1618" t="s">
        <v>2543</v>
      </c>
      <c r="K1618" t="s">
        <v>44</v>
      </c>
      <c r="N1618" t="s">
        <v>45</v>
      </c>
      <c r="O1618" t="s">
        <v>46</v>
      </c>
      <c r="P1618" t="s">
        <v>45</v>
      </c>
      <c r="Q1618" t="s">
        <v>47</v>
      </c>
      <c r="R1618" t="s">
        <v>44</v>
      </c>
      <c r="S1618">
        <v>0</v>
      </c>
      <c r="W1618" s="3">
        <v>2.7777777777777778E-4</v>
      </c>
      <c r="X1618" t="s">
        <v>3613</v>
      </c>
      <c r="Y1618">
        <v>2</v>
      </c>
      <c r="Z1618">
        <v>4</v>
      </c>
      <c r="AA1618" t="s">
        <v>3614</v>
      </c>
      <c r="AB1618">
        <v>94</v>
      </c>
      <c r="AC1618" t="s">
        <v>49</v>
      </c>
      <c r="AD1618">
        <v>0</v>
      </c>
      <c r="AE1618">
        <v>10615085</v>
      </c>
      <c r="AF1618" t="s">
        <v>63</v>
      </c>
      <c r="AG1618" t="s">
        <v>388</v>
      </c>
    </row>
    <row r="1619" spans="1:33" x14ac:dyDescent="0.35">
      <c r="A1619" s="1">
        <v>44866.364583333336</v>
      </c>
      <c r="B1619">
        <v>848526</v>
      </c>
      <c r="C1619" t="s">
        <v>2541</v>
      </c>
      <c r="D1619" t="s">
        <v>59</v>
      </c>
      <c r="E1619" s="2">
        <v>41212</v>
      </c>
      <c r="F1619" t="str">
        <f>"9781118310069"</f>
        <v>9781118310069</v>
      </c>
      <c r="G1619" t="str">
        <f>"9780470566671"</f>
        <v>9780470566671</v>
      </c>
      <c r="H1619" t="s">
        <v>2542</v>
      </c>
      <c r="I1619">
        <v>610.28</v>
      </c>
      <c r="J1619" t="s">
        <v>2543</v>
      </c>
      <c r="K1619" t="s">
        <v>44</v>
      </c>
      <c r="N1619" t="s">
        <v>45</v>
      </c>
      <c r="O1619" t="s">
        <v>46</v>
      </c>
      <c r="P1619" t="s">
        <v>45</v>
      </c>
      <c r="Q1619" t="s">
        <v>47</v>
      </c>
      <c r="R1619" t="s">
        <v>44</v>
      </c>
      <c r="S1619">
        <v>0</v>
      </c>
      <c r="W1619" s="3">
        <v>3.4722222222222222E-5</v>
      </c>
      <c r="X1619" t="s">
        <v>121</v>
      </c>
      <c r="Y1619">
        <v>1</v>
      </c>
      <c r="Z1619">
        <v>2</v>
      </c>
      <c r="AA1619" t="s">
        <v>3615</v>
      </c>
      <c r="AB1619">
        <v>62</v>
      </c>
      <c r="AC1619" t="s">
        <v>49</v>
      </c>
      <c r="AD1619">
        <v>0</v>
      </c>
      <c r="AE1619">
        <v>10615085</v>
      </c>
      <c r="AF1619" t="s">
        <v>50</v>
      </c>
      <c r="AG1619" t="s">
        <v>1536</v>
      </c>
    </row>
    <row r="1620" spans="1:33" x14ac:dyDescent="0.35">
      <c r="A1620" s="1">
        <v>44866.340277777781</v>
      </c>
      <c r="B1620">
        <v>848526</v>
      </c>
      <c r="C1620" t="s">
        <v>2541</v>
      </c>
      <c r="D1620" t="s">
        <v>59</v>
      </c>
      <c r="E1620" s="2">
        <v>41212</v>
      </c>
      <c r="F1620" t="str">
        <f>"9781118310069"</f>
        <v>9781118310069</v>
      </c>
      <c r="G1620" t="str">
        <f>"9780470566671"</f>
        <v>9780470566671</v>
      </c>
      <c r="H1620" t="s">
        <v>2542</v>
      </c>
      <c r="I1620">
        <v>610.28</v>
      </c>
      <c r="J1620" t="s">
        <v>2543</v>
      </c>
      <c r="K1620" t="s">
        <v>44</v>
      </c>
      <c r="N1620" t="s">
        <v>45</v>
      </c>
      <c r="O1620" t="s">
        <v>46</v>
      </c>
      <c r="P1620" t="s">
        <v>45</v>
      </c>
      <c r="Q1620" t="s">
        <v>47</v>
      </c>
      <c r="R1620" t="s">
        <v>44</v>
      </c>
      <c r="S1620">
        <v>2</v>
      </c>
      <c r="W1620" s="3">
        <v>3.0902777777777782E-3</v>
      </c>
      <c r="X1620" t="s">
        <v>3616</v>
      </c>
      <c r="Y1620">
        <v>13</v>
      </c>
      <c r="Z1620">
        <v>0</v>
      </c>
      <c r="AA1620" t="s">
        <v>3617</v>
      </c>
      <c r="AB1620">
        <v>83</v>
      </c>
      <c r="AC1620" t="s">
        <v>49</v>
      </c>
      <c r="AD1620">
        <v>0</v>
      </c>
      <c r="AE1620">
        <v>10615085</v>
      </c>
      <c r="AF1620" t="s">
        <v>63</v>
      </c>
      <c r="AG1620" t="s">
        <v>388</v>
      </c>
    </row>
    <row r="1621" spans="1:33" x14ac:dyDescent="0.35">
      <c r="A1621" s="1">
        <v>44866.249305555553</v>
      </c>
      <c r="B1621">
        <v>6642783</v>
      </c>
      <c r="C1621" t="s">
        <v>3618</v>
      </c>
      <c r="D1621" t="s">
        <v>3042</v>
      </c>
      <c r="E1621" s="2">
        <v>44047</v>
      </c>
      <c r="F1621" t="str">
        <f>"9781638357223"</f>
        <v>9781638357223</v>
      </c>
      <c r="G1621" t="str">
        <f>"9781617295508"</f>
        <v>9781617295508</v>
      </c>
      <c r="H1621" t="s">
        <v>138</v>
      </c>
      <c r="I1621">
        <v>5.133</v>
      </c>
      <c r="J1621" t="s">
        <v>3619</v>
      </c>
      <c r="K1621" t="s">
        <v>55</v>
      </c>
      <c r="Q1621" t="s">
        <v>47</v>
      </c>
      <c r="R1621" t="s">
        <v>44</v>
      </c>
      <c r="S1621">
        <v>0</v>
      </c>
      <c r="W1621" s="3">
        <v>0</v>
      </c>
      <c r="X1621" t="s">
        <v>49</v>
      </c>
      <c r="Y1621">
        <v>0</v>
      </c>
      <c r="Z1621">
        <v>0</v>
      </c>
      <c r="AA1621" t="s">
        <v>49</v>
      </c>
      <c r="AB1621">
        <v>0</v>
      </c>
      <c r="AC1621" t="s">
        <v>49</v>
      </c>
      <c r="AD1621">
        <v>0</v>
      </c>
      <c r="AE1621">
        <v>-1</v>
      </c>
      <c r="AF1621" t="s">
        <v>63</v>
      </c>
      <c r="AG1621" t="s">
        <v>3620</v>
      </c>
    </row>
    <row r="1622" spans="1:33" x14ac:dyDescent="0.35">
      <c r="A1622" s="1">
        <v>44866.24722222222</v>
      </c>
      <c r="B1622">
        <v>5509920</v>
      </c>
      <c r="C1622" t="s">
        <v>3621</v>
      </c>
      <c r="D1622" t="s">
        <v>3622</v>
      </c>
      <c r="E1622" s="2">
        <v>43350</v>
      </c>
      <c r="F1622" t="str">
        <f>"9781547539222"</f>
        <v>9781547539222</v>
      </c>
      <c r="G1622" t="str">
        <f>""</f>
        <v/>
      </c>
      <c r="H1622" t="s">
        <v>138</v>
      </c>
      <c r="I1622">
        <v>5.133</v>
      </c>
      <c r="J1622" t="s">
        <v>3623</v>
      </c>
      <c r="K1622" t="s">
        <v>44</v>
      </c>
      <c r="N1622" t="s">
        <v>45</v>
      </c>
      <c r="O1622" t="s">
        <v>46</v>
      </c>
      <c r="P1622" t="s">
        <v>45</v>
      </c>
      <c r="Q1622" t="s">
        <v>47</v>
      </c>
      <c r="R1622" t="s">
        <v>44</v>
      </c>
      <c r="S1622">
        <v>0</v>
      </c>
      <c r="W1622" s="3">
        <v>2.4305555555555552E-4</v>
      </c>
      <c r="X1622" t="s">
        <v>2249</v>
      </c>
      <c r="Y1622">
        <v>6</v>
      </c>
      <c r="Z1622">
        <v>0</v>
      </c>
      <c r="AA1622" t="s">
        <v>49</v>
      </c>
      <c r="AB1622">
        <v>0</v>
      </c>
      <c r="AC1622" t="s">
        <v>49</v>
      </c>
      <c r="AD1622">
        <v>0</v>
      </c>
      <c r="AE1622">
        <v>-1</v>
      </c>
      <c r="AF1622" t="s">
        <v>50</v>
      </c>
      <c r="AG1622" t="s">
        <v>3620</v>
      </c>
    </row>
    <row r="1623" spans="1:33" x14ac:dyDescent="0.35">
      <c r="A1623" s="1">
        <v>44866.054166666669</v>
      </c>
      <c r="B1623">
        <v>848526</v>
      </c>
      <c r="C1623" t="s">
        <v>2541</v>
      </c>
      <c r="D1623" t="s">
        <v>59</v>
      </c>
      <c r="E1623" s="2">
        <v>41212</v>
      </c>
      <c r="F1623" t="str">
        <f>"9781118310069"</f>
        <v>9781118310069</v>
      </c>
      <c r="G1623" t="str">
        <f>"9780470566671"</f>
        <v>9780470566671</v>
      </c>
      <c r="H1623" t="s">
        <v>2542</v>
      </c>
      <c r="I1623">
        <v>610.28</v>
      </c>
      <c r="J1623" t="s">
        <v>2543</v>
      </c>
      <c r="K1623" t="s">
        <v>44</v>
      </c>
      <c r="N1623" t="s">
        <v>45</v>
      </c>
      <c r="O1623" t="s">
        <v>46</v>
      </c>
      <c r="P1623" t="s">
        <v>45</v>
      </c>
      <c r="Q1623" t="s">
        <v>47</v>
      </c>
      <c r="R1623" t="s">
        <v>44</v>
      </c>
      <c r="S1623">
        <v>0</v>
      </c>
      <c r="W1623" s="3">
        <v>1.8055555555555557E-3</v>
      </c>
      <c r="X1623" t="s">
        <v>3624</v>
      </c>
      <c r="Y1623">
        <v>5</v>
      </c>
      <c r="Z1623">
        <v>0</v>
      </c>
      <c r="AA1623" t="s">
        <v>49</v>
      </c>
      <c r="AB1623">
        <v>0</v>
      </c>
      <c r="AC1623" t="s">
        <v>49</v>
      </c>
      <c r="AD1623">
        <v>0</v>
      </c>
      <c r="AE1623">
        <v>10615085</v>
      </c>
      <c r="AF1623" t="s">
        <v>50</v>
      </c>
      <c r="AG1623" t="s">
        <v>1536</v>
      </c>
    </row>
    <row r="1624" spans="1:33" x14ac:dyDescent="0.35">
      <c r="A1624" s="1">
        <v>44865.974305555559</v>
      </c>
      <c r="B1624">
        <v>5755748</v>
      </c>
      <c r="C1624" t="s">
        <v>3594</v>
      </c>
      <c r="D1624" t="s">
        <v>76</v>
      </c>
      <c r="E1624" s="2">
        <v>43587</v>
      </c>
      <c r="F1624" t="str">
        <f>"9781498742702"</f>
        <v>9781498742702</v>
      </c>
      <c r="G1624" t="str">
        <f>"9781498742696"</f>
        <v>9781498742696</v>
      </c>
      <c r="H1624" t="s">
        <v>546</v>
      </c>
      <c r="I1624">
        <v>621.3827</v>
      </c>
      <c r="J1624" t="s">
        <v>3595</v>
      </c>
      <c r="K1624" t="s">
        <v>55</v>
      </c>
      <c r="Q1624" t="s">
        <v>47</v>
      </c>
      <c r="R1624" t="s">
        <v>44</v>
      </c>
      <c r="S1624">
        <v>0</v>
      </c>
      <c r="W1624" s="3">
        <v>6.7361111111111103E-3</v>
      </c>
      <c r="X1624" t="s">
        <v>1717</v>
      </c>
      <c r="Y1624">
        <v>1</v>
      </c>
      <c r="Z1624">
        <v>0</v>
      </c>
      <c r="AA1624" t="s">
        <v>49</v>
      </c>
      <c r="AB1624">
        <v>0</v>
      </c>
      <c r="AC1624" t="s">
        <v>49</v>
      </c>
      <c r="AD1624">
        <v>0</v>
      </c>
      <c r="AE1624">
        <v>-1</v>
      </c>
      <c r="AF1624" t="s">
        <v>50</v>
      </c>
      <c r="AG1624" t="s">
        <v>1536</v>
      </c>
    </row>
    <row r="1625" spans="1:33" x14ac:dyDescent="0.35">
      <c r="A1625" s="1">
        <v>44865.90902777778</v>
      </c>
      <c r="B1625">
        <v>1477522</v>
      </c>
      <c r="C1625" t="s">
        <v>3625</v>
      </c>
      <c r="D1625" t="s">
        <v>2022</v>
      </c>
      <c r="E1625" s="2">
        <v>41542</v>
      </c>
      <c r="F1625" t="str">
        <f>"9781443852760"</f>
        <v>9781443852760</v>
      </c>
      <c r="G1625" t="str">
        <f>"9781443848275"</f>
        <v>9781443848275</v>
      </c>
      <c r="H1625" t="s">
        <v>474</v>
      </c>
      <c r="I1625">
        <v>197</v>
      </c>
      <c r="J1625" t="s">
        <v>3626</v>
      </c>
      <c r="K1625" t="s">
        <v>44</v>
      </c>
      <c r="N1625" t="s">
        <v>45</v>
      </c>
      <c r="O1625" t="s">
        <v>46</v>
      </c>
      <c r="P1625" t="s">
        <v>45</v>
      </c>
      <c r="Q1625" t="s">
        <v>47</v>
      </c>
      <c r="R1625" t="s">
        <v>44</v>
      </c>
      <c r="S1625">
        <v>0</v>
      </c>
      <c r="W1625" s="3">
        <v>4.6296296296296294E-5</v>
      </c>
      <c r="X1625" t="s">
        <v>1011</v>
      </c>
      <c r="Y1625">
        <v>1</v>
      </c>
      <c r="Z1625">
        <v>0</v>
      </c>
      <c r="AA1625" t="s">
        <v>49</v>
      </c>
      <c r="AB1625">
        <v>0</v>
      </c>
      <c r="AC1625" t="s">
        <v>49</v>
      </c>
      <c r="AD1625">
        <v>0</v>
      </c>
      <c r="AE1625">
        <v>10778085</v>
      </c>
      <c r="AF1625" t="s">
        <v>50</v>
      </c>
      <c r="AG1625" t="s">
        <v>1536</v>
      </c>
    </row>
    <row r="1626" spans="1:33" x14ac:dyDescent="0.35">
      <c r="A1626" s="1">
        <v>44865.811111111114</v>
      </c>
      <c r="B1626">
        <v>6310313</v>
      </c>
      <c r="C1626" t="s">
        <v>3627</v>
      </c>
      <c r="D1626" t="s">
        <v>105</v>
      </c>
      <c r="E1626" s="2">
        <v>44062</v>
      </c>
      <c r="F1626" t="str">
        <f>"9783030466602"</f>
        <v>9783030466602</v>
      </c>
      <c r="G1626" t="str">
        <f>"9783030466596"</f>
        <v>9783030466596</v>
      </c>
      <c r="H1626" t="s">
        <v>1046</v>
      </c>
      <c r="I1626">
        <v>303.33999999999997</v>
      </c>
      <c r="J1626" t="s">
        <v>3628</v>
      </c>
      <c r="K1626" t="s">
        <v>55</v>
      </c>
      <c r="Q1626" t="s">
        <v>47</v>
      </c>
      <c r="R1626" t="s">
        <v>44</v>
      </c>
      <c r="S1626">
        <v>0</v>
      </c>
      <c r="W1626" s="3">
        <v>1.0879629629629629E-3</v>
      </c>
      <c r="X1626" t="s">
        <v>3629</v>
      </c>
      <c r="Y1626">
        <v>12</v>
      </c>
      <c r="Z1626">
        <v>0</v>
      </c>
      <c r="AA1626" t="s">
        <v>49</v>
      </c>
      <c r="AB1626">
        <v>0</v>
      </c>
      <c r="AC1626" t="s">
        <v>49</v>
      </c>
      <c r="AD1626">
        <v>0</v>
      </c>
      <c r="AE1626">
        <v>-1</v>
      </c>
      <c r="AF1626" t="s">
        <v>50</v>
      </c>
      <c r="AG1626" t="s">
        <v>670</v>
      </c>
    </row>
    <row r="1627" spans="1:33" x14ac:dyDescent="0.35">
      <c r="A1627" s="1">
        <v>44865.78402777778</v>
      </c>
      <c r="B1627">
        <v>286658</v>
      </c>
      <c r="C1627" t="s">
        <v>433</v>
      </c>
      <c r="D1627" t="s">
        <v>65</v>
      </c>
      <c r="E1627" s="2">
        <v>38686</v>
      </c>
      <c r="F1627" t="str">
        <f>"9780080470795"</f>
        <v>9780080470795</v>
      </c>
      <c r="G1627" t="str">
        <f>"9780125637381"</f>
        <v>9780125637381</v>
      </c>
      <c r="H1627" t="s">
        <v>43</v>
      </c>
      <c r="I1627" t="s">
        <v>434</v>
      </c>
      <c r="J1627" t="s">
        <v>435</v>
      </c>
      <c r="K1627" t="s">
        <v>44</v>
      </c>
      <c r="N1627" t="s">
        <v>45</v>
      </c>
      <c r="O1627" t="s">
        <v>46</v>
      </c>
      <c r="P1627" t="s">
        <v>45</v>
      </c>
      <c r="Q1627" t="s">
        <v>47</v>
      </c>
      <c r="R1627" t="s">
        <v>44</v>
      </c>
      <c r="S1627">
        <v>0</v>
      </c>
      <c r="W1627" s="3">
        <v>6.3657407407407402E-4</v>
      </c>
      <c r="X1627" t="s">
        <v>3630</v>
      </c>
      <c r="Y1627">
        <v>5</v>
      </c>
      <c r="Z1627">
        <v>0</v>
      </c>
      <c r="AA1627" t="s">
        <v>49</v>
      </c>
      <c r="AB1627">
        <v>0</v>
      </c>
      <c r="AC1627" t="s">
        <v>49</v>
      </c>
      <c r="AD1627">
        <v>0</v>
      </c>
      <c r="AE1627">
        <v>10167083</v>
      </c>
      <c r="AF1627" t="s">
        <v>50</v>
      </c>
      <c r="AG1627" t="s">
        <v>3631</v>
      </c>
    </row>
    <row r="1628" spans="1:33" x14ac:dyDescent="0.35">
      <c r="A1628" s="1">
        <v>44865.739583333336</v>
      </c>
      <c r="B1628">
        <v>5473186</v>
      </c>
      <c r="C1628" t="s">
        <v>3632</v>
      </c>
      <c r="D1628" t="s">
        <v>3633</v>
      </c>
      <c r="E1628" s="2">
        <v>43599</v>
      </c>
      <c r="F1628" t="str">
        <f>"9781633697218"</f>
        <v>9781633697218</v>
      </c>
      <c r="G1628" t="str">
        <f>"9781633697201"</f>
        <v>9781633697201</v>
      </c>
      <c r="H1628" t="s">
        <v>60</v>
      </c>
      <c r="I1628" t="s">
        <v>3634</v>
      </c>
      <c r="J1628" t="s">
        <v>3635</v>
      </c>
      <c r="K1628" t="s">
        <v>55</v>
      </c>
      <c r="Q1628" t="s">
        <v>47</v>
      </c>
      <c r="R1628" t="s">
        <v>44</v>
      </c>
      <c r="S1628">
        <v>0</v>
      </c>
      <c r="W1628" s="3">
        <v>2.0833333333333335E-4</v>
      </c>
      <c r="X1628" t="s">
        <v>3636</v>
      </c>
      <c r="Y1628">
        <v>6</v>
      </c>
      <c r="Z1628">
        <v>0</v>
      </c>
      <c r="AA1628" t="s">
        <v>49</v>
      </c>
      <c r="AB1628">
        <v>0</v>
      </c>
      <c r="AC1628" t="s">
        <v>49</v>
      </c>
      <c r="AD1628">
        <v>0</v>
      </c>
      <c r="AE1628">
        <v>-1</v>
      </c>
      <c r="AF1628" t="s">
        <v>50</v>
      </c>
      <c r="AG1628" t="s">
        <v>1536</v>
      </c>
    </row>
    <row r="1629" spans="1:33" x14ac:dyDescent="0.35">
      <c r="A1629" s="1">
        <v>44865.727083333331</v>
      </c>
      <c r="B1629">
        <v>3097892</v>
      </c>
      <c r="C1629" t="s">
        <v>3441</v>
      </c>
      <c r="D1629" t="s">
        <v>2271</v>
      </c>
      <c r="E1629" s="2">
        <v>35614</v>
      </c>
      <c r="F1629" t="str">
        <f>"9783662035016"</f>
        <v>9783662035016</v>
      </c>
      <c r="G1629" t="str">
        <f>"9783642082511"</f>
        <v>9783642082511</v>
      </c>
      <c r="H1629" t="s">
        <v>3442</v>
      </c>
      <c r="I1629" t="s">
        <v>3443</v>
      </c>
      <c r="J1629" t="s">
        <v>3444</v>
      </c>
      <c r="K1629" t="s">
        <v>44</v>
      </c>
      <c r="N1629" t="s">
        <v>45</v>
      </c>
      <c r="O1629" t="s">
        <v>46</v>
      </c>
      <c r="P1629" t="s">
        <v>45</v>
      </c>
      <c r="Q1629" t="s">
        <v>47</v>
      </c>
      <c r="R1629" t="s">
        <v>44</v>
      </c>
      <c r="S1629">
        <v>0</v>
      </c>
      <c r="W1629" s="3">
        <v>1.0324074074074074E-2</v>
      </c>
      <c r="X1629" t="s">
        <v>3637</v>
      </c>
      <c r="Y1629">
        <v>6</v>
      </c>
      <c r="Z1629">
        <v>0</v>
      </c>
      <c r="AA1629" t="s">
        <v>49</v>
      </c>
      <c r="AB1629">
        <v>0</v>
      </c>
      <c r="AC1629" t="s">
        <v>3638</v>
      </c>
      <c r="AD1629">
        <v>2</v>
      </c>
      <c r="AE1629">
        <v>10971855</v>
      </c>
      <c r="AF1629" t="s">
        <v>50</v>
      </c>
      <c r="AG1629" t="s">
        <v>388</v>
      </c>
    </row>
    <row r="1630" spans="1:33" x14ac:dyDescent="0.35">
      <c r="A1630" s="1">
        <v>44865.717361111114</v>
      </c>
      <c r="B1630">
        <v>6403245</v>
      </c>
      <c r="C1630" t="s">
        <v>3639</v>
      </c>
      <c r="D1630" t="s">
        <v>1282</v>
      </c>
      <c r="E1630" s="2">
        <v>43532</v>
      </c>
      <c r="F1630" t="str">
        <f>"9781506328683"</f>
        <v>9781506328683</v>
      </c>
      <c r="G1630" t="str">
        <f>"9781506328690"</f>
        <v>9781506328690</v>
      </c>
      <c r="H1630" t="s">
        <v>60</v>
      </c>
      <c r="I1630">
        <v>658.40560000000005</v>
      </c>
      <c r="J1630" t="s">
        <v>3640</v>
      </c>
      <c r="K1630" t="s">
        <v>55</v>
      </c>
      <c r="Q1630" t="s">
        <v>47</v>
      </c>
      <c r="R1630" t="s">
        <v>44</v>
      </c>
      <c r="S1630">
        <v>0</v>
      </c>
      <c r="W1630" s="3">
        <v>5.7870370370370366E-5</v>
      </c>
      <c r="X1630" t="s">
        <v>3641</v>
      </c>
      <c r="Y1630">
        <v>1</v>
      </c>
      <c r="Z1630">
        <v>0</v>
      </c>
      <c r="AA1630" t="s">
        <v>49</v>
      </c>
      <c r="AB1630">
        <v>0</v>
      </c>
      <c r="AC1630" t="s">
        <v>49</v>
      </c>
      <c r="AD1630">
        <v>0</v>
      </c>
      <c r="AE1630">
        <v>-1</v>
      </c>
      <c r="AF1630" t="s">
        <v>50</v>
      </c>
      <c r="AG1630" t="s">
        <v>3593</v>
      </c>
    </row>
    <row r="1631" spans="1:33" x14ac:dyDescent="0.35">
      <c r="A1631" s="1">
        <v>44865.647222222222</v>
      </c>
      <c r="B1631">
        <v>3097892</v>
      </c>
      <c r="C1631" t="s">
        <v>3441</v>
      </c>
      <c r="D1631" t="s">
        <v>2271</v>
      </c>
      <c r="E1631" s="2">
        <v>35614</v>
      </c>
      <c r="F1631" t="str">
        <f>"9783662035016"</f>
        <v>9783662035016</v>
      </c>
      <c r="G1631" t="str">
        <f>"9783642082511"</f>
        <v>9783642082511</v>
      </c>
      <c r="H1631" t="s">
        <v>3442</v>
      </c>
      <c r="I1631" t="s">
        <v>3443</v>
      </c>
      <c r="J1631" t="s">
        <v>3444</v>
      </c>
      <c r="K1631" t="s">
        <v>44</v>
      </c>
      <c r="N1631" t="s">
        <v>45</v>
      </c>
      <c r="O1631" t="s">
        <v>46</v>
      </c>
      <c r="P1631" t="s">
        <v>45</v>
      </c>
      <c r="Q1631" t="s">
        <v>47</v>
      </c>
      <c r="R1631" t="s">
        <v>44</v>
      </c>
      <c r="S1631">
        <v>0</v>
      </c>
      <c r="W1631" s="3">
        <v>5.2951388888888888E-2</v>
      </c>
      <c r="X1631" t="s">
        <v>3642</v>
      </c>
      <c r="Y1631">
        <v>38</v>
      </c>
      <c r="Z1631">
        <v>0</v>
      </c>
      <c r="AA1631" t="s">
        <v>49</v>
      </c>
      <c r="AB1631">
        <v>0</v>
      </c>
      <c r="AC1631" t="s">
        <v>3643</v>
      </c>
      <c r="AD1631">
        <v>6</v>
      </c>
      <c r="AE1631">
        <v>10971855</v>
      </c>
      <c r="AF1631" t="s">
        <v>50</v>
      </c>
      <c r="AG1631" t="s">
        <v>388</v>
      </c>
    </row>
    <row r="1632" spans="1:33" x14ac:dyDescent="0.35">
      <c r="A1632" s="1">
        <v>44865.634027777778</v>
      </c>
      <c r="B1632">
        <v>467565</v>
      </c>
      <c r="C1632" t="s">
        <v>3326</v>
      </c>
      <c r="D1632" t="s">
        <v>473</v>
      </c>
      <c r="E1632" s="2">
        <v>39926</v>
      </c>
      <c r="F1632" t="str">
        <f>"9789047428787"</f>
        <v>9789047428787</v>
      </c>
      <c r="G1632" t="str">
        <f>"9789004175341"</f>
        <v>9789004175341</v>
      </c>
      <c r="H1632" t="s">
        <v>3327</v>
      </c>
      <c r="I1632">
        <v>956.04</v>
      </c>
      <c r="J1632" t="s">
        <v>3328</v>
      </c>
      <c r="K1632" t="s">
        <v>44</v>
      </c>
      <c r="N1632" t="s">
        <v>45</v>
      </c>
      <c r="O1632" t="s">
        <v>46</v>
      </c>
      <c r="P1632" t="s">
        <v>45</v>
      </c>
      <c r="Q1632" t="s">
        <v>47</v>
      </c>
      <c r="R1632" t="s">
        <v>44</v>
      </c>
      <c r="S1632">
        <v>0</v>
      </c>
      <c r="W1632" s="3">
        <v>1.3541666666666667E-3</v>
      </c>
      <c r="X1632" t="s">
        <v>3644</v>
      </c>
      <c r="Y1632">
        <v>16</v>
      </c>
      <c r="Z1632">
        <v>0</v>
      </c>
      <c r="AA1632" t="s">
        <v>49</v>
      </c>
      <c r="AB1632">
        <v>0</v>
      </c>
      <c r="AC1632" t="s">
        <v>49</v>
      </c>
      <c r="AD1632">
        <v>0</v>
      </c>
      <c r="AE1632">
        <v>10349309</v>
      </c>
      <c r="AF1632" t="s">
        <v>50</v>
      </c>
      <c r="AG1632" t="s">
        <v>630</v>
      </c>
    </row>
    <row r="1633" spans="1:33" x14ac:dyDescent="0.35">
      <c r="A1633" s="1">
        <v>44865.631249999999</v>
      </c>
      <c r="B1633">
        <v>3386273</v>
      </c>
      <c r="C1633" t="s">
        <v>3323</v>
      </c>
      <c r="D1633" t="s">
        <v>2066</v>
      </c>
      <c r="E1633" s="2">
        <v>39010</v>
      </c>
      <c r="F1633" t="str">
        <f>"9781849642408"</f>
        <v>9781849642408</v>
      </c>
      <c r="G1633" t="str">
        <f>"9780745322353"</f>
        <v>9780745322353</v>
      </c>
      <c r="H1633" t="s">
        <v>667</v>
      </c>
      <c r="I1633">
        <v>956.04</v>
      </c>
      <c r="J1633" t="s">
        <v>3324</v>
      </c>
      <c r="K1633" t="s">
        <v>44</v>
      </c>
      <c r="N1633" t="s">
        <v>45</v>
      </c>
      <c r="O1633" t="s">
        <v>46</v>
      </c>
      <c r="P1633" t="s">
        <v>45</v>
      </c>
      <c r="Q1633" t="s">
        <v>47</v>
      </c>
      <c r="R1633" t="s">
        <v>44</v>
      </c>
      <c r="S1633">
        <v>0</v>
      </c>
      <c r="W1633" s="3">
        <v>2.627314814814815E-3</v>
      </c>
      <c r="X1633" t="s">
        <v>3645</v>
      </c>
      <c r="Y1633">
        <v>32</v>
      </c>
      <c r="Z1633">
        <v>0</v>
      </c>
      <c r="AA1633" t="s">
        <v>49</v>
      </c>
      <c r="AB1633">
        <v>0</v>
      </c>
      <c r="AC1633" t="s">
        <v>49</v>
      </c>
      <c r="AD1633">
        <v>0</v>
      </c>
      <c r="AE1633">
        <v>10479788</v>
      </c>
      <c r="AF1633" t="s">
        <v>50</v>
      </c>
      <c r="AG1633" t="s">
        <v>630</v>
      </c>
    </row>
    <row r="1634" spans="1:33" x14ac:dyDescent="0.35">
      <c r="A1634" s="1">
        <v>44865.629166666666</v>
      </c>
      <c r="B1634">
        <v>282765</v>
      </c>
      <c r="C1634" t="s">
        <v>3375</v>
      </c>
      <c r="D1634" t="s">
        <v>3376</v>
      </c>
      <c r="E1634" s="2">
        <v>36892</v>
      </c>
      <c r="F1634" t="str">
        <f>"9780313002601"</f>
        <v>9780313002601</v>
      </c>
      <c r="G1634" t="str">
        <f>"9780275968762"</f>
        <v>9780275968762</v>
      </c>
      <c r="H1634" t="s">
        <v>667</v>
      </c>
      <c r="I1634" t="s">
        <v>3377</v>
      </c>
      <c r="J1634" t="s">
        <v>3378</v>
      </c>
      <c r="K1634" t="s">
        <v>44</v>
      </c>
      <c r="N1634" t="s">
        <v>45</v>
      </c>
      <c r="O1634" t="s">
        <v>46</v>
      </c>
      <c r="P1634" t="s">
        <v>45</v>
      </c>
      <c r="Q1634" t="s">
        <v>47</v>
      </c>
      <c r="R1634" t="s">
        <v>44</v>
      </c>
      <c r="S1634">
        <v>0</v>
      </c>
      <c r="W1634" s="3">
        <v>7.407407407407407E-4</v>
      </c>
      <c r="X1634" t="s">
        <v>3646</v>
      </c>
      <c r="Y1634">
        <v>4</v>
      </c>
      <c r="Z1634">
        <v>0</v>
      </c>
      <c r="AA1634" t="s">
        <v>49</v>
      </c>
      <c r="AB1634">
        <v>0</v>
      </c>
      <c r="AC1634" t="s">
        <v>49</v>
      </c>
      <c r="AD1634">
        <v>0</v>
      </c>
      <c r="AE1634">
        <v>10005701</v>
      </c>
      <c r="AF1634" t="s">
        <v>50</v>
      </c>
      <c r="AG1634" t="s">
        <v>630</v>
      </c>
    </row>
    <row r="1635" spans="1:33" x14ac:dyDescent="0.35">
      <c r="A1635" s="1">
        <v>44865.628472222219</v>
      </c>
      <c r="B1635">
        <v>939937</v>
      </c>
      <c r="C1635" t="s">
        <v>3647</v>
      </c>
      <c r="D1635" t="s">
        <v>666</v>
      </c>
      <c r="E1635" s="2">
        <v>36979</v>
      </c>
      <c r="F1635" t="str">
        <f>"9780231505321"</f>
        <v>9780231505321</v>
      </c>
      <c r="G1635" t="str">
        <f>"9780231120036"</f>
        <v>9780231120036</v>
      </c>
      <c r="H1635" t="s">
        <v>667</v>
      </c>
      <c r="I1635" t="s">
        <v>3377</v>
      </c>
      <c r="J1635" t="s">
        <v>3648</v>
      </c>
      <c r="K1635" t="s">
        <v>44</v>
      </c>
      <c r="N1635" t="s">
        <v>45</v>
      </c>
      <c r="O1635" t="s">
        <v>46</v>
      </c>
      <c r="P1635" t="s">
        <v>45</v>
      </c>
      <c r="Q1635" t="s">
        <v>47</v>
      </c>
      <c r="R1635" t="s">
        <v>44</v>
      </c>
      <c r="S1635">
        <v>0</v>
      </c>
      <c r="W1635" s="3">
        <v>1.6203703703703703E-3</v>
      </c>
      <c r="X1635" t="s">
        <v>3649</v>
      </c>
      <c r="Y1635">
        <v>6</v>
      </c>
      <c r="Z1635">
        <v>0</v>
      </c>
      <c r="AA1635" t="s">
        <v>49</v>
      </c>
      <c r="AB1635">
        <v>0</v>
      </c>
      <c r="AC1635" t="s">
        <v>49</v>
      </c>
      <c r="AD1635">
        <v>0</v>
      </c>
      <c r="AE1635">
        <v>10604392</v>
      </c>
      <c r="AF1635" t="s">
        <v>50</v>
      </c>
      <c r="AG1635" t="s">
        <v>630</v>
      </c>
    </row>
    <row r="1636" spans="1:33" x14ac:dyDescent="0.35">
      <c r="A1636" s="1">
        <v>44865.622916666667</v>
      </c>
      <c r="B1636">
        <v>5755748</v>
      </c>
      <c r="C1636" t="s">
        <v>3594</v>
      </c>
      <c r="D1636" t="s">
        <v>76</v>
      </c>
      <c r="E1636" s="2">
        <v>43587</v>
      </c>
      <c r="F1636" t="str">
        <f>"9781498742702"</f>
        <v>9781498742702</v>
      </c>
      <c r="G1636" t="str">
        <f>"9781498742696"</f>
        <v>9781498742696</v>
      </c>
      <c r="H1636" t="s">
        <v>546</v>
      </c>
      <c r="I1636">
        <v>621.3827</v>
      </c>
      <c r="J1636" t="s">
        <v>3595</v>
      </c>
      <c r="K1636" t="s">
        <v>55</v>
      </c>
      <c r="Q1636" t="s">
        <v>47</v>
      </c>
      <c r="R1636" t="s">
        <v>44</v>
      </c>
      <c r="S1636">
        <v>0</v>
      </c>
      <c r="W1636" s="3">
        <v>8.1018518518518516E-5</v>
      </c>
      <c r="X1636" t="s">
        <v>1717</v>
      </c>
      <c r="Y1636">
        <v>1</v>
      </c>
      <c r="Z1636">
        <v>0</v>
      </c>
      <c r="AA1636" t="s">
        <v>49</v>
      </c>
      <c r="AB1636">
        <v>0</v>
      </c>
      <c r="AC1636" t="s">
        <v>49</v>
      </c>
      <c r="AD1636">
        <v>0</v>
      </c>
      <c r="AE1636">
        <v>-1</v>
      </c>
      <c r="AF1636" t="s">
        <v>50</v>
      </c>
      <c r="AG1636" t="s">
        <v>1536</v>
      </c>
    </row>
    <row r="1637" spans="1:33" x14ac:dyDescent="0.35">
      <c r="A1637" s="1">
        <v>44865.619444444441</v>
      </c>
      <c r="B1637">
        <v>481105</v>
      </c>
      <c r="C1637" t="s">
        <v>3365</v>
      </c>
      <c r="D1637" t="s">
        <v>76</v>
      </c>
      <c r="E1637" s="2">
        <v>40214</v>
      </c>
      <c r="F1637" t="str">
        <f>"9780203863978"</f>
        <v>9780203863978</v>
      </c>
      <c r="G1637" t="str">
        <f>"9780415493345"</f>
        <v>9780415493345</v>
      </c>
      <c r="H1637" t="s">
        <v>667</v>
      </c>
      <c r="I1637" t="s">
        <v>3366</v>
      </c>
      <c r="J1637" t="s">
        <v>3367</v>
      </c>
      <c r="K1637" t="s">
        <v>44</v>
      </c>
      <c r="N1637" t="s">
        <v>45</v>
      </c>
      <c r="O1637" t="s">
        <v>46</v>
      </c>
      <c r="P1637" t="s">
        <v>45</v>
      </c>
      <c r="Q1637" t="s">
        <v>47</v>
      </c>
      <c r="R1637" t="s">
        <v>44</v>
      </c>
      <c r="S1637">
        <v>0</v>
      </c>
      <c r="W1637" s="3">
        <v>2.013888888888889E-2</v>
      </c>
      <c r="X1637" t="s">
        <v>3650</v>
      </c>
      <c r="Y1637">
        <v>24</v>
      </c>
      <c r="Z1637">
        <v>0</v>
      </c>
      <c r="AA1637" t="s">
        <v>49</v>
      </c>
      <c r="AB1637">
        <v>0</v>
      </c>
      <c r="AC1637" t="s">
        <v>49</v>
      </c>
      <c r="AD1637">
        <v>0</v>
      </c>
      <c r="AE1637">
        <v>10370191</v>
      </c>
      <c r="AF1637" t="s">
        <v>50</v>
      </c>
      <c r="AG1637" t="s">
        <v>630</v>
      </c>
    </row>
    <row r="1638" spans="1:33" x14ac:dyDescent="0.35">
      <c r="A1638" s="1">
        <v>44865.614583333336</v>
      </c>
      <c r="B1638">
        <v>689886</v>
      </c>
      <c r="C1638" t="s">
        <v>3651</v>
      </c>
      <c r="D1638" t="s">
        <v>76</v>
      </c>
      <c r="E1638" s="2">
        <v>39539</v>
      </c>
      <c r="F1638" t="str">
        <f>"9781849406598"</f>
        <v>9781849406598</v>
      </c>
      <c r="G1638" t="str">
        <f>"9781855757356"</f>
        <v>9781855757356</v>
      </c>
      <c r="H1638" t="s">
        <v>244</v>
      </c>
      <c r="I1638">
        <v>152.47999999999999</v>
      </c>
      <c r="J1638" t="s">
        <v>3652</v>
      </c>
      <c r="K1638" t="s">
        <v>44</v>
      </c>
      <c r="N1638" t="s">
        <v>45</v>
      </c>
      <c r="O1638" t="s">
        <v>46</v>
      </c>
      <c r="P1638" t="s">
        <v>45</v>
      </c>
      <c r="Q1638" t="s">
        <v>47</v>
      </c>
      <c r="R1638" t="s">
        <v>44</v>
      </c>
      <c r="S1638">
        <v>0</v>
      </c>
      <c r="W1638" s="3">
        <v>2.199074074074074E-4</v>
      </c>
      <c r="X1638" t="s">
        <v>2249</v>
      </c>
      <c r="Y1638">
        <v>6</v>
      </c>
      <c r="Z1638">
        <v>0</v>
      </c>
      <c r="AA1638" t="s">
        <v>49</v>
      </c>
      <c r="AB1638">
        <v>0</v>
      </c>
      <c r="AC1638" t="s">
        <v>49</v>
      </c>
      <c r="AD1638">
        <v>0</v>
      </c>
      <c r="AE1638">
        <v>10463842</v>
      </c>
      <c r="AF1638" t="s">
        <v>50</v>
      </c>
      <c r="AG1638" t="s">
        <v>388</v>
      </c>
    </row>
    <row r="1639" spans="1:33" x14ac:dyDescent="0.35">
      <c r="A1639" s="1">
        <v>44865.61041666667</v>
      </c>
      <c r="B1639">
        <v>6787192</v>
      </c>
      <c r="C1639" t="s">
        <v>3653</v>
      </c>
      <c r="D1639" t="s">
        <v>76</v>
      </c>
      <c r="E1639" s="2">
        <v>44526</v>
      </c>
      <c r="F1639" t="str">
        <f>"9781000459364"</f>
        <v>9781000459364</v>
      </c>
      <c r="G1639" t="str">
        <f>"9780367428709"</f>
        <v>9780367428709</v>
      </c>
      <c r="H1639" t="s">
        <v>900</v>
      </c>
      <c r="I1639">
        <v>330.95400000000001</v>
      </c>
      <c r="J1639" t="s">
        <v>3654</v>
      </c>
      <c r="K1639" t="s">
        <v>55</v>
      </c>
      <c r="Q1639" t="s">
        <v>47</v>
      </c>
      <c r="R1639" t="s">
        <v>44</v>
      </c>
      <c r="S1639">
        <v>0</v>
      </c>
      <c r="W1639" s="3">
        <v>1.5046296296296297E-4</v>
      </c>
      <c r="X1639" t="s">
        <v>121</v>
      </c>
      <c r="Y1639">
        <v>1</v>
      </c>
      <c r="Z1639">
        <v>0</v>
      </c>
      <c r="AA1639" t="s">
        <v>49</v>
      </c>
      <c r="AB1639">
        <v>0</v>
      </c>
      <c r="AC1639" t="s">
        <v>49</v>
      </c>
      <c r="AD1639">
        <v>0</v>
      </c>
      <c r="AE1639">
        <v>-1</v>
      </c>
      <c r="AF1639" t="s">
        <v>50</v>
      </c>
      <c r="AG1639" t="s">
        <v>1536</v>
      </c>
    </row>
    <row r="1640" spans="1:33" x14ac:dyDescent="0.35">
      <c r="A1640" s="1">
        <v>44865.60833333333</v>
      </c>
      <c r="B1640">
        <v>3407954</v>
      </c>
      <c r="C1640" t="s">
        <v>3655</v>
      </c>
      <c r="D1640" t="s">
        <v>645</v>
      </c>
      <c r="E1640" s="2">
        <v>37553</v>
      </c>
      <c r="F1640" t="str">
        <f>"9780791487747"</f>
        <v>9780791487747</v>
      </c>
      <c r="G1640" t="str">
        <f>"9780791455432"</f>
        <v>9780791455432</v>
      </c>
      <c r="H1640" t="s">
        <v>498</v>
      </c>
      <c r="I1640">
        <v>109</v>
      </c>
      <c r="J1640" t="s">
        <v>3656</v>
      </c>
      <c r="K1640" t="s">
        <v>44</v>
      </c>
      <c r="N1640" t="s">
        <v>45</v>
      </c>
      <c r="O1640" t="s">
        <v>46</v>
      </c>
      <c r="P1640" t="s">
        <v>45</v>
      </c>
      <c r="Q1640" t="s">
        <v>47</v>
      </c>
      <c r="R1640" t="s">
        <v>44</v>
      </c>
      <c r="S1640">
        <v>0</v>
      </c>
      <c r="W1640" s="3">
        <v>3.9351851851851852E-4</v>
      </c>
      <c r="X1640" t="s">
        <v>2249</v>
      </c>
      <c r="Y1640">
        <v>6</v>
      </c>
      <c r="Z1640">
        <v>0</v>
      </c>
      <c r="AA1640" t="s">
        <v>49</v>
      </c>
      <c r="AB1640">
        <v>0</v>
      </c>
      <c r="AC1640" t="s">
        <v>49</v>
      </c>
      <c r="AD1640">
        <v>0</v>
      </c>
      <c r="AE1640">
        <v>10587153</v>
      </c>
      <c r="AF1640" t="s">
        <v>50</v>
      </c>
      <c r="AG1640" t="s">
        <v>388</v>
      </c>
    </row>
    <row r="1641" spans="1:33" x14ac:dyDescent="0.35">
      <c r="A1641" s="1">
        <v>44865.556944444441</v>
      </c>
      <c r="B1641">
        <v>3097892</v>
      </c>
      <c r="C1641" t="s">
        <v>3441</v>
      </c>
      <c r="D1641" t="s">
        <v>2271</v>
      </c>
      <c r="E1641" s="2">
        <v>35614</v>
      </c>
      <c r="F1641" t="str">
        <f>"9783662035016"</f>
        <v>9783662035016</v>
      </c>
      <c r="G1641" t="str">
        <f>"9783642082511"</f>
        <v>9783642082511</v>
      </c>
      <c r="H1641" t="s">
        <v>3442</v>
      </c>
      <c r="I1641" t="s">
        <v>3443</v>
      </c>
      <c r="J1641" t="s">
        <v>3444</v>
      </c>
      <c r="K1641" t="s">
        <v>44</v>
      </c>
      <c r="N1641" t="s">
        <v>45</v>
      </c>
      <c r="O1641" t="s">
        <v>46</v>
      </c>
      <c r="P1641" t="s">
        <v>45</v>
      </c>
      <c r="Q1641" t="s">
        <v>47</v>
      </c>
      <c r="R1641" t="s">
        <v>44</v>
      </c>
      <c r="S1641">
        <v>0</v>
      </c>
      <c r="W1641" s="3">
        <v>4.612268518518519E-2</v>
      </c>
      <c r="X1641" t="s">
        <v>3657</v>
      </c>
      <c r="Y1641">
        <v>33</v>
      </c>
      <c r="Z1641">
        <v>0</v>
      </c>
      <c r="AA1641" t="s">
        <v>49</v>
      </c>
      <c r="AB1641">
        <v>0</v>
      </c>
      <c r="AC1641" t="s">
        <v>3658</v>
      </c>
      <c r="AD1641">
        <v>2</v>
      </c>
      <c r="AE1641">
        <v>10971855</v>
      </c>
      <c r="AF1641" t="s">
        <v>50</v>
      </c>
      <c r="AG1641" t="s">
        <v>388</v>
      </c>
    </row>
    <row r="1642" spans="1:33" x14ac:dyDescent="0.35">
      <c r="A1642" s="1">
        <v>44865.520138888889</v>
      </c>
      <c r="B1642">
        <v>3442097</v>
      </c>
      <c r="C1642" t="s">
        <v>3659</v>
      </c>
      <c r="D1642" t="s">
        <v>1068</v>
      </c>
      <c r="E1642" s="2">
        <v>40052</v>
      </c>
      <c r="F1642" t="str">
        <f>"9780812200003"</f>
        <v>9780812200003</v>
      </c>
      <c r="G1642" t="str">
        <f>"9780812220896"</f>
        <v>9780812220896</v>
      </c>
      <c r="H1642" t="s">
        <v>419</v>
      </c>
      <c r="I1642">
        <v>323.09199999999998</v>
      </c>
      <c r="K1642" t="s">
        <v>44</v>
      </c>
      <c r="N1642" t="s">
        <v>45</v>
      </c>
      <c r="O1642" t="s">
        <v>46</v>
      </c>
      <c r="P1642" t="s">
        <v>45</v>
      </c>
      <c r="Q1642" t="s">
        <v>47</v>
      </c>
      <c r="R1642" t="s">
        <v>44</v>
      </c>
      <c r="S1642">
        <v>0</v>
      </c>
      <c r="W1642" s="3">
        <v>9.2592592592592585E-4</v>
      </c>
      <c r="X1642" t="s">
        <v>942</v>
      </c>
      <c r="Y1642">
        <v>5</v>
      </c>
      <c r="Z1642">
        <v>0</v>
      </c>
      <c r="AA1642" t="s">
        <v>49</v>
      </c>
      <c r="AB1642">
        <v>0</v>
      </c>
      <c r="AC1642" t="s">
        <v>49</v>
      </c>
      <c r="AD1642">
        <v>0</v>
      </c>
      <c r="AE1642">
        <v>10748486</v>
      </c>
      <c r="AF1642" t="s">
        <v>50</v>
      </c>
      <c r="AG1642" t="s">
        <v>1536</v>
      </c>
    </row>
    <row r="1643" spans="1:33" x14ac:dyDescent="0.35">
      <c r="A1643" s="1">
        <v>44865.512499999997</v>
      </c>
      <c r="B1643">
        <v>1710572</v>
      </c>
      <c r="C1643" t="s">
        <v>3660</v>
      </c>
      <c r="D1643" t="s">
        <v>76</v>
      </c>
      <c r="E1643" s="2">
        <v>38296</v>
      </c>
      <c r="F1643" t="str">
        <f>"9781317876502"</f>
        <v>9781317876502</v>
      </c>
      <c r="G1643" t="str">
        <f>"9780582414310"</f>
        <v>9780582414310</v>
      </c>
      <c r="H1643" t="s">
        <v>1540</v>
      </c>
      <c r="I1643" t="s">
        <v>3661</v>
      </c>
      <c r="J1643" t="s">
        <v>3662</v>
      </c>
      <c r="K1643" t="s">
        <v>44</v>
      </c>
      <c r="N1643" t="s">
        <v>45</v>
      </c>
      <c r="O1643" t="s">
        <v>46</v>
      </c>
      <c r="P1643" t="s">
        <v>45</v>
      </c>
      <c r="Q1643" t="s">
        <v>47</v>
      </c>
      <c r="R1643" t="s">
        <v>44</v>
      </c>
      <c r="S1643">
        <v>0</v>
      </c>
      <c r="W1643" s="3">
        <v>1.7939814814814815E-3</v>
      </c>
      <c r="X1643" t="s">
        <v>1143</v>
      </c>
      <c r="Y1643">
        <v>7</v>
      </c>
      <c r="Z1643">
        <v>0</v>
      </c>
      <c r="AA1643" t="s">
        <v>49</v>
      </c>
      <c r="AB1643">
        <v>0</v>
      </c>
      <c r="AC1643" t="s">
        <v>49</v>
      </c>
      <c r="AD1643">
        <v>0</v>
      </c>
      <c r="AE1643">
        <v>10884122</v>
      </c>
      <c r="AF1643" t="s">
        <v>50</v>
      </c>
      <c r="AG1643" t="s">
        <v>1536</v>
      </c>
    </row>
    <row r="1644" spans="1:33" x14ac:dyDescent="0.35">
      <c r="A1644" s="1">
        <v>44865.490972222222</v>
      </c>
      <c r="B1644">
        <v>5755748</v>
      </c>
      <c r="C1644" t="s">
        <v>3594</v>
      </c>
      <c r="D1644" t="s">
        <v>76</v>
      </c>
      <c r="E1644" s="2">
        <v>43587</v>
      </c>
      <c r="F1644" t="str">
        <f>"9781498742702"</f>
        <v>9781498742702</v>
      </c>
      <c r="G1644" t="str">
        <f>"9781498742696"</f>
        <v>9781498742696</v>
      </c>
      <c r="H1644" t="s">
        <v>546</v>
      </c>
      <c r="I1644">
        <v>621.3827</v>
      </c>
      <c r="J1644" t="s">
        <v>3595</v>
      </c>
      <c r="K1644" t="s">
        <v>55</v>
      </c>
      <c r="Q1644" t="s">
        <v>47</v>
      </c>
      <c r="R1644" t="s">
        <v>44</v>
      </c>
      <c r="S1644">
        <v>0</v>
      </c>
      <c r="W1644" s="3">
        <v>1.1574074074074073E-5</v>
      </c>
      <c r="X1644" t="s">
        <v>49</v>
      </c>
      <c r="Y1644">
        <v>0</v>
      </c>
      <c r="Z1644">
        <v>0</v>
      </c>
      <c r="AA1644" t="s">
        <v>49</v>
      </c>
      <c r="AB1644">
        <v>0</v>
      </c>
      <c r="AC1644" t="s">
        <v>49</v>
      </c>
      <c r="AD1644">
        <v>0</v>
      </c>
      <c r="AE1644">
        <v>-1</v>
      </c>
      <c r="AF1644" t="s">
        <v>63</v>
      </c>
      <c r="AG1644" t="s">
        <v>1536</v>
      </c>
    </row>
    <row r="1645" spans="1:33" x14ac:dyDescent="0.35">
      <c r="A1645" s="1">
        <v>44865.46597222222</v>
      </c>
      <c r="B1645">
        <v>6820492</v>
      </c>
      <c r="C1645" t="s">
        <v>3663</v>
      </c>
      <c r="D1645" t="s">
        <v>65</v>
      </c>
      <c r="E1645" s="2">
        <v>44536</v>
      </c>
      <c r="F1645" t="str">
        <f>"9780323903769"</f>
        <v>9780323903769</v>
      </c>
      <c r="G1645" t="str">
        <f>"9780323899291"</f>
        <v>9780323899291</v>
      </c>
      <c r="H1645" t="s">
        <v>1112</v>
      </c>
      <c r="I1645">
        <v>664</v>
      </c>
      <c r="J1645" t="s">
        <v>3664</v>
      </c>
      <c r="K1645" t="s">
        <v>55</v>
      </c>
      <c r="Q1645" t="s">
        <v>47</v>
      </c>
      <c r="R1645" t="s">
        <v>44</v>
      </c>
      <c r="S1645">
        <v>0</v>
      </c>
      <c r="W1645" s="3">
        <v>7.6388888888888893E-4</v>
      </c>
      <c r="X1645" t="s">
        <v>3665</v>
      </c>
      <c r="Y1645">
        <v>8</v>
      </c>
      <c r="Z1645">
        <v>0</v>
      </c>
      <c r="AA1645" t="s">
        <v>49</v>
      </c>
      <c r="AB1645">
        <v>0</v>
      </c>
      <c r="AC1645" t="s">
        <v>49</v>
      </c>
      <c r="AD1645">
        <v>0</v>
      </c>
      <c r="AE1645">
        <v>-1</v>
      </c>
      <c r="AF1645" t="s">
        <v>50</v>
      </c>
      <c r="AG1645" t="s">
        <v>3666</v>
      </c>
    </row>
    <row r="1646" spans="1:33" x14ac:dyDescent="0.35">
      <c r="A1646" s="1">
        <v>44865.463194444441</v>
      </c>
      <c r="B1646">
        <v>6224567</v>
      </c>
      <c r="C1646" t="s">
        <v>3667</v>
      </c>
      <c r="D1646" t="s">
        <v>2709</v>
      </c>
      <c r="E1646" s="2">
        <v>43962</v>
      </c>
      <c r="F1646" t="str">
        <f>"9780271088372"</f>
        <v>9780271088372</v>
      </c>
      <c r="G1646" t="str">
        <f>"9780271087030"</f>
        <v>9780271087030</v>
      </c>
      <c r="H1646" t="s">
        <v>3476</v>
      </c>
      <c r="K1646" t="s">
        <v>55</v>
      </c>
      <c r="Q1646" t="s">
        <v>47</v>
      </c>
      <c r="R1646" t="s">
        <v>44</v>
      </c>
      <c r="S1646">
        <v>0</v>
      </c>
      <c r="W1646" s="3">
        <v>1.6550925925925926E-3</v>
      </c>
      <c r="X1646" t="s">
        <v>3668</v>
      </c>
      <c r="Y1646">
        <v>20</v>
      </c>
      <c r="Z1646">
        <v>0</v>
      </c>
      <c r="AA1646" t="s">
        <v>49</v>
      </c>
      <c r="AB1646">
        <v>0</v>
      </c>
      <c r="AC1646" t="s">
        <v>49</v>
      </c>
      <c r="AD1646">
        <v>0</v>
      </c>
      <c r="AE1646">
        <v>-1</v>
      </c>
      <c r="AF1646" t="s">
        <v>50</v>
      </c>
      <c r="AG1646" t="s">
        <v>493</v>
      </c>
    </row>
    <row r="1647" spans="1:33" x14ac:dyDescent="0.35">
      <c r="A1647" s="1">
        <v>44865.45416666667</v>
      </c>
      <c r="B1647">
        <v>1710572</v>
      </c>
      <c r="C1647" t="s">
        <v>3660</v>
      </c>
      <c r="D1647" t="s">
        <v>76</v>
      </c>
      <c r="E1647" s="2">
        <v>38296</v>
      </c>
      <c r="F1647" t="str">
        <f>"9781317876502"</f>
        <v>9781317876502</v>
      </c>
      <c r="G1647" t="str">
        <f>"9780582414310"</f>
        <v>9780582414310</v>
      </c>
      <c r="H1647" t="s">
        <v>1540</v>
      </c>
      <c r="I1647" t="s">
        <v>3661</v>
      </c>
      <c r="J1647" t="s">
        <v>3662</v>
      </c>
      <c r="K1647" t="s">
        <v>44</v>
      </c>
      <c r="N1647" t="s">
        <v>45</v>
      </c>
      <c r="O1647" t="s">
        <v>46</v>
      </c>
      <c r="P1647" t="s">
        <v>45</v>
      </c>
      <c r="Q1647" t="s">
        <v>47</v>
      </c>
      <c r="R1647" t="s">
        <v>44</v>
      </c>
      <c r="S1647">
        <v>0</v>
      </c>
      <c r="W1647" s="3">
        <v>1.834490740740741E-2</v>
      </c>
      <c r="X1647" t="s">
        <v>3669</v>
      </c>
      <c r="Y1647">
        <v>25</v>
      </c>
      <c r="Z1647">
        <v>0</v>
      </c>
      <c r="AA1647" t="s">
        <v>49</v>
      </c>
      <c r="AB1647">
        <v>0</v>
      </c>
      <c r="AC1647" t="s">
        <v>49</v>
      </c>
      <c r="AD1647">
        <v>0</v>
      </c>
      <c r="AE1647">
        <v>10884122</v>
      </c>
      <c r="AF1647" t="s">
        <v>50</v>
      </c>
      <c r="AG1647" t="s">
        <v>1536</v>
      </c>
    </row>
    <row r="1648" spans="1:33" x14ac:dyDescent="0.35">
      <c r="A1648" s="1">
        <v>44865.45416666667</v>
      </c>
      <c r="B1648">
        <v>3442097</v>
      </c>
      <c r="C1648" t="s">
        <v>3659</v>
      </c>
      <c r="D1648" t="s">
        <v>1068</v>
      </c>
      <c r="E1648" s="2">
        <v>40052</v>
      </c>
      <c r="F1648" t="str">
        <f>"9780812200003"</f>
        <v>9780812200003</v>
      </c>
      <c r="G1648" t="str">
        <f>"9780812220896"</f>
        <v>9780812220896</v>
      </c>
      <c r="H1648" t="s">
        <v>419</v>
      </c>
      <c r="I1648">
        <v>323.09199999999998</v>
      </c>
      <c r="K1648" t="s">
        <v>44</v>
      </c>
      <c r="N1648" t="s">
        <v>45</v>
      </c>
      <c r="O1648" t="s">
        <v>46</v>
      </c>
      <c r="P1648" t="s">
        <v>45</v>
      </c>
      <c r="Q1648" t="s">
        <v>47</v>
      </c>
      <c r="R1648" t="s">
        <v>44</v>
      </c>
      <c r="S1648">
        <v>0</v>
      </c>
      <c r="W1648" s="3">
        <v>2.7731481481481478E-2</v>
      </c>
      <c r="X1648" t="s">
        <v>3670</v>
      </c>
      <c r="Y1648">
        <v>43</v>
      </c>
      <c r="Z1648">
        <v>0</v>
      </c>
      <c r="AA1648" t="s">
        <v>49</v>
      </c>
      <c r="AB1648">
        <v>0</v>
      </c>
      <c r="AC1648" t="s">
        <v>49</v>
      </c>
      <c r="AD1648">
        <v>0</v>
      </c>
      <c r="AE1648">
        <v>10748486</v>
      </c>
      <c r="AF1648" t="s">
        <v>50</v>
      </c>
      <c r="AG1648" t="s">
        <v>1536</v>
      </c>
    </row>
    <row r="1649" spans="1:33" x14ac:dyDescent="0.35">
      <c r="A1649" s="1">
        <v>44865.445138888892</v>
      </c>
      <c r="B1649">
        <v>279494</v>
      </c>
      <c r="C1649" t="s">
        <v>1333</v>
      </c>
      <c r="D1649" t="s">
        <v>125</v>
      </c>
      <c r="E1649" s="2">
        <v>37280</v>
      </c>
      <c r="F1649" t="str">
        <f>"9780198032953"</f>
        <v>9780198032953</v>
      </c>
      <c r="G1649" t="str">
        <f>"9780195144208"</f>
        <v>9780195144208</v>
      </c>
      <c r="H1649" t="s">
        <v>667</v>
      </c>
      <c r="I1649" t="s">
        <v>1334</v>
      </c>
      <c r="J1649" t="s">
        <v>1335</v>
      </c>
      <c r="K1649" t="s">
        <v>44</v>
      </c>
      <c r="N1649" t="s">
        <v>45</v>
      </c>
      <c r="O1649" t="s">
        <v>46</v>
      </c>
      <c r="P1649" t="s">
        <v>45</v>
      </c>
      <c r="Q1649" t="s">
        <v>47</v>
      </c>
      <c r="R1649" t="s">
        <v>44</v>
      </c>
      <c r="S1649">
        <v>0</v>
      </c>
      <c r="W1649" s="3">
        <v>0</v>
      </c>
      <c r="X1649" t="s">
        <v>49</v>
      </c>
      <c r="Y1649">
        <v>0</v>
      </c>
      <c r="Z1649">
        <v>3</v>
      </c>
      <c r="AA1649" t="s">
        <v>3671</v>
      </c>
      <c r="AB1649">
        <v>50</v>
      </c>
      <c r="AC1649" t="s">
        <v>49</v>
      </c>
      <c r="AD1649">
        <v>0</v>
      </c>
      <c r="AE1649">
        <v>11303309</v>
      </c>
      <c r="AF1649" t="s">
        <v>50</v>
      </c>
      <c r="AG1649" t="s">
        <v>2368</v>
      </c>
    </row>
    <row r="1650" spans="1:33" x14ac:dyDescent="0.35">
      <c r="A1650" s="1">
        <v>44865.438888888886</v>
      </c>
      <c r="B1650">
        <v>1936943</v>
      </c>
      <c r="C1650" t="s">
        <v>3672</v>
      </c>
      <c r="D1650" t="s">
        <v>125</v>
      </c>
      <c r="E1650" s="2">
        <v>42090</v>
      </c>
      <c r="F1650" t="str">
        <f>"9780199832422"</f>
        <v>9780199832422</v>
      </c>
      <c r="G1650" t="str">
        <f>"9780199832415"</f>
        <v>9780199832415</v>
      </c>
      <c r="H1650" t="s">
        <v>3673</v>
      </c>
      <c r="I1650">
        <v>571.15300000000002</v>
      </c>
      <c r="J1650" t="s">
        <v>3674</v>
      </c>
      <c r="K1650" t="s">
        <v>44</v>
      </c>
      <c r="N1650" t="s">
        <v>45</v>
      </c>
      <c r="O1650" t="s">
        <v>46</v>
      </c>
      <c r="P1650" t="s">
        <v>45</v>
      </c>
      <c r="Q1650" t="s">
        <v>47</v>
      </c>
      <c r="R1650" t="s">
        <v>44</v>
      </c>
      <c r="S1650">
        <v>0</v>
      </c>
      <c r="W1650" s="3">
        <v>6.4814814814814813E-4</v>
      </c>
      <c r="X1650" t="s">
        <v>3675</v>
      </c>
      <c r="Y1650">
        <v>5</v>
      </c>
      <c r="Z1650">
        <v>0</v>
      </c>
      <c r="AA1650" t="s">
        <v>49</v>
      </c>
      <c r="AB1650">
        <v>0</v>
      </c>
      <c r="AC1650" t="s">
        <v>49</v>
      </c>
      <c r="AD1650">
        <v>0</v>
      </c>
      <c r="AE1650">
        <v>11199486</v>
      </c>
      <c r="AF1650" t="s">
        <v>50</v>
      </c>
      <c r="AG1650" t="s">
        <v>388</v>
      </c>
    </row>
    <row r="1651" spans="1:33" x14ac:dyDescent="0.35">
      <c r="A1651" s="1">
        <v>44865.425000000003</v>
      </c>
      <c r="B1651">
        <v>3011213</v>
      </c>
      <c r="C1651" t="s">
        <v>3676</v>
      </c>
      <c r="D1651" t="s">
        <v>3677</v>
      </c>
      <c r="E1651" s="2">
        <v>39417</v>
      </c>
      <c r="F1651" t="str">
        <f>"9781642875614"</f>
        <v>9781642875614</v>
      </c>
      <c r="G1651" t="str">
        <f>"9788183185493"</f>
        <v>9788183185493</v>
      </c>
      <c r="H1651" t="s">
        <v>214</v>
      </c>
      <c r="J1651" t="s">
        <v>3678</v>
      </c>
      <c r="K1651" t="s">
        <v>44</v>
      </c>
      <c r="N1651" t="s">
        <v>45</v>
      </c>
      <c r="O1651" t="s">
        <v>46</v>
      </c>
      <c r="P1651" t="s">
        <v>45</v>
      </c>
      <c r="Q1651" t="s">
        <v>47</v>
      </c>
      <c r="R1651" t="s">
        <v>44</v>
      </c>
      <c r="S1651">
        <v>0</v>
      </c>
      <c r="W1651" s="3">
        <v>1.2037037037037035E-2</v>
      </c>
      <c r="X1651" t="s">
        <v>3679</v>
      </c>
      <c r="Y1651">
        <v>32</v>
      </c>
      <c r="Z1651">
        <v>0</v>
      </c>
      <c r="AA1651" t="s">
        <v>49</v>
      </c>
      <c r="AB1651">
        <v>0</v>
      </c>
      <c r="AC1651" t="s">
        <v>49</v>
      </c>
      <c r="AD1651">
        <v>0</v>
      </c>
      <c r="AE1651">
        <v>10415487</v>
      </c>
      <c r="AF1651" t="s">
        <v>50</v>
      </c>
      <c r="AG1651" t="s">
        <v>388</v>
      </c>
    </row>
    <row r="1652" spans="1:33" x14ac:dyDescent="0.35">
      <c r="A1652" s="1">
        <v>44865.415277777778</v>
      </c>
      <c r="B1652">
        <v>1092633</v>
      </c>
      <c r="C1652" t="s">
        <v>3680</v>
      </c>
      <c r="D1652" t="s">
        <v>769</v>
      </c>
      <c r="E1652" s="2">
        <v>41080</v>
      </c>
      <c r="F1652" t="str">
        <f>"9781136160349"</f>
        <v>9781136160349</v>
      </c>
      <c r="G1652" t="str">
        <f>"9780415693141"</f>
        <v>9780415693141</v>
      </c>
      <c r="H1652" t="s">
        <v>66</v>
      </c>
      <c r="I1652">
        <v>576.5</v>
      </c>
      <c r="J1652" t="s">
        <v>3681</v>
      </c>
      <c r="K1652" t="s">
        <v>44</v>
      </c>
      <c r="N1652" t="s">
        <v>45</v>
      </c>
      <c r="O1652" t="s">
        <v>46</v>
      </c>
      <c r="P1652" t="s">
        <v>45</v>
      </c>
      <c r="Q1652" t="s">
        <v>47</v>
      </c>
      <c r="R1652" t="s">
        <v>44</v>
      </c>
      <c r="S1652">
        <v>0</v>
      </c>
      <c r="W1652" s="3">
        <v>8.2407407407407412E-3</v>
      </c>
      <c r="X1652" t="s">
        <v>3682</v>
      </c>
      <c r="Y1652">
        <v>16</v>
      </c>
      <c r="Z1652">
        <v>0</v>
      </c>
      <c r="AA1652" t="s">
        <v>49</v>
      </c>
      <c r="AB1652">
        <v>0</v>
      </c>
      <c r="AC1652" t="s">
        <v>49</v>
      </c>
      <c r="AD1652">
        <v>0</v>
      </c>
      <c r="AE1652">
        <v>11165300</v>
      </c>
      <c r="AF1652" t="s">
        <v>50</v>
      </c>
      <c r="AG1652" t="s">
        <v>388</v>
      </c>
    </row>
    <row r="1653" spans="1:33" x14ac:dyDescent="0.35">
      <c r="A1653" s="1">
        <v>44865.39166666667</v>
      </c>
      <c r="B1653">
        <v>6229900</v>
      </c>
      <c r="C1653" t="s">
        <v>3683</v>
      </c>
      <c r="D1653" t="s">
        <v>213</v>
      </c>
      <c r="E1653" s="2">
        <v>43998</v>
      </c>
      <c r="F1653" t="str">
        <f>"9780444641359"</f>
        <v>9780444641359</v>
      </c>
      <c r="G1653" t="str">
        <f>"9780444641342"</f>
        <v>9780444641342</v>
      </c>
      <c r="H1653" t="s">
        <v>1626</v>
      </c>
      <c r="I1653">
        <v>551.13599999999997</v>
      </c>
      <c r="J1653" t="s">
        <v>3684</v>
      </c>
      <c r="K1653" t="s">
        <v>55</v>
      </c>
      <c r="Q1653" t="s">
        <v>47</v>
      </c>
      <c r="R1653" t="s">
        <v>44</v>
      </c>
      <c r="S1653">
        <v>0</v>
      </c>
      <c r="W1653" s="3">
        <v>1.0416666666666667E-3</v>
      </c>
      <c r="X1653" t="s">
        <v>3685</v>
      </c>
      <c r="Y1653">
        <v>6</v>
      </c>
      <c r="Z1653">
        <v>0</v>
      </c>
      <c r="AA1653" t="s">
        <v>49</v>
      </c>
      <c r="AB1653">
        <v>0</v>
      </c>
      <c r="AC1653" t="s">
        <v>49</v>
      </c>
      <c r="AD1653">
        <v>0</v>
      </c>
      <c r="AE1653">
        <v>-1</v>
      </c>
      <c r="AF1653" t="s">
        <v>63</v>
      </c>
      <c r="AG1653" t="s">
        <v>1536</v>
      </c>
    </row>
    <row r="1654" spans="1:33" x14ac:dyDescent="0.35">
      <c r="A1654" s="1">
        <v>44865.144444444442</v>
      </c>
      <c r="B1654">
        <v>6508498</v>
      </c>
      <c r="C1654" t="s">
        <v>2562</v>
      </c>
      <c r="D1654" t="s">
        <v>137</v>
      </c>
      <c r="E1654" s="2">
        <v>44272</v>
      </c>
      <c r="F1654" t="str">
        <f>"9781536193022"</f>
        <v>9781536193022</v>
      </c>
      <c r="G1654" t="str">
        <f>"9781536191837"</f>
        <v>9781536191837</v>
      </c>
      <c r="H1654" t="s">
        <v>1256</v>
      </c>
      <c r="I1654">
        <v>620.11292000000003</v>
      </c>
      <c r="J1654" t="s">
        <v>2563</v>
      </c>
      <c r="K1654" t="s">
        <v>55</v>
      </c>
      <c r="Q1654" t="s">
        <v>47</v>
      </c>
      <c r="R1654" t="s">
        <v>44</v>
      </c>
      <c r="S1654">
        <v>0</v>
      </c>
      <c r="W1654" s="3">
        <v>2.7430555555555559E-3</v>
      </c>
      <c r="X1654" t="s">
        <v>3686</v>
      </c>
      <c r="Y1654">
        <v>11</v>
      </c>
      <c r="Z1654">
        <v>0</v>
      </c>
      <c r="AA1654" t="s">
        <v>49</v>
      </c>
      <c r="AB1654">
        <v>0</v>
      </c>
      <c r="AC1654" t="s">
        <v>49</v>
      </c>
      <c r="AD1654">
        <v>0</v>
      </c>
      <c r="AE1654">
        <v>-1</v>
      </c>
      <c r="AF1654" t="s">
        <v>63</v>
      </c>
      <c r="AG1654" t="s">
        <v>1536</v>
      </c>
    </row>
    <row r="1655" spans="1:33" x14ac:dyDescent="0.35">
      <c r="A1655" s="1">
        <v>44865.134722222225</v>
      </c>
      <c r="B1655">
        <v>6456161</v>
      </c>
      <c r="C1655" t="s">
        <v>2093</v>
      </c>
      <c r="D1655" t="s">
        <v>65</v>
      </c>
      <c r="E1655" s="2">
        <v>44211</v>
      </c>
      <c r="F1655" t="str">
        <f>"9780128192672"</f>
        <v>9780128192672</v>
      </c>
      <c r="G1655" t="str">
        <f>"9780128192641"</f>
        <v>9780128192641</v>
      </c>
      <c r="H1655" t="s">
        <v>1256</v>
      </c>
      <c r="I1655">
        <v>620.16499999999996</v>
      </c>
      <c r="J1655" t="s">
        <v>2094</v>
      </c>
      <c r="K1655" t="s">
        <v>55</v>
      </c>
      <c r="Q1655" t="s">
        <v>47</v>
      </c>
      <c r="R1655" t="s">
        <v>44</v>
      </c>
      <c r="S1655">
        <v>0</v>
      </c>
      <c r="W1655" s="3">
        <v>4.31712962962963E-3</v>
      </c>
      <c r="X1655" t="s">
        <v>3687</v>
      </c>
      <c r="Y1655">
        <v>37</v>
      </c>
      <c r="Z1655">
        <v>0</v>
      </c>
      <c r="AA1655" t="s">
        <v>49</v>
      </c>
      <c r="AB1655">
        <v>0</v>
      </c>
      <c r="AC1655" t="s">
        <v>49</v>
      </c>
      <c r="AD1655">
        <v>0</v>
      </c>
      <c r="AE1655">
        <v>-1</v>
      </c>
      <c r="AF1655" t="s">
        <v>63</v>
      </c>
      <c r="AG1655" t="s">
        <v>1536</v>
      </c>
    </row>
    <row r="1656" spans="1:33" x14ac:dyDescent="0.35">
      <c r="A1656" s="1">
        <v>44865.120138888888</v>
      </c>
      <c r="B1656">
        <v>3339140</v>
      </c>
      <c r="C1656" t="s">
        <v>3688</v>
      </c>
      <c r="D1656" t="s">
        <v>303</v>
      </c>
      <c r="E1656" s="2">
        <v>38492</v>
      </c>
      <c r="F1656" t="str">
        <f>"9780262255912"</f>
        <v>9780262255912</v>
      </c>
      <c r="G1656" t="str">
        <f>"9780262033275"</f>
        <v>9780262033275</v>
      </c>
      <c r="H1656" t="s">
        <v>538</v>
      </c>
      <c r="I1656">
        <v>629.89200000000005</v>
      </c>
      <c r="J1656" t="s">
        <v>3689</v>
      </c>
      <c r="K1656" t="s">
        <v>44</v>
      </c>
      <c r="N1656" t="s">
        <v>45</v>
      </c>
      <c r="O1656" t="s">
        <v>46</v>
      </c>
      <c r="P1656" t="s">
        <v>45</v>
      </c>
      <c r="Q1656" t="s">
        <v>47</v>
      </c>
      <c r="R1656" t="s">
        <v>44</v>
      </c>
      <c r="S1656">
        <v>0</v>
      </c>
      <c r="W1656" s="3">
        <v>4.6296296296296294E-5</v>
      </c>
      <c r="X1656" t="s">
        <v>3690</v>
      </c>
      <c r="Y1656">
        <v>2</v>
      </c>
      <c r="Z1656">
        <v>0</v>
      </c>
      <c r="AA1656" t="s">
        <v>49</v>
      </c>
      <c r="AB1656">
        <v>0</v>
      </c>
      <c r="AC1656" t="s">
        <v>49</v>
      </c>
      <c r="AD1656">
        <v>0</v>
      </c>
      <c r="AE1656">
        <v>10397650</v>
      </c>
      <c r="AF1656" t="s">
        <v>50</v>
      </c>
      <c r="AG1656" t="s">
        <v>388</v>
      </c>
    </row>
    <row r="1657" spans="1:33" x14ac:dyDescent="0.35">
      <c r="A1657" s="1">
        <v>44865.094444444447</v>
      </c>
      <c r="B1657">
        <v>6202024</v>
      </c>
      <c r="C1657" t="s">
        <v>3691</v>
      </c>
      <c r="D1657" t="s">
        <v>76</v>
      </c>
      <c r="E1657" s="2">
        <v>43984</v>
      </c>
      <c r="F1657" t="str">
        <f>"9781000063189"</f>
        <v>9781000063189</v>
      </c>
      <c r="G1657" t="str">
        <f>"9780367481681"</f>
        <v>9780367481681</v>
      </c>
      <c r="H1657" t="s">
        <v>290</v>
      </c>
      <c r="I1657" t="s">
        <v>291</v>
      </c>
      <c r="J1657" t="s">
        <v>3692</v>
      </c>
      <c r="K1657" t="s">
        <v>55</v>
      </c>
      <c r="Q1657" t="s">
        <v>47</v>
      </c>
      <c r="R1657" t="s">
        <v>44</v>
      </c>
      <c r="S1657">
        <v>0</v>
      </c>
      <c r="W1657" s="3">
        <v>6.134259259259259E-4</v>
      </c>
      <c r="X1657" t="s">
        <v>3693</v>
      </c>
      <c r="Y1657">
        <v>8</v>
      </c>
      <c r="Z1657">
        <v>0</v>
      </c>
      <c r="AA1657" t="s">
        <v>49</v>
      </c>
      <c r="AB1657">
        <v>0</v>
      </c>
      <c r="AC1657" t="s">
        <v>49</v>
      </c>
      <c r="AD1657">
        <v>0</v>
      </c>
      <c r="AE1657">
        <v>-1</v>
      </c>
      <c r="AF1657" t="s">
        <v>50</v>
      </c>
      <c r="AG1657" t="s">
        <v>3507</v>
      </c>
    </row>
    <row r="1658" spans="1:33" x14ac:dyDescent="0.35">
      <c r="A1658" s="1">
        <v>44865.083333333336</v>
      </c>
      <c r="B1658">
        <v>967997</v>
      </c>
      <c r="C1658" t="s">
        <v>2506</v>
      </c>
      <c r="D1658" t="s">
        <v>76</v>
      </c>
      <c r="E1658" s="2">
        <v>41110</v>
      </c>
      <c r="F1658" t="str">
        <f>"9781439854013"</f>
        <v>9781439854013</v>
      </c>
      <c r="G1658" t="str">
        <f>"9781439854006"</f>
        <v>9781439854006</v>
      </c>
      <c r="H1658" t="s">
        <v>261</v>
      </c>
      <c r="I1658">
        <v>628.1</v>
      </c>
      <c r="J1658" t="s">
        <v>2507</v>
      </c>
      <c r="K1658" t="s">
        <v>44</v>
      </c>
      <c r="N1658" t="s">
        <v>45</v>
      </c>
      <c r="O1658" t="s">
        <v>46</v>
      </c>
      <c r="P1658" t="s">
        <v>45</v>
      </c>
      <c r="Q1658" t="s">
        <v>47</v>
      </c>
      <c r="R1658" t="s">
        <v>44</v>
      </c>
      <c r="S1658">
        <v>0</v>
      </c>
      <c r="W1658" s="3">
        <v>1.261574074074074E-3</v>
      </c>
      <c r="X1658" t="s">
        <v>3694</v>
      </c>
      <c r="Y1658">
        <v>13</v>
      </c>
      <c r="Z1658">
        <v>0</v>
      </c>
      <c r="AA1658" t="s">
        <v>49</v>
      </c>
      <c r="AB1658">
        <v>0</v>
      </c>
      <c r="AC1658" t="s">
        <v>49</v>
      </c>
      <c r="AD1658">
        <v>0</v>
      </c>
      <c r="AE1658">
        <v>10579679</v>
      </c>
      <c r="AF1658" t="s">
        <v>50</v>
      </c>
      <c r="AG1658" t="s">
        <v>3507</v>
      </c>
    </row>
    <row r="1659" spans="1:33" x14ac:dyDescent="0.35">
      <c r="A1659" s="1">
        <v>44865.002083333333</v>
      </c>
      <c r="B1659">
        <v>3339140</v>
      </c>
      <c r="C1659" t="s">
        <v>3688</v>
      </c>
      <c r="D1659" t="s">
        <v>303</v>
      </c>
      <c r="E1659" s="2">
        <v>38492</v>
      </c>
      <c r="F1659" t="str">
        <f>"9780262255912"</f>
        <v>9780262255912</v>
      </c>
      <c r="G1659" t="str">
        <f>"9780262033275"</f>
        <v>9780262033275</v>
      </c>
      <c r="H1659" t="s">
        <v>538</v>
      </c>
      <c r="I1659">
        <v>629.89200000000005</v>
      </c>
      <c r="J1659" t="s">
        <v>3689</v>
      </c>
      <c r="K1659" t="s">
        <v>44</v>
      </c>
      <c r="N1659" t="s">
        <v>45</v>
      </c>
      <c r="O1659" t="s">
        <v>46</v>
      </c>
      <c r="P1659" t="s">
        <v>45</v>
      </c>
      <c r="Q1659" t="s">
        <v>47</v>
      </c>
      <c r="R1659" t="s">
        <v>44</v>
      </c>
      <c r="S1659">
        <v>1</v>
      </c>
      <c r="W1659" s="3">
        <v>0</v>
      </c>
      <c r="X1659" t="s">
        <v>49</v>
      </c>
      <c r="Y1659">
        <v>0</v>
      </c>
      <c r="Z1659">
        <v>0</v>
      </c>
      <c r="AA1659" t="s">
        <v>49</v>
      </c>
      <c r="AB1659">
        <v>0</v>
      </c>
      <c r="AC1659" t="s">
        <v>49</v>
      </c>
      <c r="AD1659">
        <v>0</v>
      </c>
      <c r="AE1659">
        <v>10397650</v>
      </c>
      <c r="AF1659" t="s">
        <v>63</v>
      </c>
      <c r="AG1659" t="s">
        <v>388</v>
      </c>
    </row>
    <row r="1660" spans="1:33" x14ac:dyDescent="0.35">
      <c r="A1660" s="1">
        <v>44865</v>
      </c>
      <c r="B1660">
        <v>3339140</v>
      </c>
      <c r="C1660" t="s">
        <v>3688</v>
      </c>
      <c r="D1660" t="s">
        <v>303</v>
      </c>
      <c r="E1660" s="2">
        <v>38492</v>
      </c>
      <c r="F1660" t="str">
        <f>"9780262255912"</f>
        <v>9780262255912</v>
      </c>
      <c r="G1660" t="str">
        <f>"9780262033275"</f>
        <v>9780262033275</v>
      </c>
      <c r="H1660" t="s">
        <v>538</v>
      </c>
      <c r="I1660">
        <v>629.89200000000005</v>
      </c>
      <c r="J1660" t="s">
        <v>3689</v>
      </c>
      <c r="K1660" t="s">
        <v>44</v>
      </c>
      <c r="N1660" t="s">
        <v>45</v>
      </c>
      <c r="O1660" t="s">
        <v>46</v>
      </c>
      <c r="P1660" t="s">
        <v>45</v>
      </c>
      <c r="Q1660" t="s">
        <v>47</v>
      </c>
      <c r="R1660" t="s">
        <v>44</v>
      </c>
      <c r="S1660">
        <v>0</v>
      </c>
      <c r="W1660" s="3">
        <v>1.4120370370370369E-3</v>
      </c>
      <c r="X1660" t="s">
        <v>113</v>
      </c>
      <c r="Y1660">
        <v>2</v>
      </c>
      <c r="Z1660">
        <v>3</v>
      </c>
      <c r="AA1660" t="s">
        <v>3695</v>
      </c>
      <c r="AB1660">
        <v>27</v>
      </c>
      <c r="AC1660" t="s">
        <v>49</v>
      </c>
      <c r="AD1660">
        <v>0</v>
      </c>
      <c r="AE1660">
        <v>10397650</v>
      </c>
      <c r="AF1660" t="s">
        <v>63</v>
      </c>
      <c r="AG1660" t="s">
        <v>388</v>
      </c>
    </row>
    <row r="1661" spans="1:33" x14ac:dyDescent="0.35">
      <c r="A1661" s="1">
        <v>44864.956250000003</v>
      </c>
      <c r="B1661">
        <v>1710572</v>
      </c>
      <c r="C1661" t="s">
        <v>3660</v>
      </c>
      <c r="D1661" t="s">
        <v>76</v>
      </c>
      <c r="E1661" s="2">
        <v>38296</v>
      </c>
      <c r="F1661" t="str">
        <f>"9781317876502"</f>
        <v>9781317876502</v>
      </c>
      <c r="G1661" t="str">
        <f>"9780582414310"</f>
        <v>9780582414310</v>
      </c>
      <c r="H1661" t="s">
        <v>1540</v>
      </c>
      <c r="I1661" t="s">
        <v>3661</v>
      </c>
      <c r="J1661" t="s">
        <v>3662</v>
      </c>
      <c r="K1661" t="s">
        <v>44</v>
      </c>
      <c r="N1661" t="s">
        <v>45</v>
      </c>
      <c r="O1661" t="s">
        <v>46</v>
      </c>
      <c r="P1661" t="s">
        <v>45</v>
      </c>
      <c r="Q1661" t="s">
        <v>47</v>
      </c>
      <c r="R1661" t="s">
        <v>44</v>
      </c>
      <c r="S1661">
        <v>0</v>
      </c>
      <c r="W1661" s="3">
        <v>1.6203703703703703E-4</v>
      </c>
      <c r="X1661" t="s">
        <v>3696</v>
      </c>
      <c r="Y1661">
        <v>4</v>
      </c>
      <c r="Z1661">
        <v>0</v>
      </c>
      <c r="AA1661" t="s">
        <v>49</v>
      </c>
      <c r="AB1661">
        <v>0</v>
      </c>
      <c r="AC1661" t="s">
        <v>49</v>
      </c>
      <c r="AD1661">
        <v>0</v>
      </c>
      <c r="AE1661">
        <v>10884122</v>
      </c>
      <c r="AF1661" t="s">
        <v>50</v>
      </c>
      <c r="AG1661" t="s">
        <v>1536</v>
      </c>
    </row>
    <row r="1662" spans="1:33" x14ac:dyDescent="0.35">
      <c r="A1662" s="1">
        <v>44864.956250000003</v>
      </c>
      <c r="B1662">
        <v>3442097</v>
      </c>
      <c r="C1662" t="s">
        <v>3659</v>
      </c>
      <c r="D1662" t="s">
        <v>1068</v>
      </c>
      <c r="E1662" s="2">
        <v>40052</v>
      </c>
      <c r="F1662" t="str">
        <f>"9780812200003"</f>
        <v>9780812200003</v>
      </c>
      <c r="G1662" t="str">
        <f>"9780812220896"</f>
        <v>9780812220896</v>
      </c>
      <c r="H1662" t="s">
        <v>419</v>
      </c>
      <c r="I1662">
        <v>323.09199999999998</v>
      </c>
      <c r="K1662" t="s">
        <v>44</v>
      </c>
      <c r="N1662" t="s">
        <v>45</v>
      </c>
      <c r="O1662" t="s">
        <v>46</v>
      </c>
      <c r="P1662" t="s">
        <v>45</v>
      </c>
      <c r="Q1662" t="s">
        <v>47</v>
      </c>
      <c r="R1662" t="s">
        <v>44</v>
      </c>
      <c r="S1662">
        <v>0</v>
      </c>
      <c r="W1662" s="3">
        <v>2.2303240740740738E-2</v>
      </c>
      <c r="X1662" t="s">
        <v>3697</v>
      </c>
      <c r="Y1662">
        <v>16</v>
      </c>
      <c r="Z1662">
        <v>0</v>
      </c>
      <c r="AA1662" t="s">
        <v>49</v>
      </c>
      <c r="AB1662">
        <v>0</v>
      </c>
      <c r="AC1662" t="s">
        <v>3698</v>
      </c>
      <c r="AD1662">
        <v>2</v>
      </c>
      <c r="AE1662">
        <v>10748486</v>
      </c>
      <c r="AF1662" t="s">
        <v>50</v>
      </c>
      <c r="AG1662" t="s">
        <v>1536</v>
      </c>
    </row>
    <row r="1663" spans="1:33" x14ac:dyDescent="0.35">
      <c r="A1663" s="1">
        <v>44864.938194444447</v>
      </c>
      <c r="B1663">
        <v>665565</v>
      </c>
      <c r="C1663" t="s">
        <v>2309</v>
      </c>
      <c r="D1663" t="s">
        <v>2125</v>
      </c>
      <c r="E1663" s="2">
        <v>40483</v>
      </c>
      <c r="F1663" t="str">
        <f>"9781439828151"</f>
        <v>9781439828151</v>
      </c>
      <c r="G1663" t="str">
        <f>"9781439828144"</f>
        <v>9781439828144</v>
      </c>
      <c r="H1663" t="s">
        <v>60</v>
      </c>
      <c r="I1663">
        <v>658.7</v>
      </c>
      <c r="J1663" t="s">
        <v>2310</v>
      </c>
      <c r="K1663" t="s">
        <v>44</v>
      </c>
      <c r="N1663" t="s">
        <v>45</v>
      </c>
      <c r="O1663" t="s">
        <v>46</v>
      </c>
      <c r="P1663" t="s">
        <v>45</v>
      </c>
      <c r="Q1663" t="s">
        <v>47</v>
      </c>
      <c r="R1663" t="s">
        <v>44</v>
      </c>
      <c r="S1663">
        <v>0</v>
      </c>
      <c r="W1663" s="3">
        <v>3.9351851851851852E-4</v>
      </c>
      <c r="X1663" t="s">
        <v>196</v>
      </c>
      <c r="Y1663">
        <v>2</v>
      </c>
      <c r="Z1663">
        <v>0</v>
      </c>
      <c r="AA1663" t="s">
        <v>49</v>
      </c>
      <c r="AB1663">
        <v>0</v>
      </c>
      <c r="AC1663" t="s">
        <v>49</v>
      </c>
      <c r="AD1663">
        <v>0</v>
      </c>
      <c r="AE1663">
        <v>10449865</v>
      </c>
      <c r="AF1663" t="s">
        <v>50</v>
      </c>
      <c r="AG1663" t="s">
        <v>388</v>
      </c>
    </row>
    <row r="1664" spans="1:33" x14ac:dyDescent="0.35">
      <c r="A1664" s="1">
        <v>44864.93472222222</v>
      </c>
      <c r="B1664">
        <v>6796385</v>
      </c>
      <c r="C1664" t="s">
        <v>3699</v>
      </c>
      <c r="D1664" t="s">
        <v>59</v>
      </c>
      <c r="E1664" s="2">
        <v>44539</v>
      </c>
      <c r="F1664" t="str">
        <f>"9781119810988"</f>
        <v>9781119810988</v>
      </c>
      <c r="G1664" t="str">
        <f>"9781119810964"</f>
        <v>9781119810964</v>
      </c>
      <c r="H1664" t="s">
        <v>3700</v>
      </c>
      <c r="I1664">
        <v>621.48299999999995</v>
      </c>
      <c r="J1664" t="s">
        <v>3701</v>
      </c>
      <c r="K1664" t="s">
        <v>55</v>
      </c>
      <c r="Q1664" t="s">
        <v>47</v>
      </c>
      <c r="R1664" t="s">
        <v>44</v>
      </c>
      <c r="S1664">
        <v>0</v>
      </c>
      <c r="W1664" s="3">
        <v>2.8472222222222219E-3</v>
      </c>
      <c r="X1664" t="s">
        <v>3702</v>
      </c>
      <c r="Y1664">
        <v>16</v>
      </c>
      <c r="Z1664">
        <v>0</v>
      </c>
      <c r="AA1664" t="s">
        <v>49</v>
      </c>
      <c r="AB1664">
        <v>0</v>
      </c>
      <c r="AC1664" t="s">
        <v>49</v>
      </c>
      <c r="AD1664">
        <v>0</v>
      </c>
      <c r="AE1664">
        <v>-1</v>
      </c>
      <c r="AF1664" t="s">
        <v>50</v>
      </c>
      <c r="AG1664" t="s">
        <v>1536</v>
      </c>
    </row>
    <row r="1665" spans="1:33" x14ac:dyDescent="0.35">
      <c r="A1665" s="1">
        <v>44864.933333333334</v>
      </c>
      <c r="B1665">
        <v>6624015</v>
      </c>
      <c r="C1665" t="s">
        <v>2410</v>
      </c>
      <c r="D1665" t="s">
        <v>65</v>
      </c>
      <c r="E1665" s="2">
        <v>44336</v>
      </c>
      <c r="F1665" t="str">
        <f>"9780128235980"</f>
        <v>9780128235980</v>
      </c>
      <c r="G1665" t="str">
        <f>"9780128235386"</f>
        <v>9780128235386</v>
      </c>
      <c r="H1665" t="s">
        <v>2223</v>
      </c>
      <c r="I1665">
        <v>333.79399999999998</v>
      </c>
      <c r="J1665" t="s">
        <v>2411</v>
      </c>
      <c r="K1665" t="s">
        <v>55</v>
      </c>
      <c r="N1665" t="s">
        <v>293</v>
      </c>
      <c r="P1665" t="s">
        <v>80</v>
      </c>
      <c r="Q1665" t="s">
        <v>47</v>
      </c>
      <c r="R1665" t="s">
        <v>44</v>
      </c>
      <c r="S1665">
        <v>0</v>
      </c>
      <c r="W1665" s="3">
        <v>1.5277777777777779E-3</v>
      </c>
      <c r="X1665" t="s">
        <v>3703</v>
      </c>
      <c r="Y1665">
        <v>14</v>
      </c>
      <c r="Z1665">
        <v>0</v>
      </c>
      <c r="AA1665" t="s">
        <v>49</v>
      </c>
      <c r="AB1665">
        <v>0</v>
      </c>
      <c r="AC1665" t="s">
        <v>49</v>
      </c>
      <c r="AD1665">
        <v>0</v>
      </c>
      <c r="AE1665">
        <v>-1</v>
      </c>
      <c r="AF1665" t="s">
        <v>50</v>
      </c>
      <c r="AG1665" t="s">
        <v>1536</v>
      </c>
    </row>
    <row r="1666" spans="1:33" x14ac:dyDescent="0.35">
      <c r="A1666" s="1">
        <v>44864.930555555555</v>
      </c>
      <c r="B1666">
        <v>6229908</v>
      </c>
      <c r="C1666" t="s">
        <v>3704</v>
      </c>
      <c r="D1666" t="s">
        <v>65</v>
      </c>
      <c r="E1666" s="2">
        <v>43998</v>
      </c>
      <c r="F1666" t="str">
        <f>"9780081026465"</f>
        <v>9780081026465</v>
      </c>
      <c r="G1666" t="str">
        <f>"9780081026298"</f>
        <v>9780081026298</v>
      </c>
      <c r="H1666" t="s">
        <v>116</v>
      </c>
      <c r="I1666">
        <v>662.88</v>
      </c>
      <c r="J1666" t="s">
        <v>3705</v>
      </c>
      <c r="K1666" t="s">
        <v>55</v>
      </c>
      <c r="Q1666" t="s">
        <v>47</v>
      </c>
      <c r="R1666" t="s">
        <v>44</v>
      </c>
      <c r="S1666">
        <v>0</v>
      </c>
      <c r="W1666" s="3">
        <v>3.4722222222222224E-4</v>
      </c>
      <c r="X1666" t="s">
        <v>3706</v>
      </c>
      <c r="Y1666">
        <v>7</v>
      </c>
      <c r="Z1666">
        <v>0</v>
      </c>
      <c r="AA1666" t="s">
        <v>49</v>
      </c>
      <c r="AB1666">
        <v>0</v>
      </c>
      <c r="AC1666" t="s">
        <v>49</v>
      </c>
      <c r="AD1666">
        <v>0</v>
      </c>
      <c r="AE1666">
        <v>-1</v>
      </c>
      <c r="AF1666" t="s">
        <v>50</v>
      </c>
      <c r="AG1666" t="s">
        <v>1536</v>
      </c>
    </row>
    <row r="1667" spans="1:33" x14ac:dyDescent="0.35">
      <c r="A1667" s="1">
        <v>44864.893055555556</v>
      </c>
      <c r="B1667">
        <v>3097892</v>
      </c>
      <c r="C1667" t="s">
        <v>3441</v>
      </c>
      <c r="D1667" t="s">
        <v>2271</v>
      </c>
      <c r="E1667" s="2">
        <v>35614</v>
      </c>
      <c r="F1667" t="str">
        <f>"9783662035016"</f>
        <v>9783662035016</v>
      </c>
      <c r="G1667" t="str">
        <f>"9783642082511"</f>
        <v>9783642082511</v>
      </c>
      <c r="H1667" t="s">
        <v>3442</v>
      </c>
      <c r="I1667" t="s">
        <v>3443</v>
      </c>
      <c r="J1667" t="s">
        <v>3444</v>
      </c>
      <c r="K1667" t="s">
        <v>44</v>
      </c>
      <c r="N1667" t="s">
        <v>45</v>
      </c>
      <c r="O1667" t="s">
        <v>46</v>
      </c>
      <c r="P1667" t="s">
        <v>45</v>
      </c>
      <c r="Q1667" t="s">
        <v>47</v>
      </c>
      <c r="R1667" t="s">
        <v>44</v>
      </c>
      <c r="S1667">
        <v>0</v>
      </c>
      <c r="W1667" s="3">
        <v>2.9930555555555557E-2</v>
      </c>
      <c r="X1667" t="s">
        <v>3707</v>
      </c>
      <c r="Y1667">
        <v>36</v>
      </c>
      <c r="Z1667">
        <v>0</v>
      </c>
      <c r="AA1667" t="s">
        <v>49</v>
      </c>
      <c r="AB1667">
        <v>0</v>
      </c>
      <c r="AC1667" t="s">
        <v>49</v>
      </c>
      <c r="AD1667">
        <v>0</v>
      </c>
      <c r="AE1667">
        <v>10971855</v>
      </c>
      <c r="AF1667" t="s">
        <v>50</v>
      </c>
      <c r="AG1667" t="s">
        <v>388</v>
      </c>
    </row>
    <row r="1668" spans="1:33" x14ac:dyDescent="0.35">
      <c r="A1668" s="1">
        <v>44864.872916666667</v>
      </c>
      <c r="B1668">
        <v>6719363</v>
      </c>
      <c r="C1668" t="s">
        <v>3708</v>
      </c>
      <c r="D1668" t="s">
        <v>59</v>
      </c>
      <c r="E1668" s="2">
        <v>44454</v>
      </c>
      <c r="F1668" t="str">
        <f>"9781119723912"</f>
        <v>9781119723912</v>
      </c>
      <c r="G1668" t="str">
        <f>"9781119723929"</f>
        <v>9781119723929</v>
      </c>
      <c r="H1668" t="s">
        <v>138</v>
      </c>
      <c r="I1668">
        <v>5.8</v>
      </c>
      <c r="J1668" t="s">
        <v>3709</v>
      </c>
      <c r="K1668" t="s">
        <v>55</v>
      </c>
      <c r="Q1668" t="s">
        <v>47</v>
      </c>
      <c r="R1668" t="s">
        <v>44</v>
      </c>
      <c r="S1668">
        <v>0</v>
      </c>
      <c r="W1668" s="3">
        <v>1.5624999999999999E-3</v>
      </c>
      <c r="X1668" t="s">
        <v>3710</v>
      </c>
      <c r="Y1668">
        <v>15</v>
      </c>
      <c r="Z1668">
        <v>0</v>
      </c>
      <c r="AA1668" t="s">
        <v>49</v>
      </c>
      <c r="AB1668">
        <v>0</v>
      </c>
      <c r="AC1668" t="s">
        <v>49</v>
      </c>
      <c r="AD1668">
        <v>0</v>
      </c>
      <c r="AE1668">
        <v>-1</v>
      </c>
      <c r="AF1668" t="s">
        <v>63</v>
      </c>
      <c r="AG1668" t="s">
        <v>1536</v>
      </c>
    </row>
    <row r="1669" spans="1:33" x14ac:dyDescent="0.35">
      <c r="A1669" s="1">
        <v>44864.871527777781</v>
      </c>
      <c r="B1669">
        <v>5549109</v>
      </c>
      <c r="C1669" t="s">
        <v>3711</v>
      </c>
      <c r="D1669" t="s">
        <v>76</v>
      </c>
      <c r="E1669" s="2">
        <v>43404</v>
      </c>
      <c r="F1669" t="str">
        <f>"9780429804786"</f>
        <v>9780429804786</v>
      </c>
      <c r="G1669" t="str">
        <f>"9781498740234"</f>
        <v>9781498740234</v>
      </c>
      <c r="H1669" t="s">
        <v>906</v>
      </c>
      <c r="I1669">
        <v>910.28499999999997</v>
      </c>
      <c r="J1669" t="s">
        <v>3712</v>
      </c>
      <c r="K1669" t="s">
        <v>44</v>
      </c>
      <c r="Q1669" t="s">
        <v>47</v>
      </c>
      <c r="R1669" t="s">
        <v>44</v>
      </c>
      <c r="S1669">
        <v>0</v>
      </c>
      <c r="W1669" s="3">
        <v>1.6550925925925926E-3</v>
      </c>
      <c r="X1669" t="s">
        <v>3713</v>
      </c>
      <c r="Y1669">
        <v>4</v>
      </c>
      <c r="Z1669">
        <v>0</v>
      </c>
      <c r="AA1669" t="s">
        <v>49</v>
      </c>
      <c r="AB1669">
        <v>0</v>
      </c>
      <c r="AC1669" t="s">
        <v>49</v>
      </c>
      <c r="AD1669">
        <v>0</v>
      </c>
      <c r="AE1669">
        <v>11622670</v>
      </c>
      <c r="AF1669" t="s">
        <v>63</v>
      </c>
      <c r="AG1669" t="s">
        <v>1536</v>
      </c>
    </row>
    <row r="1670" spans="1:33" x14ac:dyDescent="0.35">
      <c r="A1670" s="1">
        <v>44864.847222222219</v>
      </c>
      <c r="B1670">
        <v>4534218</v>
      </c>
      <c r="C1670" t="s">
        <v>3714</v>
      </c>
      <c r="D1670" t="s">
        <v>3715</v>
      </c>
      <c r="E1670" s="2">
        <v>42488</v>
      </c>
      <c r="F1670" t="str">
        <f>"9780784479209"</f>
        <v>9780784479209</v>
      </c>
      <c r="G1670" t="str">
        <f>"9780784414057"</f>
        <v>9780784414057</v>
      </c>
      <c r="H1670" t="s">
        <v>789</v>
      </c>
      <c r="I1670">
        <v>631.5</v>
      </c>
      <c r="J1670" t="s">
        <v>3716</v>
      </c>
      <c r="K1670" t="s">
        <v>44</v>
      </c>
      <c r="N1670" t="s">
        <v>45</v>
      </c>
      <c r="O1670" t="s">
        <v>46</v>
      </c>
      <c r="P1670" t="s">
        <v>45</v>
      </c>
      <c r="Q1670" t="s">
        <v>47</v>
      </c>
      <c r="R1670" t="s">
        <v>44</v>
      </c>
      <c r="S1670">
        <v>0</v>
      </c>
      <c r="W1670" s="3">
        <v>2.4537037037037036E-3</v>
      </c>
      <c r="X1670" t="s">
        <v>3717</v>
      </c>
      <c r="Y1670">
        <v>12</v>
      </c>
      <c r="Z1670">
        <v>0</v>
      </c>
      <c r="AA1670" t="s">
        <v>49</v>
      </c>
      <c r="AB1670">
        <v>0</v>
      </c>
      <c r="AC1670" t="s">
        <v>49</v>
      </c>
      <c r="AD1670">
        <v>0</v>
      </c>
      <c r="AE1670">
        <v>11215351</v>
      </c>
      <c r="AF1670" t="s">
        <v>50</v>
      </c>
      <c r="AG1670" t="s">
        <v>1536</v>
      </c>
    </row>
    <row r="1671" spans="1:33" x14ac:dyDescent="0.35">
      <c r="A1671" s="1">
        <v>44864.817361111112</v>
      </c>
      <c r="B1671">
        <v>4183127</v>
      </c>
      <c r="C1671" t="s">
        <v>190</v>
      </c>
      <c r="D1671" t="s">
        <v>59</v>
      </c>
      <c r="E1671" s="2">
        <v>42310</v>
      </c>
      <c r="F1671" t="str">
        <f>"9783527684649"</f>
        <v>9783527684649</v>
      </c>
      <c r="G1671" t="str">
        <f>"9783527331659"</f>
        <v>9783527331659</v>
      </c>
      <c r="H1671" t="s">
        <v>191</v>
      </c>
      <c r="I1671" t="s">
        <v>192</v>
      </c>
      <c r="J1671" t="s">
        <v>193</v>
      </c>
      <c r="K1671" t="s">
        <v>44</v>
      </c>
      <c r="N1671" t="s">
        <v>45</v>
      </c>
      <c r="O1671" t="s">
        <v>46</v>
      </c>
      <c r="P1671" t="s">
        <v>45</v>
      </c>
      <c r="Q1671" t="s">
        <v>47</v>
      </c>
      <c r="R1671" t="s">
        <v>44</v>
      </c>
      <c r="S1671">
        <v>0</v>
      </c>
      <c r="W1671" s="3">
        <v>2.627314814814815E-3</v>
      </c>
      <c r="X1671" t="s">
        <v>3718</v>
      </c>
      <c r="Y1671">
        <v>14</v>
      </c>
      <c r="Z1671">
        <v>1</v>
      </c>
      <c r="AA1671" t="s">
        <v>3719</v>
      </c>
      <c r="AB1671">
        <v>125</v>
      </c>
      <c r="AC1671" t="s">
        <v>49</v>
      </c>
      <c r="AD1671">
        <v>0</v>
      </c>
      <c r="AE1671">
        <v>11125579</v>
      </c>
      <c r="AF1671" t="s">
        <v>50</v>
      </c>
      <c r="AG1671" t="s">
        <v>3528</v>
      </c>
    </row>
    <row r="1672" spans="1:33" x14ac:dyDescent="0.35">
      <c r="A1672" s="1">
        <v>44864.804166666669</v>
      </c>
      <c r="B1672">
        <v>797981</v>
      </c>
      <c r="C1672" t="s">
        <v>3502</v>
      </c>
      <c r="D1672" t="s">
        <v>1224</v>
      </c>
      <c r="E1672" s="2">
        <v>40680</v>
      </c>
      <c r="F1672" t="str">
        <f>"9783110249507"</f>
        <v>9783110249507</v>
      </c>
      <c r="G1672" t="str">
        <f>"9783110249491"</f>
        <v>9783110249491</v>
      </c>
      <c r="H1672" t="s">
        <v>77</v>
      </c>
      <c r="I1672">
        <v>610.28899999999999</v>
      </c>
      <c r="J1672" t="s">
        <v>3503</v>
      </c>
      <c r="K1672" t="s">
        <v>44</v>
      </c>
      <c r="N1672" t="s">
        <v>45</v>
      </c>
      <c r="O1672" t="s">
        <v>46</v>
      </c>
      <c r="P1672" t="s">
        <v>45</v>
      </c>
      <c r="Q1672" t="s">
        <v>47</v>
      </c>
      <c r="R1672" t="s">
        <v>44</v>
      </c>
      <c r="S1672">
        <v>0</v>
      </c>
      <c r="W1672" s="3">
        <v>1.3078703703703703E-2</v>
      </c>
      <c r="X1672" t="s">
        <v>3720</v>
      </c>
      <c r="Y1672">
        <v>21</v>
      </c>
      <c r="Z1672">
        <v>0</v>
      </c>
      <c r="AA1672" t="s">
        <v>49</v>
      </c>
      <c r="AB1672">
        <v>0</v>
      </c>
      <c r="AC1672" t="s">
        <v>49</v>
      </c>
      <c r="AD1672">
        <v>0</v>
      </c>
      <c r="AE1672">
        <v>10486525</v>
      </c>
      <c r="AF1672" t="s">
        <v>50</v>
      </c>
      <c r="AG1672" t="s">
        <v>1536</v>
      </c>
    </row>
    <row r="1673" spans="1:33" x14ac:dyDescent="0.35">
      <c r="A1673" s="1">
        <v>44864.779166666667</v>
      </c>
      <c r="B1673">
        <v>279494</v>
      </c>
      <c r="C1673" t="s">
        <v>1333</v>
      </c>
      <c r="D1673" t="s">
        <v>125</v>
      </c>
      <c r="E1673" s="2">
        <v>37280</v>
      </c>
      <c r="F1673" t="str">
        <f>"9780198032953"</f>
        <v>9780198032953</v>
      </c>
      <c r="G1673" t="str">
        <f>"9780195144208"</f>
        <v>9780195144208</v>
      </c>
      <c r="H1673" t="s">
        <v>667</v>
      </c>
      <c r="I1673" t="s">
        <v>1334</v>
      </c>
      <c r="J1673" t="s">
        <v>1335</v>
      </c>
      <c r="K1673" t="s">
        <v>44</v>
      </c>
      <c r="N1673" t="s">
        <v>45</v>
      </c>
      <c r="O1673" t="s">
        <v>46</v>
      </c>
      <c r="P1673" t="s">
        <v>45</v>
      </c>
      <c r="Q1673" t="s">
        <v>47</v>
      </c>
      <c r="R1673" t="s">
        <v>44</v>
      </c>
      <c r="S1673">
        <v>0</v>
      </c>
      <c r="W1673" s="3">
        <v>9.7222222222222209E-4</v>
      </c>
      <c r="X1673" t="s">
        <v>3721</v>
      </c>
      <c r="Y1673">
        <v>18</v>
      </c>
      <c r="Z1673">
        <v>0</v>
      </c>
      <c r="AA1673" t="s">
        <v>49</v>
      </c>
      <c r="AB1673">
        <v>0</v>
      </c>
      <c r="AC1673" t="s">
        <v>49</v>
      </c>
      <c r="AD1673">
        <v>0</v>
      </c>
      <c r="AE1673">
        <v>11303309</v>
      </c>
      <c r="AF1673" t="s">
        <v>50</v>
      </c>
      <c r="AG1673" t="s">
        <v>2368</v>
      </c>
    </row>
    <row r="1674" spans="1:33" x14ac:dyDescent="0.35">
      <c r="A1674" s="1">
        <v>44864.776388888888</v>
      </c>
      <c r="B1674">
        <v>6719363</v>
      </c>
      <c r="C1674" t="s">
        <v>3708</v>
      </c>
      <c r="D1674" t="s">
        <v>59</v>
      </c>
      <c r="E1674" s="2">
        <v>44454</v>
      </c>
      <c r="F1674" t="str">
        <f>"9781119723912"</f>
        <v>9781119723912</v>
      </c>
      <c r="G1674" t="str">
        <f>"9781119723929"</f>
        <v>9781119723929</v>
      </c>
      <c r="H1674" t="s">
        <v>138</v>
      </c>
      <c r="I1674">
        <v>5.8</v>
      </c>
      <c r="J1674" t="s">
        <v>3709</v>
      </c>
      <c r="K1674" t="s">
        <v>55</v>
      </c>
      <c r="Q1674" t="s">
        <v>47</v>
      </c>
      <c r="R1674" t="s">
        <v>44</v>
      </c>
      <c r="S1674">
        <v>0</v>
      </c>
      <c r="W1674" s="3">
        <v>1.6203703703703703E-4</v>
      </c>
      <c r="X1674" t="s">
        <v>56</v>
      </c>
      <c r="Y1674">
        <v>3</v>
      </c>
      <c r="Z1674">
        <v>0</v>
      </c>
      <c r="AA1674" t="s">
        <v>49</v>
      </c>
      <c r="AB1674">
        <v>0</v>
      </c>
      <c r="AC1674" t="s">
        <v>49</v>
      </c>
      <c r="AD1674">
        <v>0</v>
      </c>
      <c r="AE1674">
        <v>-1</v>
      </c>
      <c r="AF1674" t="s">
        <v>50</v>
      </c>
      <c r="AG1674" t="s">
        <v>1536</v>
      </c>
    </row>
    <row r="1675" spans="1:33" x14ac:dyDescent="0.35">
      <c r="A1675" s="1">
        <v>44864.751388888886</v>
      </c>
      <c r="B1675">
        <v>4183127</v>
      </c>
      <c r="C1675" t="s">
        <v>190</v>
      </c>
      <c r="D1675" t="s">
        <v>59</v>
      </c>
      <c r="E1675" s="2">
        <v>42310</v>
      </c>
      <c r="F1675" t="str">
        <f>"9783527684649"</f>
        <v>9783527684649</v>
      </c>
      <c r="G1675" t="str">
        <f>"9783527331659"</f>
        <v>9783527331659</v>
      </c>
      <c r="H1675" t="s">
        <v>191</v>
      </c>
      <c r="I1675" t="s">
        <v>192</v>
      </c>
      <c r="J1675" t="s">
        <v>193</v>
      </c>
      <c r="K1675" t="s">
        <v>44</v>
      </c>
      <c r="N1675" t="s">
        <v>45</v>
      </c>
      <c r="O1675" t="s">
        <v>46</v>
      </c>
      <c r="P1675" t="s">
        <v>45</v>
      </c>
      <c r="Q1675" t="s">
        <v>47</v>
      </c>
      <c r="R1675" t="s">
        <v>44</v>
      </c>
      <c r="S1675">
        <v>0</v>
      </c>
      <c r="W1675" s="3">
        <v>6.9444444444444444E-5</v>
      </c>
      <c r="X1675" t="s">
        <v>196</v>
      </c>
      <c r="Y1675">
        <v>2</v>
      </c>
      <c r="Z1675">
        <v>0</v>
      </c>
      <c r="AA1675" t="s">
        <v>49</v>
      </c>
      <c r="AB1675">
        <v>0</v>
      </c>
      <c r="AC1675" t="s">
        <v>49</v>
      </c>
      <c r="AD1675">
        <v>0</v>
      </c>
      <c r="AE1675">
        <v>11125579</v>
      </c>
      <c r="AF1675" t="s">
        <v>50</v>
      </c>
      <c r="AG1675" t="s">
        <v>3528</v>
      </c>
    </row>
    <row r="1676" spans="1:33" x14ac:dyDescent="0.35">
      <c r="A1676" s="1">
        <v>44864.684027777781</v>
      </c>
      <c r="B1676">
        <v>3097892</v>
      </c>
      <c r="C1676" t="s">
        <v>3441</v>
      </c>
      <c r="D1676" t="s">
        <v>2271</v>
      </c>
      <c r="E1676" s="2">
        <v>35614</v>
      </c>
      <c r="F1676" t="str">
        <f>"9783662035016"</f>
        <v>9783662035016</v>
      </c>
      <c r="G1676" t="str">
        <f>"9783642082511"</f>
        <v>9783642082511</v>
      </c>
      <c r="H1676" t="s">
        <v>3442</v>
      </c>
      <c r="I1676" t="s">
        <v>3443</v>
      </c>
      <c r="J1676" t="s">
        <v>3444</v>
      </c>
      <c r="K1676" t="s">
        <v>44</v>
      </c>
      <c r="N1676" t="s">
        <v>45</v>
      </c>
      <c r="O1676" t="s">
        <v>46</v>
      </c>
      <c r="P1676" t="s">
        <v>45</v>
      </c>
      <c r="Q1676" t="s">
        <v>47</v>
      </c>
      <c r="R1676" t="s">
        <v>44</v>
      </c>
      <c r="S1676">
        <v>0</v>
      </c>
      <c r="W1676" s="3">
        <v>6.4120370370370364E-3</v>
      </c>
      <c r="X1676" t="s">
        <v>3722</v>
      </c>
      <c r="Y1676">
        <v>8</v>
      </c>
      <c r="Z1676">
        <v>0</v>
      </c>
      <c r="AA1676" t="s">
        <v>49</v>
      </c>
      <c r="AB1676">
        <v>0</v>
      </c>
      <c r="AC1676" t="s">
        <v>49</v>
      </c>
      <c r="AD1676">
        <v>0</v>
      </c>
      <c r="AE1676">
        <v>10971855</v>
      </c>
      <c r="AF1676" t="s">
        <v>50</v>
      </c>
      <c r="AG1676" t="s">
        <v>388</v>
      </c>
    </row>
    <row r="1677" spans="1:33" x14ac:dyDescent="0.35">
      <c r="A1677" s="1">
        <v>44864.65347222222</v>
      </c>
      <c r="B1677">
        <v>3097892</v>
      </c>
      <c r="C1677" t="s">
        <v>3441</v>
      </c>
      <c r="D1677" t="s">
        <v>2271</v>
      </c>
      <c r="E1677" s="2">
        <v>35614</v>
      </c>
      <c r="F1677" t="str">
        <f>"9783662035016"</f>
        <v>9783662035016</v>
      </c>
      <c r="G1677" t="str">
        <f>"9783642082511"</f>
        <v>9783642082511</v>
      </c>
      <c r="H1677" t="s">
        <v>3442</v>
      </c>
      <c r="I1677" t="s">
        <v>3443</v>
      </c>
      <c r="J1677" t="s">
        <v>3444</v>
      </c>
      <c r="K1677" t="s">
        <v>44</v>
      </c>
      <c r="N1677" t="s">
        <v>45</v>
      </c>
      <c r="O1677" t="s">
        <v>46</v>
      </c>
      <c r="P1677" t="s">
        <v>45</v>
      </c>
      <c r="Q1677" t="s">
        <v>47</v>
      </c>
      <c r="R1677" t="s">
        <v>44</v>
      </c>
      <c r="S1677">
        <v>0</v>
      </c>
      <c r="W1677" s="3">
        <v>1.5046296296296297E-4</v>
      </c>
      <c r="X1677" t="s">
        <v>3723</v>
      </c>
      <c r="Y1677">
        <v>3</v>
      </c>
      <c r="Z1677">
        <v>0</v>
      </c>
      <c r="AA1677" t="s">
        <v>49</v>
      </c>
      <c r="AB1677">
        <v>0</v>
      </c>
      <c r="AC1677" t="s">
        <v>49</v>
      </c>
      <c r="AD1677">
        <v>0</v>
      </c>
      <c r="AE1677">
        <v>10971855</v>
      </c>
      <c r="AF1677" t="s">
        <v>50</v>
      </c>
      <c r="AG1677" t="s">
        <v>388</v>
      </c>
    </row>
    <row r="1678" spans="1:33" x14ac:dyDescent="0.35">
      <c r="A1678" s="1">
        <v>44864.613194444442</v>
      </c>
      <c r="B1678">
        <v>3097892</v>
      </c>
      <c r="C1678" t="s">
        <v>3441</v>
      </c>
      <c r="D1678" t="s">
        <v>2271</v>
      </c>
      <c r="E1678" s="2">
        <v>35614</v>
      </c>
      <c r="F1678" t="str">
        <f>"9783662035016"</f>
        <v>9783662035016</v>
      </c>
      <c r="G1678" t="str">
        <f>"9783642082511"</f>
        <v>9783642082511</v>
      </c>
      <c r="H1678" t="s">
        <v>3442</v>
      </c>
      <c r="I1678" t="s">
        <v>3443</v>
      </c>
      <c r="J1678" t="s">
        <v>3444</v>
      </c>
      <c r="K1678" t="s">
        <v>44</v>
      </c>
      <c r="N1678" t="s">
        <v>45</v>
      </c>
      <c r="O1678" t="s">
        <v>46</v>
      </c>
      <c r="P1678" t="s">
        <v>45</v>
      </c>
      <c r="Q1678" t="s">
        <v>47</v>
      </c>
      <c r="R1678" t="s">
        <v>44</v>
      </c>
      <c r="S1678">
        <v>0</v>
      </c>
      <c r="W1678" s="3">
        <v>8.6574074074074071E-3</v>
      </c>
      <c r="X1678" t="s">
        <v>3724</v>
      </c>
      <c r="Y1678">
        <v>17</v>
      </c>
      <c r="Z1678">
        <v>0</v>
      </c>
      <c r="AA1678" t="s">
        <v>49</v>
      </c>
      <c r="AB1678">
        <v>0</v>
      </c>
      <c r="AC1678" t="s">
        <v>49</v>
      </c>
      <c r="AD1678">
        <v>0</v>
      </c>
      <c r="AE1678">
        <v>10971855</v>
      </c>
      <c r="AF1678" t="s">
        <v>50</v>
      </c>
      <c r="AG1678" t="s">
        <v>388</v>
      </c>
    </row>
    <row r="1679" spans="1:33" x14ac:dyDescent="0.35">
      <c r="A1679" s="1">
        <v>44864.541666666664</v>
      </c>
      <c r="B1679">
        <v>6852920</v>
      </c>
      <c r="C1679" t="s">
        <v>3725</v>
      </c>
      <c r="D1679" t="s">
        <v>65</v>
      </c>
      <c r="E1679" s="2">
        <v>44581</v>
      </c>
      <c r="F1679" t="str">
        <f>"9780323909303"</f>
        <v>9780323909303</v>
      </c>
      <c r="G1679" t="str">
        <f>"9780323857895"</f>
        <v>9780323857895</v>
      </c>
      <c r="H1679" t="s">
        <v>3726</v>
      </c>
      <c r="I1679">
        <v>620.19600000000003</v>
      </c>
      <c r="J1679" t="s">
        <v>3727</v>
      </c>
      <c r="K1679" t="s">
        <v>55</v>
      </c>
      <c r="Q1679" t="s">
        <v>47</v>
      </c>
      <c r="R1679" t="s">
        <v>44</v>
      </c>
      <c r="S1679">
        <v>0</v>
      </c>
      <c r="W1679" s="3">
        <v>7.0601851851851847E-4</v>
      </c>
      <c r="X1679" t="s">
        <v>3728</v>
      </c>
      <c r="Y1679">
        <v>9</v>
      </c>
      <c r="Z1679">
        <v>0</v>
      </c>
      <c r="AA1679" t="s">
        <v>49</v>
      </c>
      <c r="AB1679">
        <v>0</v>
      </c>
      <c r="AC1679" t="s">
        <v>49</v>
      </c>
      <c r="AD1679">
        <v>0</v>
      </c>
      <c r="AE1679">
        <v>-1</v>
      </c>
      <c r="AF1679" t="s">
        <v>50</v>
      </c>
      <c r="AG1679" t="s">
        <v>2368</v>
      </c>
    </row>
    <row r="1680" spans="1:33" x14ac:dyDescent="0.35">
      <c r="A1680" s="1">
        <v>44864.472222222219</v>
      </c>
      <c r="B1680">
        <v>3339380</v>
      </c>
      <c r="C1680" t="s">
        <v>3729</v>
      </c>
      <c r="D1680" t="s">
        <v>303</v>
      </c>
      <c r="E1680" s="2">
        <v>40837</v>
      </c>
      <c r="F1680" t="str">
        <f>"9780262298513"</f>
        <v>9780262298513</v>
      </c>
      <c r="G1680" t="str">
        <f>"9780262016704"</f>
        <v>9780262016704</v>
      </c>
      <c r="H1680" t="s">
        <v>1256</v>
      </c>
      <c r="I1680">
        <v>620</v>
      </c>
      <c r="J1680" t="s">
        <v>3730</v>
      </c>
      <c r="K1680" t="s">
        <v>44</v>
      </c>
      <c r="N1680" t="s">
        <v>45</v>
      </c>
      <c r="O1680" t="s">
        <v>46</v>
      </c>
      <c r="P1680" t="s">
        <v>45</v>
      </c>
      <c r="Q1680" t="s">
        <v>47</v>
      </c>
      <c r="R1680" t="s">
        <v>44</v>
      </c>
      <c r="S1680">
        <v>0</v>
      </c>
      <c r="W1680" s="3">
        <v>4.0509259259259258E-4</v>
      </c>
      <c r="X1680" t="s">
        <v>3731</v>
      </c>
      <c r="Y1680">
        <v>7</v>
      </c>
      <c r="Z1680">
        <v>0</v>
      </c>
      <c r="AA1680" t="s">
        <v>49</v>
      </c>
      <c r="AB1680">
        <v>0</v>
      </c>
      <c r="AC1680" t="s">
        <v>49</v>
      </c>
      <c r="AD1680">
        <v>0</v>
      </c>
      <c r="AE1680">
        <v>10529578</v>
      </c>
      <c r="AF1680" t="s">
        <v>50</v>
      </c>
      <c r="AG1680" t="s">
        <v>866</v>
      </c>
    </row>
    <row r="1681" spans="1:33" x14ac:dyDescent="0.35">
      <c r="A1681" s="1">
        <v>44864.470833333333</v>
      </c>
      <c r="B1681">
        <v>819162</v>
      </c>
      <c r="C1681" t="s">
        <v>3732</v>
      </c>
      <c r="D1681" t="s">
        <v>59</v>
      </c>
      <c r="E1681" s="2">
        <v>40812</v>
      </c>
      <c r="F1681" t="str">
        <f>"9781119978572"</f>
        <v>9781119978572</v>
      </c>
      <c r="G1681" t="str">
        <f>"9780470972007"</f>
        <v>9780470972007</v>
      </c>
      <c r="H1681" t="s">
        <v>1720</v>
      </c>
      <c r="I1681" t="s">
        <v>3733</v>
      </c>
      <c r="J1681" t="s">
        <v>3734</v>
      </c>
      <c r="K1681" t="s">
        <v>44</v>
      </c>
      <c r="N1681" t="s">
        <v>45</v>
      </c>
      <c r="O1681" t="s">
        <v>46</v>
      </c>
      <c r="P1681" t="s">
        <v>45</v>
      </c>
      <c r="Q1681" t="s">
        <v>47</v>
      </c>
      <c r="R1681" t="s">
        <v>44</v>
      </c>
      <c r="S1681">
        <v>0</v>
      </c>
      <c r="W1681" s="3">
        <v>1.689814814814815E-3</v>
      </c>
      <c r="X1681" t="s">
        <v>3735</v>
      </c>
      <c r="Y1681">
        <v>6</v>
      </c>
      <c r="Z1681">
        <v>0</v>
      </c>
      <c r="AA1681" t="s">
        <v>49</v>
      </c>
      <c r="AB1681">
        <v>0</v>
      </c>
      <c r="AC1681" t="s">
        <v>49</v>
      </c>
      <c r="AD1681">
        <v>0</v>
      </c>
      <c r="AE1681">
        <v>10488531</v>
      </c>
      <c r="AF1681" t="s">
        <v>50</v>
      </c>
      <c r="AG1681" t="s">
        <v>1536</v>
      </c>
    </row>
    <row r="1682" spans="1:33" x14ac:dyDescent="0.35">
      <c r="A1682" s="1">
        <v>44864.347222222219</v>
      </c>
      <c r="B1682">
        <v>797981</v>
      </c>
      <c r="C1682" t="s">
        <v>3502</v>
      </c>
      <c r="D1682" t="s">
        <v>1224</v>
      </c>
      <c r="E1682" s="2">
        <v>40680</v>
      </c>
      <c r="F1682" t="str">
        <f>"9783110249507"</f>
        <v>9783110249507</v>
      </c>
      <c r="G1682" t="str">
        <f>"9783110249491"</f>
        <v>9783110249491</v>
      </c>
      <c r="H1682" t="s">
        <v>77</v>
      </c>
      <c r="I1682">
        <v>610.28899999999999</v>
      </c>
      <c r="J1682" t="s">
        <v>3503</v>
      </c>
      <c r="K1682" t="s">
        <v>44</v>
      </c>
      <c r="N1682" t="s">
        <v>45</v>
      </c>
      <c r="O1682" t="s">
        <v>46</v>
      </c>
      <c r="P1682" t="s">
        <v>45</v>
      </c>
      <c r="Q1682" t="s">
        <v>47</v>
      </c>
      <c r="R1682" t="s">
        <v>44</v>
      </c>
      <c r="S1682">
        <v>0</v>
      </c>
      <c r="W1682" s="3">
        <v>3.6574074074074074E-3</v>
      </c>
      <c r="X1682" t="s">
        <v>3736</v>
      </c>
      <c r="Y1682">
        <v>21</v>
      </c>
      <c r="Z1682">
        <v>0</v>
      </c>
      <c r="AA1682" t="s">
        <v>49</v>
      </c>
      <c r="AB1682">
        <v>0</v>
      </c>
      <c r="AC1682" t="s">
        <v>49</v>
      </c>
      <c r="AD1682">
        <v>0</v>
      </c>
      <c r="AE1682">
        <v>10486525</v>
      </c>
      <c r="AF1682" t="s">
        <v>63</v>
      </c>
      <c r="AG1682" t="s">
        <v>1536</v>
      </c>
    </row>
    <row r="1683" spans="1:33" x14ac:dyDescent="0.35">
      <c r="A1683" s="1">
        <v>44863.968055555553</v>
      </c>
      <c r="B1683">
        <v>848526</v>
      </c>
      <c r="C1683" t="s">
        <v>2541</v>
      </c>
      <c r="D1683" t="s">
        <v>59</v>
      </c>
      <c r="E1683" s="2">
        <v>41212</v>
      </c>
      <c r="F1683" t="str">
        <f>"9781118310069"</f>
        <v>9781118310069</v>
      </c>
      <c r="G1683" t="str">
        <f>"9780470566671"</f>
        <v>9780470566671</v>
      </c>
      <c r="H1683" t="s">
        <v>2542</v>
      </c>
      <c r="I1683">
        <v>610.28</v>
      </c>
      <c r="J1683" t="s">
        <v>2543</v>
      </c>
      <c r="K1683" t="s">
        <v>44</v>
      </c>
      <c r="N1683" t="s">
        <v>45</v>
      </c>
      <c r="O1683" t="s">
        <v>46</v>
      </c>
      <c r="P1683" t="s">
        <v>45</v>
      </c>
      <c r="Q1683" t="s">
        <v>47</v>
      </c>
      <c r="R1683" t="s">
        <v>44</v>
      </c>
      <c r="S1683">
        <v>0</v>
      </c>
      <c r="W1683" s="3">
        <v>0</v>
      </c>
      <c r="X1683" t="s">
        <v>49</v>
      </c>
      <c r="Y1683">
        <v>0</v>
      </c>
      <c r="Z1683">
        <v>3</v>
      </c>
      <c r="AA1683" t="s">
        <v>2690</v>
      </c>
      <c r="AB1683">
        <v>78</v>
      </c>
      <c r="AC1683" t="s">
        <v>49</v>
      </c>
      <c r="AD1683">
        <v>0</v>
      </c>
      <c r="AE1683">
        <v>10615085</v>
      </c>
      <c r="AF1683" t="s">
        <v>50</v>
      </c>
      <c r="AG1683" t="s">
        <v>1536</v>
      </c>
    </row>
    <row r="1684" spans="1:33" x14ac:dyDescent="0.35">
      <c r="A1684" s="1">
        <v>44863.952777777777</v>
      </c>
      <c r="B1684">
        <v>848526</v>
      </c>
      <c r="C1684" t="s">
        <v>2541</v>
      </c>
      <c r="D1684" t="s">
        <v>59</v>
      </c>
      <c r="E1684" s="2">
        <v>41212</v>
      </c>
      <c r="F1684" t="str">
        <f>"9781118310069"</f>
        <v>9781118310069</v>
      </c>
      <c r="G1684" t="str">
        <f>"9780470566671"</f>
        <v>9780470566671</v>
      </c>
      <c r="H1684" t="s">
        <v>2542</v>
      </c>
      <c r="I1684">
        <v>610.28</v>
      </c>
      <c r="J1684" t="s">
        <v>2543</v>
      </c>
      <c r="K1684" t="s">
        <v>44</v>
      </c>
      <c r="N1684" t="s">
        <v>45</v>
      </c>
      <c r="O1684" t="s">
        <v>46</v>
      </c>
      <c r="P1684" t="s">
        <v>45</v>
      </c>
      <c r="Q1684" t="s">
        <v>47</v>
      </c>
      <c r="R1684" t="s">
        <v>44</v>
      </c>
      <c r="S1684">
        <v>1</v>
      </c>
      <c r="W1684" s="3">
        <v>0</v>
      </c>
      <c r="X1684" t="s">
        <v>49</v>
      </c>
      <c r="Y1684">
        <v>0</v>
      </c>
      <c r="Z1684">
        <v>0</v>
      </c>
      <c r="AA1684" t="s">
        <v>49</v>
      </c>
      <c r="AB1684">
        <v>0</v>
      </c>
      <c r="AC1684" t="s">
        <v>49</v>
      </c>
      <c r="AD1684">
        <v>0</v>
      </c>
      <c r="AE1684">
        <v>10615085</v>
      </c>
      <c r="AF1684" t="s">
        <v>63</v>
      </c>
      <c r="AG1684" t="s">
        <v>3507</v>
      </c>
    </row>
    <row r="1685" spans="1:33" x14ac:dyDescent="0.35">
      <c r="A1685" s="1">
        <v>44863.95208333333</v>
      </c>
      <c r="B1685">
        <v>848526</v>
      </c>
      <c r="C1685" t="s">
        <v>2541</v>
      </c>
      <c r="D1685" t="s">
        <v>59</v>
      </c>
      <c r="E1685" s="2">
        <v>41212</v>
      </c>
      <c r="F1685" t="str">
        <f>"9781118310069"</f>
        <v>9781118310069</v>
      </c>
      <c r="G1685" t="str">
        <f>"9780470566671"</f>
        <v>9780470566671</v>
      </c>
      <c r="H1685" t="s">
        <v>2542</v>
      </c>
      <c r="I1685">
        <v>610.28</v>
      </c>
      <c r="J1685" t="s">
        <v>2543</v>
      </c>
      <c r="K1685" t="s">
        <v>44</v>
      </c>
      <c r="N1685" t="s">
        <v>45</v>
      </c>
      <c r="O1685" t="s">
        <v>46</v>
      </c>
      <c r="P1685" t="s">
        <v>45</v>
      </c>
      <c r="Q1685" t="s">
        <v>47</v>
      </c>
      <c r="R1685" t="s">
        <v>44</v>
      </c>
      <c r="S1685">
        <v>0</v>
      </c>
      <c r="W1685" s="3">
        <v>1.1111111111111111E-3</v>
      </c>
      <c r="X1685" t="s">
        <v>3737</v>
      </c>
      <c r="Y1685">
        <v>4</v>
      </c>
      <c r="Z1685">
        <v>1</v>
      </c>
      <c r="AA1685" t="s">
        <v>205</v>
      </c>
      <c r="AB1685">
        <v>2</v>
      </c>
      <c r="AC1685" t="s">
        <v>49</v>
      </c>
      <c r="AD1685">
        <v>0</v>
      </c>
      <c r="AE1685">
        <v>10615085</v>
      </c>
      <c r="AF1685" t="s">
        <v>63</v>
      </c>
      <c r="AG1685" t="s">
        <v>3507</v>
      </c>
    </row>
    <row r="1686" spans="1:33" x14ac:dyDescent="0.35">
      <c r="A1686" s="1">
        <v>44863.774305555555</v>
      </c>
      <c r="B1686">
        <v>6403245</v>
      </c>
      <c r="C1686" t="s">
        <v>3639</v>
      </c>
      <c r="D1686" t="s">
        <v>1282</v>
      </c>
      <c r="E1686" s="2">
        <v>43532</v>
      </c>
      <c r="F1686" t="str">
        <f>"9781506328683"</f>
        <v>9781506328683</v>
      </c>
      <c r="G1686" t="str">
        <f>"9781506328690"</f>
        <v>9781506328690</v>
      </c>
      <c r="H1686" t="s">
        <v>60</v>
      </c>
      <c r="I1686">
        <v>658.40560000000005</v>
      </c>
      <c r="J1686" t="s">
        <v>3640</v>
      </c>
      <c r="K1686" t="s">
        <v>55</v>
      </c>
      <c r="Q1686" t="s">
        <v>47</v>
      </c>
      <c r="R1686" t="s">
        <v>44</v>
      </c>
      <c r="S1686">
        <v>0</v>
      </c>
      <c r="W1686" s="3">
        <v>4.6296296296296294E-5</v>
      </c>
      <c r="X1686" t="s">
        <v>3641</v>
      </c>
      <c r="Y1686">
        <v>1</v>
      </c>
      <c r="Z1686">
        <v>0</v>
      </c>
      <c r="AA1686" t="s">
        <v>49</v>
      </c>
      <c r="AB1686">
        <v>0</v>
      </c>
      <c r="AC1686" t="s">
        <v>49</v>
      </c>
      <c r="AD1686">
        <v>0</v>
      </c>
      <c r="AE1686">
        <v>-1</v>
      </c>
      <c r="AF1686" t="s">
        <v>50</v>
      </c>
      <c r="AG1686" t="s">
        <v>3593</v>
      </c>
    </row>
    <row r="1687" spans="1:33" x14ac:dyDescent="0.35">
      <c r="A1687" s="1">
        <v>44863.770138888889</v>
      </c>
      <c r="B1687">
        <v>634317</v>
      </c>
      <c r="C1687" t="s">
        <v>3738</v>
      </c>
      <c r="D1687" t="s">
        <v>1613</v>
      </c>
      <c r="E1687" s="2">
        <v>40410</v>
      </c>
      <c r="F1687" t="str">
        <f>"9780810874930"</f>
        <v>9780810874930</v>
      </c>
      <c r="G1687" t="str">
        <f>"9780810859630"</f>
        <v>9780810859630</v>
      </c>
      <c r="H1687" t="s">
        <v>498</v>
      </c>
      <c r="I1687">
        <v>193</v>
      </c>
      <c r="J1687" t="s">
        <v>3739</v>
      </c>
      <c r="K1687" t="s">
        <v>44</v>
      </c>
      <c r="N1687" t="s">
        <v>45</v>
      </c>
      <c r="O1687" t="s">
        <v>46</v>
      </c>
      <c r="P1687" t="s">
        <v>45</v>
      </c>
      <c r="Q1687" t="s">
        <v>47</v>
      </c>
      <c r="R1687" t="s">
        <v>44</v>
      </c>
      <c r="S1687">
        <v>0</v>
      </c>
      <c r="W1687" s="3">
        <v>1.7245370370370372E-3</v>
      </c>
      <c r="X1687" t="s">
        <v>3740</v>
      </c>
      <c r="Y1687">
        <v>27</v>
      </c>
      <c r="Z1687">
        <v>0</v>
      </c>
      <c r="AA1687" t="s">
        <v>49</v>
      </c>
      <c r="AB1687">
        <v>0</v>
      </c>
      <c r="AC1687" t="s">
        <v>49</v>
      </c>
      <c r="AD1687">
        <v>0</v>
      </c>
      <c r="AE1687">
        <v>10421467</v>
      </c>
      <c r="AF1687" t="s">
        <v>50</v>
      </c>
      <c r="AG1687" t="s">
        <v>1536</v>
      </c>
    </row>
    <row r="1688" spans="1:33" x14ac:dyDescent="0.35">
      <c r="A1688" s="1">
        <v>44863.722222222219</v>
      </c>
      <c r="B1688">
        <v>5695067</v>
      </c>
      <c r="C1688" t="s">
        <v>3741</v>
      </c>
      <c r="D1688" t="s">
        <v>844</v>
      </c>
      <c r="E1688" s="2">
        <v>43515</v>
      </c>
      <c r="F1688" t="str">
        <f>"9781787566552"</f>
        <v>9781787566552</v>
      </c>
      <c r="G1688" t="str">
        <f>"9781787566583"</f>
        <v>9781787566583</v>
      </c>
      <c r="H1688" t="s">
        <v>3742</v>
      </c>
      <c r="I1688" t="s">
        <v>3743</v>
      </c>
      <c r="J1688" t="s">
        <v>3744</v>
      </c>
      <c r="K1688" t="s">
        <v>44</v>
      </c>
      <c r="N1688" t="s">
        <v>45</v>
      </c>
      <c r="O1688" t="s">
        <v>46</v>
      </c>
      <c r="P1688" t="s">
        <v>45</v>
      </c>
      <c r="Q1688" t="s">
        <v>47</v>
      </c>
      <c r="R1688" t="s">
        <v>44</v>
      </c>
      <c r="S1688">
        <v>0</v>
      </c>
      <c r="W1688" s="3">
        <v>1.3310185185185185E-3</v>
      </c>
      <c r="X1688" t="s">
        <v>3745</v>
      </c>
      <c r="Y1688">
        <v>9</v>
      </c>
      <c r="Z1688">
        <v>0</v>
      </c>
      <c r="AA1688" t="s">
        <v>49</v>
      </c>
      <c r="AB1688">
        <v>0</v>
      </c>
      <c r="AC1688" t="s">
        <v>49</v>
      </c>
      <c r="AD1688">
        <v>0</v>
      </c>
      <c r="AE1688">
        <v>-1</v>
      </c>
      <c r="AF1688" t="s">
        <v>50</v>
      </c>
      <c r="AG1688" t="s">
        <v>2368</v>
      </c>
    </row>
    <row r="1689" spans="1:33" x14ac:dyDescent="0.35">
      <c r="A1689" s="1">
        <v>44863.718055555553</v>
      </c>
      <c r="B1689">
        <v>1710572</v>
      </c>
      <c r="C1689" t="s">
        <v>3660</v>
      </c>
      <c r="D1689" t="s">
        <v>76</v>
      </c>
      <c r="E1689" s="2">
        <v>38296</v>
      </c>
      <c r="F1689" t="str">
        <f>"9781317876502"</f>
        <v>9781317876502</v>
      </c>
      <c r="G1689" t="str">
        <f>"9780582414310"</f>
        <v>9780582414310</v>
      </c>
      <c r="H1689" t="s">
        <v>1540</v>
      </c>
      <c r="I1689" t="s">
        <v>3661</v>
      </c>
      <c r="J1689" t="s">
        <v>3662</v>
      </c>
      <c r="K1689" t="s">
        <v>44</v>
      </c>
      <c r="N1689" t="s">
        <v>45</v>
      </c>
      <c r="O1689" t="s">
        <v>46</v>
      </c>
      <c r="P1689" t="s">
        <v>45</v>
      </c>
      <c r="Q1689" t="s">
        <v>47</v>
      </c>
      <c r="R1689" t="s">
        <v>44</v>
      </c>
      <c r="S1689">
        <v>0</v>
      </c>
      <c r="W1689" s="3">
        <v>1.1458333333333333E-3</v>
      </c>
      <c r="X1689" t="s">
        <v>577</v>
      </c>
      <c r="Y1689">
        <v>2</v>
      </c>
      <c r="Z1689">
        <v>0</v>
      </c>
      <c r="AA1689" t="s">
        <v>49</v>
      </c>
      <c r="AB1689">
        <v>0</v>
      </c>
      <c r="AC1689" t="s">
        <v>49</v>
      </c>
      <c r="AD1689">
        <v>0</v>
      </c>
      <c r="AE1689">
        <v>10884122</v>
      </c>
      <c r="AF1689" t="s">
        <v>50</v>
      </c>
      <c r="AG1689" t="s">
        <v>1536</v>
      </c>
    </row>
    <row r="1690" spans="1:33" x14ac:dyDescent="0.35">
      <c r="A1690" s="1">
        <v>44863.715277777781</v>
      </c>
      <c r="B1690">
        <v>3442097</v>
      </c>
      <c r="C1690" t="s">
        <v>3659</v>
      </c>
      <c r="D1690" t="s">
        <v>1068</v>
      </c>
      <c r="E1690" s="2">
        <v>40052</v>
      </c>
      <c r="F1690" t="str">
        <f>"9780812200003"</f>
        <v>9780812200003</v>
      </c>
      <c r="G1690" t="str">
        <f>"9780812220896"</f>
        <v>9780812220896</v>
      </c>
      <c r="H1690" t="s">
        <v>419</v>
      </c>
      <c r="I1690">
        <v>323.09199999999998</v>
      </c>
      <c r="K1690" t="s">
        <v>44</v>
      </c>
      <c r="N1690" t="s">
        <v>45</v>
      </c>
      <c r="O1690" t="s">
        <v>46</v>
      </c>
      <c r="P1690" t="s">
        <v>45</v>
      </c>
      <c r="Q1690" t="s">
        <v>47</v>
      </c>
      <c r="R1690" t="s">
        <v>44</v>
      </c>
      <c r="S1690">
        <v>0</v>
      </c>
      <c r="W1690" s="3">
        <v>2.685185185185185E-3</v>
      </c>
      <c r="X1690" t="s">
        <v>3746</v>
      </c>
      <c r="Y1690">
        <v>4</v>
      </c>
      <c r="Z1690">
        <v>0</v>
      </c>
      <c r="AA1690" t="s">
        <v>49</v>
      </c>
      <c r="AB1690">
        <v>0</v>
      </c>
      <c r="AC1690" t="s">
        <v>49</v>
      </c>
      <c r="AD1690">
        <v>0</v>
      </c>
      <c r="AE1690">
        <v>10748486</v>
      </c>
      <c r="AF1690" t="s">
        <v>50</v>
      </c>
      <c r="AG1690" t="s">
        <v>1536</v>
      </c>
    </row>
    <row r="1691" spans="1:33" x14ac:dyDescent="0.35">
      <c r="A1691" s="1">
        <v>44863.713888888888</v>
      </c>
      <c r="B1691">
        <v>1710572</v>
      </c>
      <c r="C1691" t="s">
        <v>3660</v>
      </c>
      <c r="D1691" t="s">
        <v>76</v>
      </c>
      <c r="E1691" s="2">
        <v>38296</v>
      </c>
      <c r="F1691" t="str">
        <f>"9781317876502"</f>
        <v>9781317876502</v>
      </c>
      <c r="G1691" t="str">
        <f>"9780582414310"</f>
        <v>9780582414310</v>
      </c>
      <c r="H1691" t="s">
        <v>1540</v>
      </c>
      <c r="I1691" t="s">
        <v>3661</v>
      </c>
      <c r="J1691" t="s">
        <v>3662</v>
      </c>
      <c r="K1691" t="s">
        <v>44</v>
      </c>
      <c r="N1691" t="s">
        <v>45</v>
      </c>
      <c r="O1691" t="s">
        <v>46</v>
      </c>
      <c r="P1691" t="s">
        <v>45</v>
      </c>
      <c r="Q1691" t="s">
        <v>47</v>
      </c>
      <c r="R1691" t="s">
        <v>44</v>
      </c>
      <c r="S1691">
        <v>0</v>
      </c>
      <c r="W1691" s="3">
        <v>4.9768518518518521E-4</v>
      </c>
      <c r="X1691" t="s">
        <v>3747</v>
      </c>
      <c r="Y1691">
        <v>10</v>
      </c>
      <c r="Z1691">
        <v>0</v>
      </c>
      <c r="AA1691" t="s">
        <v>49</v>
      </c>
      <c r="AB1691">
        <v>0</v>
      </c>
      <c r="AC1691" t="s">
        <v>49</v>
      </c>
      <c r="AD1691">
        <v>0</v>
      </c>
      <c r="AE1691">
        <v>10884122</v>
      </c>
      <c r="AF1691" t="s">
        <v>50</v>
      </c>
      <c r="AG1691" t="s">
        <v>2368</v>
      </c>
    </row>
    <row r="1692" spans="1:33" x14ac:dyDescent="0.35">
      <c r="A1692" s="1">
        <v>44863.711805555555</v>
      </c>
      <c r="B1692">
        <v>3442097</v>
      </c>
      <c r="C1692" t="s">
        <v>3659</v>
      </c>
      <c r="D1692" t="s">
        <v>1068</v>
      </c>
      <c r="E1692" s="2">
        <v>40052</v>
      </c>
      <c r="F1692" t="str">
        <f>"9780812200003"</f>
        <v>9780812200003</v>
      </c>
      <c r="G1692" t="str">
        <f>"9780812220896"</f>
        <v>9780812220896</v>
      </c>
      <c r="H1692" t="s">
        <v>419</v>
      </c>
      <c r="I1692">
        <v>323.09199999999998</v>
      </c>
      <c r="K1692" t="s">
        <v>44</v>
      </c>
      <c r="N1692" t="s">
        <v>45</v>
      </c>
      <c r="O1692" t="s">
        <v>46</v>
      </c>
      <c r="P1692" t="s">
        <v>45</v>
      </c>
      <c r="Q1692" t="s">
        <v>47</v>
      </c>
      <c r="R1692" t="s">
        <v>44</v>
      </c>
      <c r="S1692">
        <v>0</v>
      </c>
      <c r="W1692" s="3">
        <v>9.3750000000000007E-4</v>
      </c>
      <c r="X1692" t="s">
        <v>3748</v>
      </c>
      <c r="Y1692">
        <v>12</v>
      </c>
      <c r="Z1692">
        <v>0</v>
      </c>
      <c r="AA1692" t="s">
        <v>49</v>
      </c>
      <c r="AB1692">
        <v>0</v>
      </c>
      <c r="AC1692" t="s">
        <v>49</v>
      </c>
      <c r="AD1692">
        <v>0</v>
      </c>
      <c r="AE1692">
        <v>10748486</v>
      </c>
      <c r="AF1692" t="s">
        <v>50</v>
      </c>
      <c r="AG1692" t="s">
        <v>2368</v>
      </c>
    </row>
    <row r="1693" spans="1:33" x14ac:dyDescent="0.35">
      <c r="A1693" s="1">
        <v>44863.672222222223</v>
      </c>
      <c r="B1693">
        <v>6607710</v>
      </c>
      <c r="C1693" t="s">
        <v>3749</v>
      </c>
      <c r="D1693" t="s">
        <v>59</v>
      </c>
      <c r="E1693" s="2">
        <v>44334</v>
      </c>
      <c r="F1693" t="str">
        <f>"9781119414698"</f>
        <v>9781119414698</v>
      </c>
      <c r="G1693" t="str">
        <f>"9781119414667"</f>
        <v>9781119414667</v>
      </c>
      <c r="H1693" t="s">
        <v>1112</v>
      </c>
      <c r="I1693" t="s">
        <v>3750</v>
      </c>
      <c r="J1693" t="s">
        <v>3751</v>
      </c>
      <c r="K1693" t="s">
        <v>55</v>
      </c>
      <c r="Q1693" t="s">
        <v>47</v>
      </c>
      <c r="R1693" t="s">
        <v>44</v>
      </c>
      <c r="S1693">
        <v>0</v>
      </c>
      <c r="W1693" s="3">
        <v>2.4652777777777776E-3</v>
      </c>
      <c r="X1693" t="s">
        <v>3752</v>
      </c>
      <c r="Y1693">
        <v>13</v>
      </c>
      <c r="Z1693">
        <v>0</v>
      </c>
      <c r="AA1693" t="s">
        <v>49</v>
      </c>
      <c r="AB1693">
        <v>0</v>
      </c>
      <c r="AC1693" t="s">
        <v>49</v>
      </c>
      <c r="AD1693">
        <v>0</v>
      </c>
      <c r="AE1693">
        <v>-1</v>
      </c>
      <c r="AF1693" t="s">
        <v>50</v>
      </c>
      <c r="AG1693" t="s">
        <v>1816</v>
      </c>
    </row>
    <row r="1694" spans="1:33" x14ac:dyDescent="0.35">
      <c r="A1694" s="1">
        <v>44863.668055555558</v>
      </c>
      <c r="B1694">
        <v>1574362</v>
      </c>
      <c r="C1694" t="s">
        <v>3753</v>
      </c>
      <c r="D1694" t="s">
        <v>59</v>
      </c>
      <c r="E1694" s="2">
        <v>41624</v>
      </c>
      <c r="F1694" t="str">
        <f>"9781118782538"</f>
        <v>9781118782538</v>
      </c>
      <c r="G1694" t="str">
        <f>"9781118101162"</f>
        <v>9781118101162</v>
      </c>
      <c r="H1694" t="s">
        <v>60</v>
      </c>
      <c r="I1694">
        <v>658.5</v>
      </c>
      <c r="J1694" t="s">
        <v>3754</v>
      </c>
      <c r="K1694" t="s">
        <v>44</v>
      </c>
      <c r="N1694" t="s">
        <v>45</v>
      </c>
      <c r="O1694" t="s">
        <v>46</v>
      </c>
      <c r="P1694" t="s">
        <v>45</v>
      </c>
      <c r="Q1694" t="s">
        <v>47</v>
      </c>
      <c r="R1694" t="s">
        <v>44</v>
      </c>
      <c r="S1694">
        <v>0</v>
      </c>
      <c r="W1694" s="3">
        <v>3.7731481481481483E-3</v>
      </c>
      <c r="X1694" t="s">
        <v>3755</v>
      </c>
      <c r="Y1694">
        <v>28</v>
      </c>
      <c r="Z1694">
        <v>0</v>
      </c>
      <c r="AA1694" t="s">
        <v>49</v>
      </c>
      <c r="AB1694">
        <v>0</v>
      </c>
      <c r="AC1694" t="s">
        <v>49</v>
      </c>
      <c r="AD1694">
        <v>0</v>
      </c>
      <c r="AE1694">
        <v>10814734</v>
      </c>
      <c r="AF1694" t="s">
        <v>50</v>
      </c>
      <c r="AG1694" t="s">
        <v>1816</v>
      </c>
    </row>
    <row r="1695" spans="1:33" x14ac:dyDescent="0.35">
      <c r="A1695" s="1">
        <v>44863.624305555553</v>
      </c>
      <c r="B1695">
        <v>817383</v>
      </c>
      <c r="C1695" t="s">
        <v>3756</v>
      </c>
      <c r="D1695" t="s">
        <v>59</v>
      </c>
      <c r="E1695" s="2">
        <v>40967</v>
      </c>
      <c r="F1695" t="str">
        <f>"9781118159828"</f>
        <v>9781118159828</v>
      </c>
      <c r="G1695" t="str">
        <f>"9780470889084"</f>
        <v>9780470889084</v>
      </c>
      <c r="H1695" t="s">
        <v>252</v>
      </c>
      <c r="I1695" t="s">
        <v>3757</v>
      </c>
      <c r="J1695" t="s">
        <v>3758</v>
      </c>
      <c r="K1695" t="s">
        <v>44</v>
      </c>
      <c r="N1695" t="s">
        <v>45</v>
      </c>
      <c r="O1695" t="s">
        <v>46</v>
      </c>
      <c r="P1695" t="s">
        <v>45</v>
      </c>
      <c r="Q1695" t="s">
        <v>47</v>
      </c>
      <c r="R1695" t="s">
        <v>44</v>
      </c>
      <c r="S1695">
        <v>0</v>
      </c>
      <c r="W1695" s="3">
        <v>0</v>
      </c>
      <c r="X1695" t="s">
        <v>49</v>
      </c>
      <c r="Y1695">
        <v>0</v>
      </c>
      <c r="Z1695">
        <v>2</v>
      </c>
      <c r="AA1695" t="s">
        <v>3759</v>
      </c>
      <c r="AB1695">
        <v>60</v>
      </c>
      <c r="AC1695" t="s">
        <v>49</v>
      </c>
      <c r="AD1695">
        <v>0</v>
      </c>
      <c r="AE1695">
        <v>10529338</v>
      </c>
      <c r="AF1695" t="s">
        <v>50</v>
      </c>
      <c r="AG1695" t="s">
        <v>3593</v>
      </c>
    </row>
    <row r="1696" spans="1:33" x14ac:dyDescent="0.35">
      <c r="A1696" s="1">
        <v>44863.617361111108</v>
      </c>
      <c r="B1696">
        <v>848526</v>
      </c>
      <c r="C1696" t="s">
        <v>2541</v>
      </c>
      <c r="D1696" t="s">
        <v>59</v>
      </c>
      <c r="E1696" s="2">
        <v>41212</v>
      </c>
      <c r="F1696" t="str">
        <f>"9781118310069"</f>
        <v>9781118310069</v>
      </c>
      <c r="G1696" t="str">
        <f>"9780470566671"</f>
        <v>9780470566671</v>
      </c>
      <c r="H1696" t="s">
        <v>2542</v>
      </c>
      <c r="I1696">
        <v>610.28</v>
      </c>
      <c r="J1696" t="s">
        <v>2543</v>
      </c>
      <c r="K1696" t="s">
        <v>44</v>
      </c>
      <c r="N1696" t="s">
        <v>45</v>
      </c>
      <c r="O1696" t="s">
        <v>46</v>
      </c>
      <c r="P1696" t="s">
        <v>45</v>
      </c>
      <c r="Q1696" t="s">
        <v>47</v>
      </c>
      <c r="R1696" t="s">
        <v>44</v>
      </c>
      <c r="S1696">
        <v>0</v>
      </c>
      <c r="W1696" s="3">
        <v>1.068287037037037E-2</v>
      </c>
      <c r="X1696" t="s">
        <v>3760</v>
      </c>
      <c r="Y1696">
        <v>34</v>
      </c>
      <c r="Z1696">
        <v>0</v>
      </c>
      <c r="AA1696" t="s">
        <v>49</v>
      </c>
      <c r="AB1696">
        <v>0</v>
      </c>
      <c r="AC1696" t="s">
        <v>49</v>
      </c>
      <c r="AD1696">
        <v>0</v>
      </c>
      <c r="AE1696">
        <v>10615085</v>
      </c>
      <c r="AF1696" t="s">
        <v>63</v>
      </c>
      <c r="AG1696" t="s">
        <v>1536</v>
      </c>
    </row>
    <row r="1697" spans="1:33" x14ac:dyDescent="0.35">
      <c r="A1697" s="1">
        <v>44863.611805555556</v>
      </c>
      <c r="B1697">
        <v>144768</v>
      </c>
      <c r="C1697" t="s">
        <v>1748</v>
      </c>
      <c r="D1697" t="s">
        <v>502</v>
      </c>
      <c r="E1697" s="2">
        <v>36720</v>
      </c>
      <c r="F1697" t="str">
        <f>"9780511151118"</f>
        <v>9780511151118</v>
      </c>
      <c r="G1697" t="str">
        <f>"9780521772303"</f>
        <v>9780521772303</v>
      </c>
      <c r="H1697" t="s">
        <v>1069</v>
      </c>
      <c r="I1697">
        <v>892.70899999999995</v>
      </c>
      <c r="J1697" t="s">
        <v>1749</v>
      </c>
      <c r="K1697" t="s">
        <v>44</v>
      </c>
      <c r="N1697" t="s">
        <v>45</v>
      </c>
      <c r="O1697" t="s">
        <v>46</v>
      </c>
      <c r="P1697" t="s">
        <v>45</v>
      </c>
      <c r="Q1697" t="s">
        <v>47</v>
      </c>
      <c r="R1697" t="s">
        <v>44</v>
      </c>
      <c r="S1697">
        <v>0</v>
      </c>
      <c r="W1697" s="3">
        <v>3.1944444444444442E-3</v>
      </c>
      <c r="X1697" t="s">
        <v>3761</v>
      </c>
      <c r="Y1697">
        <v>5</v>
      </c>
      <c r="Z1697">
        <v>0</v>
      </c>
      <c r="AA1697" t="s">
        <v>49</v>
      </c>
      <c r="AB1697">
        <v>0</v>
      </c>
      <c r="AC1697" t="s">
        <v>49</v>
      </c>
      <c r="AD1697">
        <v>0</v>
      </c>
      <c r="AE1697">
        <v>10014925</v>
      </c>
      <c r="AF1697" t="s">
        <v>50</v>
      </c>
      <c r="AG1697" t="s">
        <v>493</v>
      </c>
    </row>
    <row r="1698" spans="1:33" x14ac:dyDescent="0.35">
      <c r="A1698" s="1">
        <v>44863.470138888886</v>
      </c>
      <c r="B1698">
        <v>5435263</v>
      </c>
      <c r="C1698" t="s">
        <v>3762</v>
      </c>
      <c r="D1698" t="s">
        <v>105</v>
      </c>
      <c r="E1698" s="2">
        <v>43274</v>
      </c>
      <c r="F1698" t="str">
        <f>"9783319943732"</f>
        <v>9783319943732</v>
      </c>
      <c r="G1698" t="str">
        <f>"9783319943725"</f>
        <v>9783319943725</v>
      </c>
      <c r="H1698" t="s">
        <v>3763</v>
      </c>
      <c r="I1698">
        <v>620.82000000000005</v>
      </c>
      <c r="J1698" t="s">
        <v>107</v>
      </c>
      <c r="K1698" t="s">
        <v>55</v>
      </c>
      <c r="Q1698" t="s">
        <v>47</v>
      </c>
      <c r="R1698" t="s">
        <v>44</v>
      </c>
      <c r="S1698">
        <v>0</v>
      </c>
      <c r="W1698" s="3">
        <v>0</v>
      </c>
      <c r="X1698" t="s">
        <v>49</v>
      </c>
      <c r="Y1698">
        <v>0</v>
      </c>
      <c r="Z1698">
        <v>0</v>
      </c>
      <c r="AA1698" t="s">
        <v>49</v>
      </c>
      <c r="AB1698">
        <v>0</v>
      </c>
      <c r="AC1698" t="s">
        <v>49</v>
      </c>
      <c r="AD1698">
        <v>0</v>
      </c>
      <c r="AE1698">
        <v>-1</v>
      </c>
      <c r="AF1698" t="s">
        <v>50</v>
      </c>
      <c r="AG1698" t="s">
        <v>3764</v>
      </c>
    </row>
    <row r="1699" spans="1:33" x14ac:dyDescent="0.35">
      <c r="A1699" s="1">
        <v>44862.773611111108</v>
      </c>
      <c r="B1699">
        <v>279494</v>
      </c>
      <c r="C1699" t="s">
        <v>1333</v>
      </c>
      <c r="D1699" t="s">
        <v>125</v>
      </c>
      <c r="E1699" s="2">
        <v>37280</v>
      </c>
      <c r="F1699" t="str">
        <f>"9780198032953"</f>
        <v>9780198032953</v>
      </c>
      <c r="G1699" t="str">
        <f>"9780195144208"</f>
        <v>9780195144208</v>
      </c>
      <c r="H1699" t="s">
        <v>667</v>
      </c>
      <c r="I1699" t="s">
        <v>1334</v>
      </c>
      <c r="J1699" t="s">
        <v>1335</v>
      </c>
      <c r="K1699" t="s">
        <v>44</v>
      </c>
      <c r="N1699" t="s">
        <v>45</v>
      </c>
      <c r="O1699" t="s">
        <v>46</v>
      </c>
      <c r="P1699" t="s">
        <v>45</v>
      </c>
      <c r="Q1699" t="s">
        <v>47</v>
      </c>
      <c r="R1699" t="s">
        <v>44</v>
      </c>
      <c r="S1699">
        <v>0</v>
      </c>
      <c r="W1699" s="3">
        <v>0</v>
      </c>
      <c r="X1699" t="s">
        <v>49</v>
      </c>
      <c r="Y1699">
        <v>0</v>
      </c>
      <c r="Z1699">
        <v>0</v>
      </c>
      <c r="AA1699" t="s">
        <v>49</v>
      </c>
      <c r="AB1699">
        <v>0</v>
      </c>
      <c r="AC1699" t="s">
        <v>49</v>
      </c>
      <c r="AD1699">
        <v>0</v>
      </c>
      <c r="AE1699">
        <v>11303309</v>
      </c>
      <c r="AF1699" t="s">
        <v>50</v>
      </c>
      <c r="AG1699" t="s">
        <v>1536</v>
      </c>
    </row>
    <row r="1700" spans="1:33" x14ac:dyDescent="0.35">
      <c r="A1700" s="1">
        <v>44862.772222222222</v>
      </c>
      <c r="B1700">
        <v>481105</v>
      </c>
      <c r="C1700" t="s">
        <v>3365</v>
      </c>
      <c r="D1700" t="s">
        <v>76</v>
      </c>
      <c r="E1700" s="2">
        <v>40214</v>
      </c>
      <c r="F1700" t="str">
        <f>"9780203863978"</f>
        <v>9780203863978</v>
      </c>
      <c r="G1700" t="str">
        <f>"9780415493345"</f>
        <v>9780415493345</v>
      </c>
      <c r="H1700" t="s">
        <v>667</v>
      </c>
      <c r="I1700" t="s">
        <v>3366</v>
      </c>
      <c r="J1700" t="s">
        <v>3367</v>
      </c>
      <c r="K1700" t="s">
        <v>44</v>
      </c>
      <c r="N1700" t="s">
        <v>45</v>
      </c>
      <c r="O1700" t="s">
        <v>46</v>
      </c>
      <c r="P1700" t="s">
        <v>45</v>
      </c>
      <c r="Q1700" t="s">
        <v>47</v>
      </c>
      <c r="R1700" t="s">
        <v>44</v>
      </c>
      <c r="S1700">
        <v>0</v>
      </c>
      <c r="W1700" s="3">
        <v>5.5555555555555556E-4</v>
      </c>
      <c r="X1700" t="s">
        <v>3765</v>
      </c>
      <c r="Y1700">
        <v>5</v>
      </c>
      <c r="Z1700">
        <v>0</v>
      </c>
      <c r="AA1700" t="s">
        <v>49</v>
      </c>
      <c r="AB1700">
        <v>0</v>
      </c>
      <c r="AC1700" t="s">
        <v>49</v>
      </c>
      <c r="AD1700">
        <v>0</v>
      </c>
      <c r="AE1700">
        <v>10370191</v>
      </c>
      <c r="AF1700" t="s">
        <v>50</v>
      </c>
      <c r="AG1700" t="s">
        <v>630</v>
      </c>
    </row>
    <row r="1701" spans="1:33" x14ac:dyDescent="0.35">
      <c r="A1701" s="1">
        <v>44862.740972222222</v>
      </c>
      <c r="B1701">
        <v>481105</v>
      </c>
      <c r="C1701" t="s">
        <v>3365</v>
      </c>
      <c r="D1701" t="s">
        <v>76</v>
      </c>
      <c r="E1701" s="2">
        <v>40214</v>
      </c>
      <c r="F1701" t="str">
        <f>"9780203863978"</f>
        <v>9780203863978</v>
      </c>
      <c r="G1701" t="str">
        <f>"9780415493345"</f>
        <v>9780415493345</v>
      </c>
      <c r="H1701" t="s">
        <v>667</v>
      </c>
      <c r="I1701" t="s">
        <v>3366</v>
      </c>
      <c r="J1701" t="s">
        <v>3367</v>
      </c>
      <c r="K1701" t="s">
        <v>44</v>
      </c>
      <c r="N1701" t="s">
        <v>45</v>
      </c>
      <c r="O1701" t="s">
        <v>46</v>
      </c>
      <c r="P1701" t="s">
        <v>45</v>
      </c>
      <c r="Q1701" t="s">
        <v>47</v>
      </c>
      <c r="R1701" t="s">
        <v>44</v>
      </c>
      <c r="S1701">
        <v>0</v>
      </c>
      <c r="W1701" s="3">
        <v>3.4722222222222224E-4</v>
      </c>
      <c r="X1701" t="s">
        <v>3766</v>
      </c>
      <c r="Y1701">
        <v>5</v>
      </c>
      <c r="Z1701">
        <v>0</v>
      </c>
      <c r="AA1701" t="s">
        <v>49</v>
      </c>
      <c r="AB1701">
        <v>0</v>
      </c>
      <c r="AC1701" t="s">
        <v>49</v>
      </c>
      <c r="AD1701">
        <v>0</v>
      </c>
      <c r="AE1701">
        <v>10370191</v>
      </c>
      <c r="AF1701" t="s">
        <v>50</v>
      </c>
      <c r="AG1701" t="s">
        <v>630</v>
      </c>
    </row>
    <row r="1702" spans="1:33" x14ac:dyDescent="0.35">
      <c r="A1702" s="1">
        <v>44862.739583333336</v>
      </c>
      <c r="B1702">
        <v>223579</v>
      </c>
      <c r="C1702" t="s">
        <v>3372</v>
      </c>
      <c r="D1702" t="s">
        <v>443</v>
      </c>
      <c r="E1702" s="2">
        <v>37928</v>
      </c>
      <c r="F1702" t="str">
        <f>"9780520937789"</f>
        <v>9780520937789</v>
      </c>
      <c r="G1702" t="str">
        <f>"9780520237629"</f>
        <v>9780520237629</v>
      </c>
      <c r="H1702" t="s">
        <v>1540</v>
      </c>
      <c r="I1702" t="s">
        <v>3373</v>
      </c>
      <c r="J1702" t="s">
        <v>3374</v>
      </c>
      <c r="K1702" t="s">
        <v>44</v>
      </c>
      <c r="N1702" t="s">
        <v>45</v>
      </c>
      <c r="O1702" t="s">
        <v>46</v>
      </c>
      <c r="P1702" t="s">
        <v>177</v>
      </c>
      <c r="Q1702" t="s">
        <v>47</v>
      </c>
      <c r="R1702" t="s">
        <v>55</v>
      </c>
      <c r="S1702">
        <v>0</v>
      </c>
      <c r="W1702" s="3">
        <v>4.0509259259259258E-4</v>
      </c>
      <c r="X1702" t="s">
        <v>3767</v>
      </c>
      <c r="Y1702">
        <v>7</v>
      </c>
      <c r="Z1702">
        <v>0</v>
      </c>
      <c r="AA1702" t="s">
        <v>49</v>
      </c>
      <c r="AB1702">
        <v>0</v>
      </c>
      <c r="AC1702" t="s">
        <v>49</v>
      </c>
      <c r="AD1702">
        <v>0</v>
      </c>
      <c r="AE1702">
        <v>10057122</v>
      </c>
      <c r="AF1702" t="s">
        <v>50</v>
      </c>
      <c r="AG1702" t="s">
        <v>630</v>
      </c>
    </row>
    <row r="1703" spans="1:33" x14ac:dyDescent="0.35">
      <c r="A1703" s="1">
        <v>44862.719444444447</v>
      </c>
      <c r="B1703">
        <v>1779308</v>
      </c>
      <c r="C1703" t="s">
        <v>3768</v>
      </c>
      <c r="D1703" t="s">
        <v>59</v>
      </c>
      <c r="E1703" s="2">
        <v>41960</v>
      </c>
      <c r="F1703" t="str">
        <f>"9781118312704"</f>
        <v>9781118312704</v>
      </c>
      <c r="G1703" t="str">
        <f>"9781118312698"</f>
        <v>9781118312698</v>
      </c>
      <c r="H1703" t="s">
        <v>3769</v>
      </c>
      <c r="I1703" t="s">
        <v>3770</v>
      </c>
      <c r="J1703" t="s">
        <v>3771</v>
      </c>
      <c r="K1703" t="s">
        <v>44</v>
      </c>
      <c r="N1703" t="s">
        <v>45</v>
      </c>
      <c r="O1703" t="s">
        <v>46</v>
      </c>
      <c r="P1703" t="s">
        <v>45</v>
      </c>
      <c r="Q1703" t="s">
        <v>47</v>
      </c>
      <c r="R1703" t="s">
        <v>44</v>
      </c>
      <c r="S1703">
        <v>0</v>
      </c>
      <c r="W1703" s="3">
        <v>2.2916666666666667E-3</v>
      </c>
      <c r="X1703" t="s">
        <v>3772</v>
      </c>
      <c r="Y1703">
        <v>44</v>
      </c>
      <c r="Z1703">
        <v>0</v>
      </c>
      <c r="AA1703" t="s">
        <v>49</v>
      </c>
      <c r="AB1703">
        <v>0</v>
      </c>
      <c r="AC1703" t="s">
        <v>49</v>
      </c>
      <c r="AD1703">
        <v>0</v>
      </c>
      <c r="AE1703">
        <v>10960587</v>
      </c>
      <c r="AF1703" t="s">
        <v>50</v>
      </c>
      <c r="AG1703" t="s">
        <v>866</v>
      </c>
    </row>
    <row r="1704" spans="1:33" x14ac:dyDescent="0.35">
      <c r="A1704" s="1">
        <v>44862.677083333336</v>
      </c>
      <c r="B1704">
        <v>6719368</v>
      </c>
      <c r="C1704" t="s">
        <v>3773</v>
      </c>
      <c r="D1704" t="s">
        <v>59</v>
      </c>
      <c r="E1704" s="2">
        <v>44453</v>
      </c>
      <c r="F1704" t="str">
        <f>"9781119713166"</f>
        <v>9781119713166</v>
      </c>
      <c r="G1704" t="str">
        <f>"9781119713159"</f>
        <v>9781119713159</v>
      </c>
      <c r="H1704" t="s">
        <v>538</v>
      </c>
      <c r="I1704" t="s">
        <v>3774</v>
      </c>
      <c r="J1704" t="s">
        <v>3775</v>
      </c>
      <c r="K1704" t="s">
        <v>55</v>
      </c>
      <c r="Q1704" t="s">
        <v>47</v>
      </c>
      <c r="R1704" t="s">
        <v>44</v>
      </c>
      <c r="S1704">
        <v>0</v>
      </c>
      <c r="W1704" s="3">
        <v>2.2800925925925927E-3</v>
      </c>
      <c r="X1704" t="s">
        <v>3776</v>
      </c>
      <c r="Y1704">
        <v>50</v>
      </c>
      <c r="Z1704">
        <v>0</v>
      </c>
      <c r="AA1704" t="s">
        <v>49</v>
      </c>
      <c r="AB1704">
        <v>0</v>
      </c>
      <c r="AC1704" t="s">
        <v>49</v>
      </c>
      <c r="AD1704">
        <v>0</v>
      </c>
      <c r="AE1704">
        <v>-1</v>
      </c>
      <c r="AF1704" t="s">
        <v>63</v>
      </c>
      <c r="AG1704" t="s">
        <v>1536</v>
      </c>
    </row>
    <row r="1705" spans="1:33" x14ac:dyDescent="0.35">
      <c r="A1705" s="1">
        <v>44862.638194444444</v>
      </c>
      <c r="B1705">
        <v>819162</v>
      </c>
      <c r="C1705" t="s">
        <v>3732</v>
      </c>
      <c r="D1705" t="s">
        <v>59</v>
      </c>
      <c r="E1705" s="2">
        <v>40812</v>
      </c>
      <c r="F1705" t="str">
        <f>"9781119978572"</f>
        <v>9781119978572</v>
      </c>
      <c r="G1705" t="str">
        <f>"9780470972007"</f>
        <v>9780470972007</v>
      </c>
      <c r="H1705" t="s">
        <v>1720</v>
      </c>
      <c r="I1705" t="s">
        <v>3733</v>
      </c>
      <c r="J1705" t="s">
        <v>3734</v>
      </c>
      <c r="K1705" t="s">
        <v>44</v>
      </c>
      <c r="N1705" t="s">
        <v>45</v>
      </c>
      <c r="O1705" t="s">
        <v>46</v>
      </c>
      <c r="P1705" t="s">
        <v>45</v>
      </c>
      <c r="Q1705" t="s">
        <v>47</v>
      </c>
      <c r="R1705" t="s">
        <v>44</v>
      </c>
      <c r="S1705">
        <v>0</v>
      </c>
      <c r="W1705" s="3">
        <v>2.3773148148148151E-2</v>
      </c>
      <c r="X1705" t="s">
        <v>3777</v>
      </c>
      <c r="Y1705">
        <v>15</v>
      </c>
      <c r="Z1705">
        <v>0</v>
      </c>
      <c r="AA1705" t="s">
        <v>49</v>
      </c>
      <c r="AB1705">
        <v>0</v>
      </c>
      <c r="AC1705" t="s">
        <v>49</v>
      </c>
      <c r="AD1705">
        <v>0</v>
      </c>
      <c r="AE1705">
        <v>10488531</v>
      </c>
      <c r="AF1705" t="s">
        <v>50</v>
      </c>
      <c r="AG1705" t="s">
        <v>1536</v>
      </c>
    </row>
    <row r="1706" spans="1:33" x14ac:dyDescent="0.35">
      <c r="A1706" s="1">
        <v>44862.631944444445</v>
      </c>
      <c r="B1706">
        <v>467565</v>
      </c>
      <c r="C1706" t="s">
        <v>3326</v>
      </c>
      <c r="D1706" t="s">
        <v>473</v>
      </c>
      <c r="E1706" s="2">
        <v>39926</v>
      </c>
      <c r="F1706" t="str">
        <f>"9789047428787"</f>
        <v>9789047428787</v>
      </c>
      <c r="G1706" t="str">
        <f>"9789004175341"</f>
        <v>9789004175341</v>
      </c>
      <c r="H1706" t="s">
        <v>3327</v>
      </c>
      <c r="I1706">
        <v>956.04</v>
      </c>
      <c r="J1706" t="s">
        <v>3328</v>
      </c>
      <c r="K1706" t="s">
        <v>44</v>
      </c>
      <c r="N1706" t="s">
        <v>45</v>
      </c>
      <c r="O1706" t="s">
        <v>46</v>
      </c>
      <c r="P1706" t="s">
        <v>45</v>
      </c>
      <c r="Q1706" t="s">
        <v>47</v>
      </c>
      <c r="R1706" t="s">
        <v>44</v>
      </c>
      <c r="S1706">
        <v>0</v>
      </c>
      <c r="W1706" s="3">
        <v>2.5462962962962961E-4</v>
      </c>
      <c r="X1706" t="s">
        <v>2908</v>
      </c>
      <c r="Y1706">
        <v>5</v>
      </c>
      <c r="Z1706">
        <v>0</v>
      </c>
      <c r="AA1706" t="s">
        <v>49</v>
      </c>
      <c r="AB1706">
        <v>0</v>
      </c>
      <c r="AC1706" t="s">
        <v>49</v>
      </c>
      <c r="AD1706">
        <v>0</v>
      </c>
      <c r="AE1706">
        <v>10349309</v>
      </c>
      <c r="AF1706" t="s">
        <v>50</v>
      </c>
      <c r="AG1706" t="s">
        <v>630</v>
      </c>
    </row>
    <row r="1707" spans="1:33" x14ac:dyDescent="0.35">
      <c r="A1707" s="1">
        <v>44862.571527777778</v>
      </c>
      <c r="B1707">
        <v>279494</v>
      </c>
      <c r="C1707" t="s">
        <v>1333</v>
      </c>
      <c r="D1707" t="s">
        <v>125</v>
      </c>
      <c r="E1707" s="2">
        <v>37280</v>
      </c>
      <c r="F1707" t="str">
        <f>"9780198032953"</f>
        <v>9780198032953</v>
      </c>
      <c r="G1707" t="str">
        <f>"9780195144208"</f>
        <v>9780195144208</v>
      </c>
      <c r="H1707" t="s">
        <v>667</v>
      </c>
      <c r="I1707" t="s">
        <v>1334</v>
      </c>
      <c r="J1707" t="s">
        <v>1335</v>
      </c>
      <c r="K1707" t="s">
        <v>44</v>
      </c>
      <c r="N1707" t="s">
        <v>45</v>
      </c>
      <c r="O1707" t="s">
        <v>46</v>
      </c>
      <c r="P1707" t="s">
        <v>45</v>
      </c>
      <c r="Q1707" t="s">
        <v>47</v>
      </c>
      <c r="R1707" t="s">
        <v>44</v>
      </c>
      <c r="S1707">
        <v>0</v>
      </c>
      <c r="W1707" s="3">
        <v>8.4027777777777781E-3</v>
      </c>
      <c r="X1707" t="s">
        <v>3778</v>
      </c>
      <c r="Y1707">
        <v>24</v>
      </c>
      <c r="Z1707">
        <v>0</v>
      </c>
      <c r="AA1707" t="s">
        <v>49</v>
      </c>
      <c r="AB1707">
        <v>0</v>
      </c>
      <c r="AC1707" t="s">
        <v>49</v>
      </c>
      <c r="AD1707">
        <v>0</v>
      </c>
      <c r="AE1707">
        <v>11303309</v>
      </c>
      <c r="AF1707" t="s">
        <v>63</v>
      </c>
      <c r="AG1707" t="s">
        <v>3593</v>
      </c>
    </row>
    <row r="1708" spans="1:33" x14ac:dyDescent="0.35">
      <c r="A1708" s="1">
        <v>44862.535416666666</v>
      </c>
      <c r="B1708">
        <v>819162</v>
      </c>
      <c r="C1708" t="s">
        <v>3732</v>
      </c>
      <c r="D1708" t="s">
        <v>59</v>
      </c>
      <c r="E1708" s="2">
        <v>40812</v>
      </c>
      <c r="F1708" t="str">
        <f>"9781119978572"</f>
        <v>9781119978572</v>
      </c>
      <c r="G1708" t="str">
        <f>"9780470972007"</f>
        <v>9780470972007</v>
      </c>
      <c r="H1708" t="s">
        <v>1720</v>
      </c>
      <c r="I1708" t="s">
        <v>3733</v>
      </c>
      <c r="J1708" t="s">
        <v>3734</v>
      </c>
      <c r="K1708" t="s">
        <v>44</v>
      </c>
      <c r="N1708" t="s">
        <v>45</v>
      </c>
      <c r="O1708" t="s">
        <v>46</v>
      </c>
      <c r="P1708" t="s">
        <v>45</v>
      </c>
      <c r="Q1708" t="s">
        <v>47</v>
      </c>
      <c r="R1708" t="s">
        <v>44</v>
      </c>
      <c r="S1708">
        <v>0</v>
      </c>
      <c r="W1708" s="3">
        <v>3.4942129629629635E-2</v>
      </c>
      <c r="X1708" t="s">
        <v>3779</v>
      </c>
      <c r="Y1708">
        <v>23</v>
      </c>
      <c r="Z1708">
        <v>0</v>
      </c>
      <c r="AA1708" t="s">
        <v>49</v>
      </c>
      <c r="AB1708">
        <v>0</v>
      </c>
      <c r="AC1708" t="s">
        <v>49</v>
      </c>
      <c r="AD1708">
        <v>0</v>
      </c>
      <c r="AE1708">
        <v>10488531</v>
      </c>
      <c r="AF1708" t="s">
        <v>63</v>
      </c>
      <c r="AG1708" t="s">
        <v>1536</v>
      </c>
    </row>
    <row r="1709" spans="1:33" x14ac:dyDescent="0.35">
      <c r="A1709" s="1">
        <v>44862.509722222225</v>
      </c>
      <c r="B1709">
        <v>279494</v>
      </c>
      <c r="C1709" t="s">
        <v>1333</v>
      </c>
      <c r="D1709" t="s">
        <v>125</v>
      </c>
      <c r="E1709" s="2">
        <v>37280</v>
      </c>
      <c r="F1709" t="str">
        <f>"9780198032953"</f>
        <v>9780198032953</v>
      </c>
      <c r="G1709" t="str">
        <f>"9780195144208"</f>
        <v>9780195144208</v>
      </c>
      <c r="H1709" t="s">
        <v>667</v>
      </c>
      <c r="I1709" t="s">
        <v>1334</v>
      </c>
      <c r="J1709" t="s">
        <v>1335</v>
      </c>
      <c r="K1709" t="s">
        <v>44</v>
      </c>
      <c r="N1709" t="s">
        <v>45</v>
      </c>
      <c r="O1709" t="s">
        <v>46</v>
      </c>
      <c r="P1709" t="s">
        <v>45</v>
      </c>
      <c r="Q1709" t="s">
        <v>47</v>
      </c>
      <c r="R1709" t="s">
        <v>44</v>
      </c>
      <c r="S1709">
        <v>0</v>
      </c>
      <c r="W1709" s="3">
        <v>1.996527777777778E-2</v>
      </c>
      <c r="X1709" t="s">
        <v>3780</v>
      </c>
      <c r="Y1709">
        <v>18</v>
      </c>
      <c r="Z1709">
        <v>0</v>
      </c>
      <c r="AA1709" t="s">
        <v>49</v>
      </c>
      <c r="AB1709">
        <v>0</v>
      </c>
      <c r="AC1709" t="s">
        <v>3781</v>
      </c>
      <c r="AD1709">
        <v>3</v>
      </c>
      <c r="AE1709">
        <v>11303309</v>
      </c>
      <c r="AF1709" t="s">
        <v>63</v>
      </c>
      <c r="AG1709" t="s">
        <v>3593</v>
      </c>
    </row>
    <row r="1710" spans="1:33" x14ac:dyDescent="0.35">
      <c r="A1710" s="1">
        <v>44862.490972222222</v>
      </c>
      <c r="B1710">
        <v>634317</v>
      </c>
      <c r="C1710" t="s">
        <v>3738</v>
      </c>
      <c r="D1710" t="s">
        <v>1613</v>
      </c>
      <c r="E1710" s="2">
        <v>40410</v>
      </c>
      <c r="F1710" t="str">
        <f>"9780810874930"</f>
        <v>9780810874930</v>
      </c>
      <c r="G1710" t="str">
        <f>"9780810859630"</f>
        <v>9780810859630</v>
      </c>
      <c r="H1710" t="s">
        <v>498</v>
      </c>
      <c r="I1710">
        <v>193</v>
      </c>
      <c r="J1710" t="s">
        <v>3739</v>
      </c>
      <c r="K1710" t="s">
        <v>44</v>
      </c>
      <c r="N1710" t="s">
        <v>45</v>
      </c>
      <c r="O1710" t="s">
        <v>46</v>
      </c>
      <c r="P1710" t="s">
        <v>45</v>
      </c>
      <c r="Q1710" t="s">
        <v>47</v>
      </c>
      <c r="R1710" t="s">
        <v>44</v>
      </c>
      <c r="S1710">
        <v>0</v>
      </c>
      <c r="W1710" s="3">
        <v>6.215277777777777E-3</v>
      </c>
      <c r="X1710" t="s">
        <v>3782</v>
      </c>
      <c r="Y1710">
        <v>38</v>
      </c>
      <c r="Z1710">
        <v>0</v>
      </c>
      <c r="AA1710" t="s">
        <v>49</v>
      </c>
      <c r="AB1710">
        <v>0</v>
      </c>
      <c r="AC1710" t="s">
        <v>49</v>
      </c>
      <c r="AD1710">
        <v>0</v>
      </c>
      <c r="AE1710">
        <v>10421467</v>
      </c>
      <c r="AF1710" t="s">
        <v>50</v>
      </c>
      <c r="AG1710" t="s">
        <v>1536</v>
      </c>
    </row>
    <row r="1711" spans="1:33" x14ac:dyDescent="0.35">
      <c r="A1711" s="1">
        <v>44862.470833333333</v>
      </c>
      <c r="B1711">
        <v>5846206</v>
      </c>
      <c r="C1711" t="s">
        <v>3783</v>
      </c>
      <c r="D1711" t="s">
        <v>137</v>
      </c>
      <c r="E1711" s="2">
        <v>43560</v>
      </c>
      <c r="F1711" t="str">
        <f>"9781536153309"</f>
        <v>9781536153309</v>
      </c>
      <c r="G1711" t="str">
        <f>"9781536153293"</f>
        <v>9781536153293</v>
      </c>
      <c r="H1711" t="s">
        <v>639</v>
      </c>
      <c r="K1711" t="s">
        <v>55</v>
      </c>
      <c r="Q1711" t="s">
        <v>47</v>
      </c>
      <c r="R1711" t="s">
        <v>44</v>
      </c>
      <c r="S1711">
        <v>0</v>
      </c>
      <c r="W1711" s="3">
        <v>3.3564814814814811E-3</v>
      </c>
      <c r="X1711" t="s">
        <v>3784</v>
      </c>
      <c r="Y1711">
        <v>40</v>
      </c>
      <c r="Z1711">
        <v>0</v>
      </c>
      <c r="AA1711" t="s">
        <v>49</v>
      </c>
      <c r="AB1711">
        <v>0</v>
      </c>
      <c r="AC1711" t="s">
        <v>49</v>
      </c>
      <c r="AD1711">
        <v>0</v>
      </c>
      <c r="AE1711">
        <v>-1</v>
      </c>
      <c r="AF1711" t="s">
        <v>50</v>
      </c>
      <c r="AG1711" t="s">
        <v>1536</v>
      </c>
    </row>
    <row r="1712" spans="1:33" x14ac:dyDescent="0.35">
      <c r="A1712" s="1">
        <v>44862.448611111111</v>
      </c>
      <c r="B1712">
        <v>948927</v>
      </c>
      <c r="C1712" t="s">
        <v>3785</v>
      </c>
      <c r="D1712" t="s">
        <v>3786</v>
      </c>
      <c r="E1712" s="2">
        <v>39052</v>
      </c>
      <c r="F1712" t="str">
        <f>"9789185509836"</f>
        <v>9789185509836</v>
      </c>
      <c r="G1712" t="str">
        <f>"9789189116818"</f>
        <v>9789189116818</v>
      </c>
      <c r="H1712" t="s">
        <v>1939</v>
      </c>
      <c r="I1712">
        <v>398.209363</v>
      </c>
      <c r="J1712" t="s">
        <v>3787</v>
      </c>
      <c r="K1712" t="s">
        <v>44</v>
      </c>
      <c r="N1712" t="s">
        <v>45</v>
      </c>
      <c r="O1712" t="s">
        <v>46</v>
      </c>
      <c r="P1712" t="s">
        <v>45</v>
      </c>
      <c r="Q1712" t="s">
        <v>47</v>
      </c>
      <c r="R1712" t="s">
        <v>44</v>
      </c>
      <c r="S1712">
        <v>0</v>
      </c>
      <c r="W1712" s="3">
        <v>1.3888888888888889E-4</v>
      </c>
      <c r="X1712" t="s">
        <v>942</v>
      </c>
      <c r="Y1712">
        <v>5</v>
      </c>
      <c r="Z1712">
        <v>0</v>
      </c>
      <c r="AA1712" t="s">
        <v>49</v>
      </c>
      <c r="AB1712">
        <v>0</v>
      </c>
      <c r="AC1712" t="s">
        <v>49</v>
      </c>
      <c r="AD1712">
        <v>0</v>
      </c>
      <c r="AE1712">
        <v>10593046</v>
      </c>
      <c r="AF1712" t="s">
        <v>50</v>
      </c>
      <c r="AG1712" t="s">
        <v>3666</v>
      </c>
    </row>
    <row r="1713" spans="1:33" x14ac:dyDescent="0.35">
      <c r="A1713" s="1">
        <v>44862.433333333334</v>
      </c>
      <c r="B1713">
        <v>1390902</v>
      </c>
      <c r="C1713" t="s">
        <v>3788</v>
      </c>
      <c r="D1713" t="s">
        <v>819</v>
      </c>
      <c r="E1713" s="2">
        <v>41696</v>
      </c>
      <c r="F1713" t="str">
        <f>"9780814433423"</f>
        <v>9780814433423</v>
      </c>
      <c r="G1713" t="str">
        <f>"9780814433416"</f>
        <v>9780814433416</v>
      </c>
      <c r="H1713" t="s">
        <v>60</v>
      </c>
      <c r="I1713" t="s">
        <v>1652</v>
      </c>
      <c r="J1713" t="s">
        <v>3789</v>
      </c>
      <c r="K1713" t="s">
        <v>44</v>
      </c>
      <c r="N1713" t="s">
        <v>45</v>
      </c>
      <c r="O1713" t="s">
        <v>46</v>
      </c>
      <c r="P1713" t="s">
        <v>45</v>
      </c>
      <c r="Q1713" t="s">
        <v>47</v>
      </c>
      <c r="R1713" t="s">
        <v>44</v>
      </c>
      <c r="S1713">
        <v>0</v>
      </c>
      <c r="W1713" s="3">
        <v>3.9814814814814817E-3</v>
      </c>
      <c r="X1713" t="s">
        <v>3790</v>
      </c>
      <c r="Y1713">
        <v>29</v>
      </c>
      <c r="Z1713">
        <v>1</v>
      </c>
      <c r="AA1713" t="s">
        <v>3791</v>
      </c>
      <c r="AB1713">
        <v>25</v>
      </c>
      <c r="AC1713" t="s">
        <v>49</v>
      </c>
      <c r="AD1713">
        <v>0</v>
      </c>
      <c r="AE1713">
        <v>10821817</v>
      </c>
      <c r="AF1713" t="s">
        <v>50</v>
      </c>
      <c r="AG1713" t="s">
        <v>1536</v>
      </c>
    </row>
    <row r="1714" spans="1:33" x14ac:dyDescent="0.35">
      <c r="A1714" s="1">
        <v>44862.432638888888</v>
      </c>
      <c r="B1714">
        <v>864235</v>
      </c>
      <c r="C1714" t="s">
        <v>3792</v>
      </c>
      <c r="D1714" t="s">
        <v>940</v>
      </c>
      <c r="E1714" s="2">
        <v>40641</v>
      </c>
      <c r="F1714" t="str">
        <f>"9781608052479"</f>
        <v>9781608052479</v>
      </c>
      <c r="G1714" t="str">
        <f>"9781608058372"</f>
        <v>9781608058372</v>
      </c>
      <c r="H1714" t="s">
        <v>133</v>
      </c>
      <c r="I1714">
        <v>338.80973</v>
      </c>
      <c r="J1714" t="s">
        <v>3793</v>
      </c>
      <c r="K1714" t="s">
        <v>44</v>
      </c>
      <c r="N1714" t="s">
        <v>45</v>
      </c>
      <c r="O1714" t="s">
        <v>46</v>
      </c>
      <c r="P1714" t="s">
        <v>45</v>
      </c>
      <c r="Q1714" t="s">
        <v>47</v>
      </c>
      <c r="R1714" t="s">
        <v>44</v>
      </c>
      <c r="S1714">
        <v>0</v>
      </c>
      <c r="W1714" s="3">
        <v>1.9675925925925926E-4</v>
      </c>
      <c r="X1714" t="s">
        <v>3360</v>
      </c>
      <c r="Y1714">
        <v>4</v>
      </c>
      <c r="Z1714">
        <v>0</v>
      </c>
      <c r="AA1714" t="s">
        <v>49</v>
      </c>
      <c r="AB1714">
        <v>0</v>
      </c>
      <c r="AC1714" t="s">
        <v>49</v>
      </c>
      <c r="AD1714">
        <v>0</v>
      </c>
      <c r="AE1714">
        <v>10492617</v>
      </c>
      <c r="AF1714" t="s">
        <v>50</v>
      </c>
      <c r="AG1714" t="s">
        <v>1536</v>
      </c>
    </row>
    <row r="1715" spans="1:33" x14ac:dyDescent="0.35">
      <c r="A1715" s="1">
        <v>44862.413888888892</v>
      </c>
      <c r="B1715">
        <v>3060916</v>
      </c>
      <c r="C1715" t="s">
        <v>3794</v>
      </c>
      <c r="D1715" t="s">
        <v>76</v>
      </c>
      <c r="E1715" s="2">
        <v>38434</v>
      </c>
      <c r="F1715" t="str">
        <f>"9781315478876"</f>
        <v>9781315478876</v>
      </c>
      <c r="G1715" t="str">
        <f>"9781844650279"</f>
        <v>9781844650279</v>
      </c>
      <c r="H1715" t="s">
        <v>498</v>
      </c>
      <c r="I1715">
        <v>194</v>
      </c>
      <c r="J1715" t="s">
        <v>3795</v>
      </c>
      <c r="K1715" t="s">
        <v>44</v>
      </c>
      <c r="N1715" t="s">
        <v>45</v>
      </c>
      <c r="O1715" t="s">
        <v>46</v>
      </c>
      <c r="P1715" t="s">
        <v>45</v>
      </c>
      <c r="Q1715" t="s">
        <v>47</v>
      </c>
      <c r="R1715" t="s">
        <v>44</v>
      </c>
      <c r="S1715">
        <v>0</v>
      </c>
      <c r="W1715" s="3">
        <v>1.3078703703703705E-3</v>
      </c>
      <c r="X1715" t="s">
        <v>3796</v>
      </c>
      <c r="Y1715">
        <v>15</v>
      </c>
      <c r="Z1715">
        <v>0</v>
      </c>
      <c r="AA1715" t="s">
        <v>49</v>
      </c>
      <c r="AB1715">
        <v>0</v>
      </c>
      <c r="AC1715" t="s">
        <v>49</v>
      </c>
      <c r="AD1715">
        <v>0</v>
      </c>
      <c r="AE1715">
        <v>10455559</v>
      </c>
      <c r="AF1715" t="s">
        <v>50</v>
      </c>
      <c r="AG1715" t="s">
        <v>3666</v>
      </c>
    </row>
    <row r="1716" spans="1:33" x14ac:dyDescent="0.35">
      <c r="A1716" s="1">
        <v>44862.40902777778</v>
      </c>
      <c r="B1716">
        <v>279494</v>
      </c>
      <c r="C1716" t="s">
        <v>1333</v>
      </c>
      <c r="D1716" t="s">
        <v>125</v>
      </c>
      <c r="E1716" s="2">
        <v>37280</v>
      </c>
      <c r="F1716" t="str">
        <f>"9780198032953"</f>
        <v>9780198032953</v>
      </c>
      <c r="G1716" t="str">
        <f>"9780195144208"</f>
        <v>9780195144208</v>
      </c>
      <c r="H1716" t="s">
        <v>667</v>
      </c>
      <c r="I1716" t="s">
        <v>1334</v>
      </c>
      <c r="J1716" t="s">
        <v>1335</v>
      </c>
      <c r="K1716" t="s">
        <v>44</v>
      </c>
      <c r="N1716" t="s">
        <v>45</v>
      </c>
      <c r="O1716" t="s">
        <v>46</v>
      </c>
      <c r="P1716" t="s">
        <v>45</v>
      </c>
      <c r="Q1716" t="s">
        <v>47</v>
      </c>
      <c r="R1716" t="s">
        <v>44</v>
      </c>
      <c r="S1716">
        <v>0</v>
      </c>
      <c r="W1716" s="3">
        <v>7.210648148148148E-2</v>
      </c>
      <c r="X1716" t="s">
        <v>3797</v>
      </c>
      <c r="Y1716">
        <v>56</v>
      </c>
      <c r="Z1716">
        <v>0</v>
      </c>
      <c r="AA1716" t="s">
        <v>49</v>
      </c>
      <c r="AB1716">
        <v>0</v>
      </c>
      <c r="AC1716" t="s">
        <v>49</v>
      </c>
      <c r="AD1716">
        <v>0</v>
      </c>
      <c r="AE1716">
        <v>11303309</v>
      </c>
      <c r="AF1716" t="s">
        <v>63</v>
      </c>
      <c r="AG1716" t="s">
        <v>3593</v>
      </c>
    </row>
    <row r="1717" spans="1:33" x14ac:dyDescent="0.35">
      <c r="A1717" s="1">
        <v>44862.401388888888</v>
      </c>
      <c r="B1717">
        <v>3399000</v>
      </c>
      <c r="C1717" t="s">
        <v>3798</v>
      </c>
      <c r="D1717" t="s">
        <v>3799</v>
      </c>
      <c r="E1717" s="2">
        <v>36526</v>
      </c>
      <c r="F1717" t="str">
        <f>"9782759207213"</f>
        <v>9782759207213</v>
      </c>
      <c r="G1717" t="str">
        <f>""</f>
        <v/>
      </c>
      <c r="H1717" t="s">
        <v>1626</v>
      </c>
      <c r="J1717" t="s">
        <v>3800</v>
      </c>
      <c r="K1717" t="s">
        <v>44</v>
      </c>
      <c r="N1717" t="s">
        <v>45</v>
      </c>
      <c r="O1717" t="s">
        <v>46</v>
      </c>
      <c r="P1717" t="s">
        <v>177</v>
      </c>
      <c r="Q1717" t="s">
        <v>47</v>
      </c>
      <c r="R1717" t="s">
        <v>55</v>
      </c>
      <c r="S1717">
        <v>0</v>
      </c>
      <c r="W1717" s="3">
        <v>5.37037037037037E-3</v>
      </c>
      <c r="X1717" t="s">
        <v>3801</v>
      </c>
      <c r="Y1717">
        <v>45</v>
      </c>
      <c r="Z1717">
        <v>0</v>
      </c>
      <c r="AA1717" t="s">
        <v>49</v>
      </c>
      <c r="AB1717">
        <v>0</v>
      </c>
      <c r="AC1717" t="s">
        <v>49</v>
      </c>
      <c r="AD1717">
        <v>0</v>
      </c>
      <c r="AE1717">
        <v>10686519</v>
      </c>
      <c r="AF1717" t="s">
        <v>50</v>
      </c>
      <c r="AG1717" t="s">
        <v>3666</v>
      </c>
    </row>
    <row r="1718" spans="1:33" x14ac:dyDescent="0.35">
      <c r="A1718" s="1">
        <v>44862.393055555556</v>
      </c>
      <c r="B1718">
        <v>879523</v>
      </c>
      <c r="C1718" t="s">
        <v>3802</v>
      </c>
      <c r="D1718" t="s">
        <v>3803</v>
      </c>
      <c r="E1718" s="2">
        <v>40483</v>
      </c>
      <c r="F1718" t="str">
        <f>"9781937455064"</f>
        <v>9781937455064</v>
      </c>
      <c r="G1718" t="str">
        <f>"9780982863015"</f>
        <v>9780982863015</v>
      </c>
      <c r="H1718" t="s">
        <v>60</v>
      </c>
      <c r="I1718">
        <v>658.4</v>
      </c>
      <c r="J1718" t="s">
        <v>3804</v>
      </c>
      <c r="K1718" t="s">
        <v>44</v>
      </c>
      <c r="N1718" t="s">
        <v>45</v>
      </c>
      <c r="O1718" t="s">
        <v>46</v>
      </c>
      <c r="P1718" t="s">
        <v>45</v>
      </c>
      <c r="Q1718" t="s">
        <v>47</v>
      </c>
      <c r="R1718" t="s">
        <v>44</v>
      </c>
      <c r="S1718">
        <v>0</v>
      </c>
      <c r="W1718" s="3">
        <v>1.7361111111111112E-4</v>
      </c>
      <c r="X1718" t="s">
        <v>3805</v>
      </c>
      <c r="Y1718">
        <v>3</v>
      </c>
      <c r="Z1718">
        <v>0</v>
      </c>
      <c r="AA1718" t="s">
        <v>49</v>
      </c>
      <c r="AB1718">
        <v>0</v>
      </c>
      <c r="AC1718" t="s">
        <v>49</v>
      </c>
      <c r="AD1718">
        <v>0</v>
      </c>
      <c r="AE1718">
        <v>10547277</v>
      </c>
      <c r="AF1718" t="s">
        <v>50</v>
      </c>
      <c r="AG1718" t="s">
        <v>1536</v>
      </c>
    </row>
    <row r="1719" spans="1:33" x14ac:dyDescent="0.35">
      <c r="A1719" s="1">
        <v>44862.388888888891</v>
      </c>
      <c r="B1719">
        <v>316303</v>
      </c>
      <c r="C1719" t="s">
        <v>3806</v>
      </c>
      <c r="D1719" t="s">
        <v>146</v>
      </c>
      <c r="E1719" s="2">
        <v>39052</v>
      </c>
      <c r="F1719" t="str">
        <f>"9780335230037"</f>
        <v>9780335230037</v>
      </c>
      <c r="G1719" t="str">
        <f>"9780335216994"</f>
        <v>9780335216994</v>
      </c>
      <c r="H1719" t="s">
        <v>60</v>
      </c>
      <c r="I1719">
        <v>658.40920000000006</v>
      </c>
      <c r="J1719" t="s">
        <v>3807</v>
      </c>
      <c r="K1719" t="s">
        <v>44</v>
      </c>
      <c r="N1719" t="s">
        <v>45</v>
      </c>
      <c r="O1719" t="s">
        <v>46</v>
      </c>
      <c r="P1719" t="s">
        <v>45</v>
      </c>
      <c r="Q1719" t="s">
        <v>47</v>
      </c>
      <c r="R1719" t="s">
        <v>44</v>
      </c>
      <c r="S1719">
        <v>0</v>
      </c>
      <c r="W1719" s="3">
        <v>3.4490740740740745E-3</v>
      </c>
      <c r="X1719" t="s">
        <v>3808</v>
      </c>
      <c r="Y1719">
        <v>6</v>
      </c>
      <c r="Z1719">
        <v>0</v>
      </c>
      <c r="AA1719" t="s">
        <v>49</v>
      </c>
      <c r="AB1719">
        <v>0</v>
      </c>
      <c r="AC1719" t="s">
        <v>49</v>
      </c>
      <c r="AD1719">
        <v>0</v>
      </c>
      <c r="AE1719">
        <v>10197021</v>
      </c>
      <c r="AF1719" t="s">
        <v>50</v>
      </c>
      <c r="AG1719" t="s">
        <v>1536</v>
      </c>
    </row>
    <row r="1720" spans="1:33" x14ac:dyDescent="0.35">
      <c r="A1720" s="1">
        <v>44862.29583333333</v>
      </c>
      <c r="B1720">
        <v>5755802</v>
      </c>
      <c r="C1720" t="s">
        <v>3809</v>
      </c>
      <c r="D1720" t="s">
        <v>1348</v>
      </c>
      <c r="E1720" s="2">
        <v>43591</v>
      </c>
      <c r="F1720" t="str">
        <f>"9783658261887"</f>
        <v>9783658261887</v>
      </c>
      <c r="G1720" t="str">
        <f>"9783658261870"</f>
        <v>9783658261870</v>
      </c>
      <c r="H1720" t="s">
        <v>1040</v>
      </c>
      <c r="I1720">
        <v>541.35</v>
      </c>
      <c r="J1720" t="s">
        <v>3810</v>
      </c>
      <c r="K1720" t="s">
        <v>55</v>
      </c>
      <c r="Q1720" t="s">
        <v>47</v>
      </c>
      <c r="R1720" t="s">
        <v>44</v>
      </c>
      <c r="S1720">
        <v>0</v>
      </c>
      <c r="W1720" s="3">
        <v>3.4722222222222222E-5</v>
      </c>
      <c r="X1720" t="s">
        <v>3641</v>
      </c>
      <c r="Y1720">
        <v>1</v>
      </c>
      <c r="Z1720">
        <v>0</v>
      </c>
      <c r="AA1720" t="s">
        <v>49</v>
      </c>
      <c r="AB1720">
        <v>0</v>
      </c>
      <c r="AC1720" t="s">
        <v>49</v>
      </c>
      <c r="AD1720">
        <v>0</v>
      </c>
      <c r="AE1720">
        <v>-1</v>
      </c>
      <c r="AF1720" t="s">
        <v>50</v>
      </c>
      <c r="AG1720" t="s">
        <v>3588</v>
      </c>
    </row>
    <row r="1721" spans="1:33" x14ac:dyDescent="0.35">
      <c r="A1721" s="1">
        <v>44862.140277777777</v>
      </c>
      <c r="B1721">
        <v>5771004</v>
      </c>
      <c r="C1721" t="s">
        <v>3811</v>
      </c>
      <c r="D1721" t="s">
        <v>105</v>
      </c>
      <c r="E1721" s="2">
        <v>43600</v>
      </c>
      <c r="F1721" t="str">
        <f>"9783030188580"</f>
        <v>9783030188580</v>
      </c>
      <c r="G1721" t="str">
        <f>"9783030188573"</f>
        <v>9783030188573</v>
      </c>
      <c r="H1721" t="s">
        <v>831</v>
      </c>
      <c r="J1721" t="s">
        <v>825</v>
      </c>
      <c r="K1721" t="s">
        <v>55</v>
      </c>
      <c r="Q1721" t="s">
        <v>47</v>
      </c>
      <c r="R1721" t="s">
        <v>44</v>
      </c>
      <c r="S1721">
        <v>0</v>
      </c>
      <c r="W1721" s="3">
        <v>1.5289351851851851E-2</v>
      </c>
      <c r="X1721" t="s">
        <v>3812</v>
      </c>
      <c r="Y1721">
        <v>53</v>
      </c>
      <c r="Z1721">
        <v>0</v>
      </c>
      <c r="AA1721" t="s">
        <v>49</v>
      </c>
      <c r="AB1721">
        <v>0</v>
      </c>
      <c r="AC1721" t="s">
        <v>49</v>
      </c>
      <c r="AD1721">
        <v>0</v>
      </c>
      <c r="AE1721">
        <v>-1</v>
      </c>
      <c r="AF1721" t="s">
        <v>63</v>
      </c>
      <c r="AG1721" t="s">
        <v>866</v>
      </c>
    </row>
    <row r="1722" spans="1:33" x14ac:dyDescent="0.35">
      <c r="A1722" s="1">
        <v>44862.068749999999</v>
      </c>
      <c r="B1722">
        <v>6676400</v>
      </c>
      <c r="C1722" t="s">
        <v>3813</v>
      </c>
      <c r="D1722" t="s">
        <v>105</v>
      </c>
      <c r="E1722" s="2">
        <v>44376</v>
      </c>
      <c r="F1722" t="str">
        <f>"9783030766320"</f>
        <v>9783030766320</v>
      </c>
      <c r="G1722" t="str">
        <f>"9783030766313"</f>
        <v>9783030766313</v>
      </c>
      <c r="H1722" t="s">
        <v>3814</v>
      </c>
      <c r="I1722">
        <v>658.40380000000005</v>
      </c>
      <c r="J1722" t="s">
        <v>107</v>
      </c>
      <c r="K1722" t="s">
        <v>55</v>
      </c>
      <c r="Q1722" t="s">
        <v>47</v>
      </c>
      <c r="R1722" t="s">
        <v>44</v>
      </c>
      <c r="S1722">
        <v>0</v>
      </c>
      <c r="W1722" s="3">
        <v>8.2754629629629619E-3</v>
      </c>
      <c r="X1722" t="s">
        <v>3815</v>
      </c>
      <c r="Y1722">
        <v>7</v>
      </c>
      <c r="Z1722">
        <v>0</v>
      </c>
      <c r="AA1722" t="s">
        <v>49</v>
      </c>
      <c r="AB1722">
        <v>0</v>
      </c>
      <c r="AC1722" t="s">
        <v>49</v>
      </c>
      <c r="AD1722">
        <v>0</v>
      </c>
      <c r="AE1722">
        <v>-1</v>
      </c>
      <c r="AF1722" t="s">
        <v>50</v>
      </c>
      <c r="AG1722" t="s">
        <v>1536</v>
      </c>
    </row>
    <row r="1723" spans="1:33" x14ac:dyDescent="0.35">
      <c r="A1723" s="1">
        <v>44862.003472222219</v>
      </c>
      <c r="B1723">
        <v>4183127</v>
      </c>
      <c r="C1723" t="s">
        <v>190</v>
      </c>
      <c r="D1723" t="s">
        <v>59</v>
      </c>
      <c r="E1723" s="2">
        <v>42310</v>
      </c>
      <c r="F1723" t="str">
        <f>"9783527684649"</f>
        <v>9783527684649</v>
      </c>
      <c r="G1723" t="str">
        <f>"9783527331659"</f>
        <v>9783527331659</v>
      </c>
      <c r="H1723" t="s">
        <v>191</v>
      </c>
      <c r="I1723" t="s">
        <v>192</v>
      </c>
      <c r="J1723" t="s">
        <v>193</v>
      </c>
      <c r="K1723" t="s">
        <v>44</v>
      </c>
      <c r="N1723" t="s">
        <v>45</v>
      </c>
      <c r="O1723" t="s">
        <v>46</v>
      </c>
      <c r="P1723" t="s">
        <v>45</v>
      </c>
      <c r="Q1723" t="s">
        <v>47</v>
      </c>
      <c r="R1723" t="s">
        <v>44</v>
      </c>
      <c r="S1723">
        <v>0</v>
      </c>
      <c r="W1723" s="3">
        <v>5.7870370370370366E-5</v>
      </c>
      <c r="X1723" t="s">
        <v>196</v>
      </c>
      <c r="Y1723">
        <v>2</v>
      </c>
      <c r="Z1723">
        <v>0</v>
      </c>
      <c r="AA1723" t="s">
        <v>49</v>
      </c>
      <c r="AB1723">
        <v>0</v>
      </c>
      <c r="AC1723" t="s">
        <v>49</v>
      </c>
      <c r="AD1723">
        <v>0</v>
      </c>
      <c r="AE1723">
        <v>11125579</v>
      </c>
      <c r="AF1723" t="s">
        <v>50</v>
      </c>
      <c r="AG1723" t="s">
        <v>3528</v>
      </c>
    </row>
    <row r="1724" spans="1:33" x14ac:dyDescent="0.35">
      <c r="A1724" s="1">
        <v>44861.956250000003</v>
      </c>
      <c r="B1724">
        <v>4183127</v>
      </c>
      <c r="C1724" t="s">
        <v>190</v>
      </c>
      <c r="D1724" t="s">
        <v>59</v>
      </c>
      <c r="E1724" s="2">
        <v>42310</v>
      </c>
      <c r="F1724" t="str">
        <f>"9783527684649"</f>
        <v>9783527684649</v>
      </c>
      <c r="G1724" t="str">
        <f>"9783527331659"</f>
        <v>9783527331659</v>
      </c>
      <c r="H1724" t="s">
        <v>191</v>
      </c>
      <c r="I1724" t="s">
        <v>192</v>
      </c>
      <c r="J1724" t="s">
        <v>193</v>
      </c>
      <c r="K1724" t="s">
        <v>44</v>
      </c>
      <c r="N1724" t="s">
        <v>45</v>
      </c>
      <c r="O1724" t="s">
        <v>46</v>
      </c>
      <c r="P1724" t="s">
        <v>45</v>
      </c>
      <c r="Q1724" t="s">
        <v>47</v>
      </c>
      <c r="R1724" t="s">
        <v>44</v>
      </c>
      <c r="S1724">
        <v>0</v>
      </c>
      <c r="W1724" s="3">
        <v>1.8750000000000001E-3</v>
      </c>
      <c r="X1724" t="s">
        <v>3816</v>
      </c>
      <c r="Y1724">
        <v>15</v>
      </c>
      <c r="Z1724">
        <v>1</v>
      </c>
      <c r="AA1724" t="s">
        <v>3817</v>
      </c>
      <c r="AB1724">
        <v>11</v>
      </c>
      <c r="AC1724" t="s">
        <v>49</v>
      </c>
      <c r="AD1724">
        <v>0</v>
      </c>
      <c r="AE1724">
        <v>11125579</v>
      </c>
      <c r="AF1724" t="s">
        <v>63</v>
      </c>
      <c r="AG1724" t="s">
        <v>1536</v>
      </c>
    </row>
    <row r="1725" spans="1:33" x14ac:dyDescent="0.35">
      <c r="A1725" s="1">
        <v>44861.915972222225</v>
      </c>
      <c r="B1725">
        <v>4183127</v>
      </c>
      <c r="C1725" t="s">
        <v>190</v>
      </c>
      <c r="D1725" t="s">
        <v>59</v>
      </c>
      <c r="E1725" s="2">
        <v>42310</v>
      </c>
      <c r="F1725" t="str">
        <f>"9783527684649"</f>
        <v>9783527684649</v>
      </c>
      <c r="G1725" t="str">
        <f>"9783527331659"</f>
        <v>9783527331659</v>
      </c>
      <c r="H1725" t="s">
        <v>191</v>
      </c>
      <c r="I1725" t="s">
        <v>192</v>
      </c>
      <c r="J1725" t="s">
        <v>193</v>
      </c>
      <c r="K1725" t="s">
        <v>44</v>
      </c>
      <c r="N1725" t="s">
        <v>45</v>
      </c>
      <c r="O1725" t="s">
        <v>46</v>
      </c>
      <c r="P1725" t="s">
        <v>45</v>
      </c>
      <c r="Q1725" t="s">
        <v>47</v>
      </c>
      <c r="R1725" t="s">
        <v>44</v>
      </c>
      <c r="S1725">
        <v>0</v>
      </c>
      <c r="W1725" s="3">
        <v>7.4189814814814813E-3</v>
      </c>
      <c r="X1725" t="s">
        <v>3818</v>
      </c>
      <c r="Y1725">
        <v>19</v>
      </c>
      <c r="Z1725">
        <v>0</v>
      </c>
      <c r="AA1725" t="s">
        <v>49</v>
      </c>
      <c r="AB1725">
        <v>0</v>
      </c>
      <c r="AC1725" t="s">
        <v>49</v>
      </c>
      <c r="AD1725">
        <v>0</v>
      </c>
      <c r="AE1725">
        <v>11125579</v>
      </c>
      <c r="AF1725" t="s">
        <v>50</v>
      </c>
      <c r="AG1725" t="s">
        <v>3528</v>
      </c>
    </row>
    <row r="1726" spans="1:33" x14ac:dyDescent="0.35">
      <c r="A1726" s="1">
        <v>44861.876388888886</v>
      </c>
      <c r="B1726">
        <v>6037677</v>
      </c>
      <c r="C1726" t="s">
        <v>3819</v>
      </c>
      <c r="D1726" t="s">
        <v>2022</v>
      </c>
      <c r="E1726" s="2">
        <v>43874</v>
      </c>
      <c r="F1726" t="str">
        <f>"9781527546578"</f>
        <v>9781527546578</v>
      </c>
      <c r="G1726" t="str">
        <f>"9781527545984"</f>
        <v>9781527545984</v>
      </c>
      <c r="H1726" t="s">
        <v>60</v>
      </c>
      <c r="I1726">
        <v>658.40920000000006</v>
      </c>
      <c r="J1726" t="s">
        <v>3820</v>
      </c>
      <c r="K1726" t="s">
        <v>55</v>
      </c>
      <c r="Q1726" t="s">
        <v>47</v>
      </c>
      <c r="R1726" t="s">
        <v>44</v>
      </c>
      <c r="S1726">
        <v>0</v>
      </c>
      <c r="W1726" s="3">
        <v>7.9629629629629634E-3</v>
      </c>
      <c r="X1726" t="s">
        <v>3821</v>
      </c>
      <c r="Y1726">
        <v>13</v>
      </c>
      <c r="Z1726">
        <v>0</v>
      </c>
      <c r="AA1726" t="s">
        <v>49</v>
      </c>
      <c r="AB1726">
        <v>0</v>
      </c>
      <c r="AC1726" t="s">
        <v>49</v>
      </c>
      <c r="AD1726">
        <v>0</v>
      </c>
      <c r="AE1726">
        <v>-1</v>
      </c>
      <c r="AF1726" t="s">
        <v>50</v>
      </c>
      <c r="AG1726" t="s">
        <v>1536</v>
      </c>
    </row>
    <row r="1727" spans="1:33" x14ac:dyDescent="0.35">
      <c r="A1727" s="1">
        <v>44861.855555555558</v>
      </c>
      <c r="B1727">
        <v>6712463</v>
      </c>
      <c r="C1727" t="s">
        <v>3559</v>
      </c>
      <c r="D1727" t="s">
        <v>59</v>
      </c>
      <c r="E1727" s="2">
        <v>44550</v>
      </c>
      <c r="F1727" t="str">
        <f>"9783527824762"</f>
        <v>9783527824762</v>
      </c>
      <c r="G1727" t="str">
        <f>"9783527346875"</f>
        <v>9783527346875</v>
      </c>
      <c r="H1727" t="s">
        <v>546</v>
      </c>
      <c r="I1727">
        <v>621.31500000000005</v>
      </c>
      <c r="J1727" t="s">
        <v>3560</v>
      </c>
      <c r="K1727" t="s">
        <v>55</v>
      </c>
      <c r="Q1727" t="s">
        <v>47</v>
      </c>
      <c r="R1727" t="s">
        <v>44</v>
      </c>
      <c r="S1727">
        <v>0</v>
      </c>
      <c r="W1727" s="3">
        <v>7.6388888888888893E-4</v>
      </c>
      <c r="X1727" t="s">
        <v>3822</v>
      </c>
      <c r="Y1727">
        <v>6</v>
      </c>
      <c r="Z1727">
        <v>0</v>
      </c>
      <c r="AA1727" t="s">
        <v>49</v>
      </c>
      <c r="AB1727">
        <v>0</v>
      </c>
      <c r="AC1727" t="s">
        <v>49</v>
      </c>
      <c r="AD1727">
        <v>0</v>
      </c>
      <c r="AE1727">
        <v>-1</v>
      </c>
      <c r="AF1727" t="s">
        <v>50</v>
      </c>
      <c r="AG1727" t="s">
        <v>1536</v>
      </c>
    </row>
    <row r="1728" spans="1:33" x14ac:dyDescent="0.35">
      <c r="A1728" s="1">
        <v>44861.851388888892</v>
      </c>
      <c r="B1728">
        <v>5915305</v>
      </c>
      <c r="C1728" t="s">
        <v>3823</v>
      </c>
      <c r="D1728" t="s">
        <v>814</v>
      </c>
      <c r="E1728" s="2">
        <v>43796</v>
      </c>
      <c r="F1728" t="str">
        <f>"9789353287061"</f>
        <v>9789353287061</v>
      </c>
      <c r="G1728" t="str">
        <f>"9789353287047"</f>
        <v>9789353287047</v>
      </c>
      <c r="H1728" t="s">
        <v>3824</v>
      </c>
      <c r="I1728">
        <v>303.33999999999997</v>
      </c>
      <c r="J1728" t="s">
        <v>3825</v>
      </c>
      <c r="K1728" t="s">
        <v>55</v>
      </c>
      <c r="N1728" t="s">
        <v>45</v>
      </c>
      <c r="O1728" t="s">
        <v>46</v>
      </c>
      <c r="P1728" t="s">
        <v>45</v>
      </c>
      <c r="Q1728" t="s">
        <v>47</v>
      </c>
      <c r="R1728" t="s">
        <v>44</v>
      </c>
      <c r="S1728">
        <v>0</v>
      </c>
      <c r="W1728" s="3">
        <v>3.4722222222222222E-5</v>
      </c>
      <c r="X1728" t="s">
        <v>121</v>
      </c>
      <c r="Y1728">
        <v>1</v>
      </c>
      <c r="Z1728">
        <v>0</v>
      </c>
      <c r="AA1728" t="s">
        <v>49</v>
      </c>
      <c r="AB1728">
        <v>0</v>
      </c>
      <c r="AC1728" t="s">
        <v>49</v>
      </c>
      <c r="AD1728">
        <v>0</v>
      </c>
      <c r="AE1728">
        <v>-1</v>
      </c>
      <c r="AF1728" t="s">
        <v>50</v>
      </c>
      <c r="AG1728" t="s">
        <v>1536</v>
      </c>
    </row>
    <row r="1729" spans="1:33" x14ac:dyDescent="0.35">
      <c r="A1729" s="1">
        <v>44861.84375</v>
      </c>
      <c r="B1729">
        <v>1744501</v>
      </c>
      <c r="C1729" t="s">
        <v>550</v>
      </c>
      <c r="D1729" t="s">
        <v>65</v>
      </c>
      <c r="E1729" s="2">
        <v>41827</v>
      </c>
      <c r="F1729" t="str">
        <f>"9780857097736"</f>
        <v>9780857097736</v>
      </c>
      <c r="G1729" t="str">
        <f>"9780857097682"</f>
        <v>9780857097682</v>
      </c>
      <c r="H1729" t="s">
        <v>116</v>
      </c>
      <c r="I1729">
        <v>665.81</v>
      </c>
      <c r="J1729" t="s">
        <v>551</v>
      </c>
      <c r="K1729" t="s">
        <v>55</v>
      </c>
      <c r="N1729" t="s">
        <v>79</v>
      </c>
      <c r="P1729" t="s">
        <v>80</v>
      </c>
      <c r="Q1729" t="s">
        <v>47</v>
      </c>
      <c r="R1729" t="s">
        <v>44</v>
      </c>
      <c r="S1729">
        <v>0</v>
      </c>
      <c r="W1729" s="3">
        <v>4.2939814814814811E-3</v>
      </c>
      <c r="X1729" t="s">
        <v>3826</v>
      </c>
      <c r="Y1729">
        <v>16</v>
      </c>
      <c r="Z1729">
        <v>0</v>
      </c>
      <c r="AA1729" t="s">
        <v>49</v>
      </c>
      <c r="AB1729">
        <v>0</v>
      </c>
      <c r="AC1729" t="s">
        <v>49</v>
      </c>
      <c r="AD1729">
        <v>0</v>
      </c>
      <c r="AE1729">
        <v>10896677</v>
      </c>
      <c r="AF1729" t="s">
        <v>50</v>
      </c>
      <c r="AG1729" t="s">
        <v>1536</v>
      </c>
    </row>
    <row r="1730" spans="1:33" x14ac:dyDescent="0.35">
      <c r="A1730" s="1">
        <v>44861.772222222222</v>
      </c>
      <c r="B1730">
        <v>6712463</v>
      </c>
      <c r="C1730" t="s">
        <v>3559</v>
      </c>
      <c r="D1730" t="s">
        <v>59</v>
      </c>
      <c r="E1730" s="2">
        <v>44550</v>
      </c>
      <c r="F1730" t="str">
        <f>"9783527824762"</f>
        <v>9783527824762</v>
      </c>
      <c r="G1730" t="str">
        <f>"9783527346875"</f>
        <v>9783527346875</v>
      </c>
      <c r="H1730" t="s">
        <v>546</v>
      </c>
      <c r="I1730">
        <v>621.31500000000005</v>
      </c>
      <c r="J1730" t="s">
        <v>3560</v>
      </c>
      <c r="K1730" t="s">
        <v>55</v>
      </c>
      <c r="Q1730" t="s">
        <v>47</v>
      </c>
      <c r="R1730" t="s">
        <v>44</v>
      </c>
      <c r="S1730">
        <v>0</v>
      </c>
      <c r="W1730" s="3">
        <v>5.4398148148148144E-4</v>
      </c>
      <c r="X1730" t="s">
        <v>3827</v>
      </c>
      <c r="Y1730">
        <v>7</v>
      </c>
      <c r="Z1730">
        <v>0</v>
      </c>
      <c r="AA1730" t="s">
        <v>49</v>
      </c>
      <c r="AB1730">
        <v>0</v>
      </c>
      <c r="AC1730" t="s">
        <v>49</v>
      </c>
      <c r="AD1730">
        <v>0</v>
      </c>
      <c r="AE1730">
        <v>-1</v>
      </c>
      <c r="AF1730" t="s">
        <v>63</v>
      </c>
      <c r="AG1730" t="s">
        <v>1536</v>
      </c>
    </row>
    <row r="1731" spans="1:33" x14ac:dyDescent="0.35">
      <c r="A1731" s="1">
        <v>44861.759722222225</v>
      </c>
      <c r="B1731">
        <v>6712463</v>
      </c>
      <c r="C1731" t="s">
        <v>3559</v>
      </c>
      <c r="D1731" t="s">
        <v>59</v>
      </c>
      <c r="E1731" s="2">
        <v>44550</v>
      </c>
      <c r="F1731" t="str">
        <f>"9783527824762"</f>
        <v>9783527824762</v>
      </c>
      <c r="G1731" t="str">
        <f>"9783527346875"</f>
        <v>9783527346875</v>
      </c>
      <c r="H1731" t="s">
        <v>546</v>
      </c>
      <c r="I1731">
        <v>621.31500000000005</v>
      </c>
      <c r="J1731" t="s">
        <v>3560</v>
      </c>
      <c r="K1731" t="s">
        <v>55</v>
      </c>
      <c r="Q1731" t="s">
        <v>47</v>
      </c>
      <c r="R1731" t="s">
        <v>44</v>
      </c>
      <c r="S1731">
        <v>0</v>
      </c>
      <c r="W1731" s="3">
        <v>9.2592592592592585E-4</v>
      </c>
      <c r="X1731" t="s">
        <v>3828</v>
      </c>
      <c r="Y1731">
        <v>5</v>
      </c>
      <c r="Z1731">
        <v>0</v>
      </c>
      <c r="AA1731" t="s">
        <v>49</v>
      </c>
      <c r="AB1731">
        <v>0</v>
      </c>
      <c r="AC1731" t="s">
        <v>49</v>
      </c>
      <c r="AD1731">
        <v>0</v>
      </c>
      <c r="AE1731">
        <v>-1</v>
      </c>
      <c r="AF1731" t="s">
        <v>63</v>
      </c>
      <c r="AG1731" t="s">
        <v>1536</v>
      </c>
    </row>
    <row r="1732" spans="1:33" x14ac:dyDescent="0.35">
      <c r="A1732" s="1">
        <v>44861.754861111112</v>
      </c>
      <c r="B1732">
        <v>6822216</v>
      </c>
      <c r="C1732" t="s">
        <v>3829</v>
      </c>
      <c r="D1732" t="s">
        <v>125</v>
      </c>
      <c r="E1732" s="2">
        <v>44564</v>
      </c>
      <c r="F1732" t="str">
        <f>"9780197579305"</f>
        <v>9780197579305</v>
      </c>
      <c r="G1732" t="str">
        <f>"9780197579275"</f>
        <v>9780197579275</v>
      </c>
      <c r="H1732" t="s">
        <v>1046</v>
      </c>
      <c r="I1732">
        <v>364.16800000000001</v>
      </c>
      <c r="J1732" t="s">
        <v>3830</v>
      </c>
      <c r="K1732" t="s">
        <v>55</v>
      </c>
      <c r="Q1732" t="s">
        <v>47</v>
      </c>
      <c r="R1732" t="s">
        <v>44</v>
      </c>
      <c r="S1732">
        <v>0</v>
      </c>
      <c r="W1732" s="3">
        <v>5.0347222222222225E-3</v>
      </c>
      <c r="X1732" t="s">
        <v>3831</v>
      </c>
      <c r="Y1732">
        <v>14</v>
      </c>
      <c r="Z1732">
        <v>0</v>
      </c>
      <c r="AA1732" t="s">
        <v>49</v>
      </c>
      <c r="AB1732">
        <v>0</v>
      </c>
      <c r="AC1732" t="s">
        <v>49</v>
      </c>
      <c r="AD1732">
        <v>0</v>
      </c>
      <c r="AE1732">
        <v>-1</v>
      </c>
      <c r="AF1732" t="s">
        <v>63</v>
      </c>
      <c r="AG1732" t="s">
        <v>2854</v>
      </c>
    </row>
    <row r="1733" spans="1:33" x14ac:dyDescent="0.35">
      <c r="A1733" s="1">
        <v>44861.731249999997</v>
      </c>
      <c r="B1733">
        <v>5548755</v>
      </c>
      <c r="C1733" t="s">
        <v>3832</v>
      </c>
      <c r="D1733" t="s">
        <v>76</v>
      </c>
      <c r="E1733" s="2">
        <v>43360</v>
      </c>
      <c r="F1733" t="str">
        <f>"9781351614962"</f>
        <v>9781351614962</v>
      </c>
      <c r="G1733" t="str">
        <f>"9781138088160"</f>
        <v>9781138088160</v>
      </c>
      <c r="H1733" t="s">
        <v>1046</v>
      </c>
      <c r="I1733" t="s">
        <v>3833</v>
      </c>
      <c r="J1733" t="s">
        <v>3834</v>
      </c>
      <c r="K1733" t="s">
        <v>55</v>
      </c>
      <c r="Q1733" t="s">
        <v>47</v>
      </c>
      <c r="R1733" t="s">
        <v>44</v>
      </c>
      <c r="S1733">
        <v>0</v>
      </c>
      <c r="W1733" s="3">
        <v>3.4722222222222222E-5</v>
      </c>
      <c r="X1733" t="s">
        <v>3835</v>
      </c>
      <c r="Y1733">
        <v>1</v>
      </c>
      <c r="Z1733">
        <v>0</v>
      </c>
      <c r="AA1733" t="s">
        <v>49</v>
      </c>
      <c r="AB1733">
        <v>0</v>
      </c>
      <c r="AC1733" t="s">
        <v>49</v>
      </c>
      <c r="AD1733">
        <v>0</v>
      </c>
      <c r="AE1733">
        <v>11622371</v>
      </c>
      <c r="AF1733" t="s">
        <v>50</v>
      </c>
      <c r="AG1733" t="s">
        <v>3836</v>
      </c>
    </row>
    <row r="1734" spans="1:33" x14ac:dyDescent="0.35">
      <c r="A1734" s="1">
        <v>44861.727777777778</v>
      </c>
      <c r="B1734">
        <v>5897722</v>
      </c>
      <c r="C1734" t="s">
        <v>3837</v>
      </c>
      <c r="D1734" t="s">
        <v>3838</v>
      </c>
      <c r="E1734" s="2">
        <v>43726</v>
      </c>
      <c r="F1734" t="str">
        <f>"9781787445628"</f>
        <v>9781787445628</v>
      </c>
      <c r="G1734" t="str">
        <f>"9781640140653"</f>
        <v>9781640140653</v>
      </c>
      <c r="H1734" t="s">
        <v>1046</v>
      </c>
      <c r="I1734">
        <v>305.42094300000002</v>
      </c>
      <c r="K1734" t="s">
        <v>55</v>
      </c>
      <c r="Q1734" t="s">
        <v>47</v>
      </c>
      <c r="R1734" t="s">
        <v>44</v>
      </c>
      <c r="S1734">
        <v>0</v>
      </c>
      <c r="W1734" s="3">
        <v>2.2337962962962967E-3</v>
      </c>
      <c r="X1734" t="s">
        <v>3839</v>
      </c>
      <c r="Y1734">
        <v>8</v>
      </c>
      <c r="Z1734">
        <v>0</v>
      </c>
      <c r="AA1734" t="s">
        <v>49</v>
      </c>
      <c r="AB1734">
        <v>0</v>
      </c>
      <c r="AC1734" t="s">
        <v>49</v>
      </c>
      <c r="AD1734">
        <v>0</v>
      </c>
      <c r="AE1734">
        <v>-1</v>
      </c>
      <c r="AF1734" t="s">
        <v>50</v>
      </c>
      <c r="AG1734" t="s">
        <v>3836</v>
      </c>
    </row>
    <row r="1735" spans="1:33" x14ac:dyDescent="0.35">
      <c r="A1735" s="1">
        <v>44861.71597222222</v>
      </c>
      <c r="B1735">
        <v>4183127</v>
      </c>
      <c r="C1735" t="s">
        <v>190</v>
      </c>
      <c r="D1735" t="s">
        <v>59</v>
      </c>
      <c r="E1735" s="2">
        <v>42310</v>
      </c>
      <c r="F1735" t="str">
        <f>"9783527684649"</f>
        <v>9783527684649</v>
      </c>
      <c r="G1735" t="str">
        <f>"9783527331659"</f>
        <v>9783527331659</v>
      </c>
      <c r="H1735" t="s">
        <v>191</v>
      </c>
      <c r="I1735" t="s">
        <v>192</v>
      </c>
      <c r="J1735" t="s">
        <v>193</v>
      </c>
      <c r="K1735" t="s">
        <v>44</v>
      </c>
      <c r="N1735" t="s">
        <v>45</v>
      </c>
      <c r="O1735" t="s">
        <v>46</v>
      </c>
      <c r="P1735" t="s">
        <v>45</v>
      </c>
      <c r="Q1735" t="s">
        <v>47</v>
      </c>
      <c r="R1735" t="s">
        <v>44</v>
      </c>
      <c r="S1735">
        <v>0</v>
      </c>
      <c r="W1735" s="3">
        <v>8.726851851851852E-3</v>
      </c>
      <c r="X1735" t="s">
        <v>3840</v>
      </c>
      <c r="Y1735">
        <v>8</v>
      </c>
      <c r="Z1735">
        <v>0</v>
      </c>
      <c r="AA1735" t="s">
        <v>49</v>
      </c>
      <c r="AB1735">
        <v>0</v>
      </c>
      <c r="AC1735" t="s">
        <v>49</v>
      </c>
      <c r="AD1735">
        <v>0</v>
      </c>
      <c r="AE1735">
        <v>11125579</v>
      </c>
      <c r="AF1735" t="s">
        <v>50</v>
      </c>
      <c r="AG1735" t="s">
        <v>3528</v>
      </c>
    </row>
    <row r="1736" spans="1:33" x14ac:dyDescent="0.35">
      <c r="A1736" s="1">
        <v>44861.672222222223</v>
      </c>
      <c r="B1736">
        <v>6037677</v>
      </c>
      <c r="C1736" t="s">
        <v>3819</v>
      </c>
      <c r="D1736" t="s">
        <v>2022</v>
      </c>
      <c r="E1736" s="2">
        <v>43874</v>
      </c>
      <c r="F1736" t="str">
        <f>"9781527546578"</f>
        <v>9781527546578</v>
      </c>
      <c r="G1736" t="str">
        <f>"9781527545984"</f>
        <v>9781527545984</v>
      </c>
      <c r="H1736" t="s">
        <v>60</v>
      </c>
      <c r="I1736">
        <v>658.40920000000006</v>
      </c>
      <c r="J1736" t="s">
        <v>3820</v>
      </c>
      <c r="K1736" t="s">
        <v>55</v>
      </c>
      <c r="Q1736" t="s">
        <v>47</v>
      </c>
      <c r="R1736" t="s">
        <v>44</v>
      </c>
      <c r="S1736">
        <v>0</v>
      </c>
      <c r="W1736" s="3">
        <v>4.5717592592592589E-3</v>
      </c>
      <c r="X1736" t="s">
        <v>3841</v>
      </c>
      <c r="Y1736">
        <v>6</v>
      </c>
      <c r="Z1736">
        <v>0</v>
      </c>
      <c r="AA1736" t="s">
        <v>49</v>
      </c>
      <c r="AB1736">
        <v>0</v>
      </c>
      <c r="AC1736" t="s">
        <v>49</v>
      </c>
      <c r="AD1736">
        <v>0</v>
      </c>
      <c r="AE1736">
        <v>-1</v>
      </c>
      <c r="AF1736" t="s">
        <v>63</v>
      </c>
      <c r="AG1736" t="s">
        <v>1536</v>
      </c>
    </row>
    <row r="1737" spans="1:33" x14ac:dyDescent="0.35">
      <c r="A1737" s="1">
        <v>44861.643750000003</v>
      </c>
      <c r="B1737">
        <v>5755802</v>
      </c>
      <c r="C1737" t="s">
        <v>3809</v>
      </c>
      <c r="D1737" t="s">
        <v>1348</v>
      </c>
      <c r="E1737" s="2">
        <v>43591</v>
      </c>
      <c r="F1737" t="str">
        <f>"9783658261887"</f>
        <v>9783658261887</v>
      </c>
      <c r="G1737" t="str">
        <f>"9783658261870"</f>
        <v>9783658261870</v>
      </c>
      <c r="H1737" t="s">
        <v>1040</v>
      </c>
      <c r="I1737">
        <v>541.35</v>
      </c>
      <c r="J1737" t="s">
        <v>3810</v>
      </c>
      <c r="K1737" t="s">
        <v>55</v>
      </c>
      <c r="Q1737" t="s">
        <v>47</v>
      </c>
      <c r="R1737" t="s">
        <v>44</v>
      </c>
      <c r="S1737">
        <v>0</v>
      </c>
      <c r="W1737" s="3">
        <v>7.5231481481481471E-4</v>
      </c>
      <c r="X1737" t="s">
        <v>3842</v>
      </c>
      <c r="Y1737">
        <v>5</v>
      </c>
      <c r="Z1737">
        <v>0</v>
      </c>
      <c r="AA1737" t="s">
        <v>49</v>
      </c>
      <c r="AB1737">
        <v>0</v>
      </c>
      <c r="AC1737" t="s">
        <v>49</v>
      </c>
      <c r="AD1737">
        <v>0</v>
      </c>
      <c r="AE1737">
        <v>-1</v>
      </c>
      <c r="AF1737" t="s">
        <v>50</v>
      </c>
      <c r="AG1737" t="s">
        <v>3588</v>
      </c>
    </row>
    <row r="1738" spans="1:33" x14ac:dyDescent="0.35">
      <c r="A1738" s="1">
        <v>44861.64166666667</v>
      </c>
      <c r="B1738">
        <v>1185991</v>
      </c>
      <c r="C1738" t="s">
        <v>3843</v>
      </c>
      <c r="D1738" t="s">
        <v>465</v>
      </c>
      <c r="E1738" s="2">
        <v>37601</v>
      </c>
      <c r="F1738" t="str">
        <f>"9781847554826"</f>
        <v>9781847554826</v>
      </c>
      <c r="G1738" t="str">
        <f>"9780854044351"</f>
        <v>9780854044351</v>
      </c>
      <c r="H1738" t="s">
        <v>214</v>
      </c>
      <c r="I1738">
        <v>541.35</v>
      </c>
      <c r="J1738" t="s">
        <v>3844</v>
      </c>
      <c r="K1738" t="s">
        <v>44</v>
      </c>
      <c r="N1738" t="s">
        <v>45</v>
      </c>
      <c r="O1738" t="s">
        <v>46</v>
      </c>
      <c r="P1738" t="s">
        <v>45</v>
      </c>
      <c r="Q1738" t="s">
        <v>47</v>
      </c>
      <c r="R1738" t="s">
        <v>44</v>
      </c>
      <c r="S1738">
        <v>0</v>
      </c>
      <c r="W1738" s="3">
        <v>1.0532407407407407E-3</v>
      </c>
      <c r="X1738" t="s">
        <v>3845</v>
      </c>
      <c r="Y1738">
        <v>13</v>
      </c>
      <c r="Z1738">
        <v>0</v>
      </c>
      <c r="AA1738" t="s">
        <v>49</v>
      </c>
      <c r="AB1738">
        <v>0</v>
      </c>
      <c r="AC1738" t="s">
        <v>49</v>
      </c>
      <c r="AD1738">
        <v>0</v>
      </c>
      <c r="AE1738">
        <v>10020648</v>
      </c>
      <c r="AF1738" t="s">
        <v>50</v>
      </c>
      <c r="AG1738" t="s">
        <v>3588</v>
      </c>
    </row>
    <row r="1739" spans="1:33" x14ac:dyDescent="0.35">
      <c r="A1739" s="1">
        <v>44861.64166666667</v>
      </c>
      <c r="B1739">
        <v>6037677</v>
      </c>
      <c r="C1739" t="s">
        <v>3819</v>
      </c>
      <c r="D1739" t="s">
        <v>2022</v>
      </c>
      <c r="E1739" s="2">
        <v>43874</v>
      </c>
      <c r="F1739" t="str">
        <f>"9781527546578"</f>
        <v>9781527546578</v>
      </c>
      <c r="G1739" t="str">
        <f>"9781527545984"</f>
        <v>9781527545984</v>
      </c>
      <c r="H1739" t="s">
        <v>60</v>
      </c>
      <c r="I1739">
        <v>658.40920000000006</v>
      </c>
      <c r="J1739" t="s">
        <v>3820</v>
      </c>
      <c r="K1739" t="s">
        <v>55</v>
      </c>
      <c r="Q1739" t="s">
        <v>47</v>
      </c>
      <c r="R1739" t="s">
        <v>44</v>
      </c>
      <c r="S1739">
        <v>0</v>
      </c>
      <c r="W1739" s="3">
        <v>4.7337962962962958E-3</v>
      </c>
      <c r="X1739" t="s">
        <v>3846</v>
      </c>
      <c r="Y1739">
        <v>27</v>
      </c>
      <c r="Z1739">
        <v>0</v>
      </c>
      <c r="AA1739" t="s">
        <v>49</v>
      </c>
      <c r="AB1739">
        <v>0</v>
      </c>
      <c r="AC1739" t="s">
        <v>49</v>
      </c>
      <c r="AD1739">
        <v>0</v>
      </c>
      <c r="AE1739">
        <v>-1</v>
      </c>
      <c r="AF1739" t="s">
        <v>63</v>
      </c>
      <c r="AG1739" t="s">
        <v>1536</v>
      </c>
    </row>
    <row r="1740" spans="1:33" x14ac:dyDescent="0.35">
      <c r="A1740" s="1">
        <v>44861.626388888886</v>
      </c>
      <c r="B1740">
        <v>6037677</v>
      </c>
      <c r="C1740" t="s">
        <v>3819</v>
      </c>
      <c r="D1740" t="s">
        <v>2022</v>
      </c>
      <c r="E1740" s="2">
        <v>43874</v>
      </c>
      <c r="F1740" t="str">
        <f>"9781527546578"</f>
        <v>9781527546578</v>
      </c>
      <c r="G1740" t="str">
        <f>"9781527545984"</f>
        <v>9781527545984</v>
      </c>
      <c r="H1740" t="s">
        <v>60</v>
      </c>
      <c r="I1740">
        <v>658.40920000000006</v>
      </c>
      <c r="J1740" t="s">
        <v>3820</v>
      </c>
      <c r="K1740" t="s">
        <v>55</v>
      </c>
      <c r="Q1740" t="s">
        <v>47</v>
      </c>
      <c r="R1740" t="s">
        <v>44</v>
      </c>
      <c r="S1740">
        <v>0</v>
      </c>
      <c r="W1740" s="3">
        <v>1.2129629629629629E-2</v>
      </c>
      <c r="X1740" t="s">
        <v>3847</v>
      </c>
      <c r="Y1740">
        <v>11</v>
      </c>
      <c r="Z1740">
        <v>0</v>
      </c>
      <c r="AA1740" t="s">
        <v>49</v>
      </c>
      <c r="AB1740">
        <v>0</v>
      </c>
      <c r="AC1740" t="s">
        <v>49</v>
      </c>
      <c r="AD1740">
        <v>0</v>
      </c>
      <c r="AE1740">
        <v>-1</v>
      </c>
      <c r="AF1740" t="s">
        <v>63</v>
      </c>
      <c r="AG1740" t="s">
        <v>1536</v>
      </c>
    </row>
    <row r="1741" spans="1:33" x14ac:dyDescent="0.35">
      <c r="A1741" s="1">
        <v>44861.56527777778</v>
      </c>
      <c r="B1741">
        <v>6232567</v>
      </c>
      <c r="C1741" t="s">
        <v>3848</v>
      </c>
      <c r="D1741" t="s">
        <v>65</v>
      </c>
      <c r="E1741" s="2">
        <v>44005</v>
      </c>
      <c r="F1741" t="str">
        <f>"9780128184394"</f>
        <v>9780128184394</v>
      </c>
      <c r="G1741" t="str">
        <f>"9780128184387"</f>
        <v>9780128184387</v>
      </c>
      <c r="H1741" t="s">
        <v>77</v>
      </c>
      <c r="I1741">
        <v>610.28562999999997</v>
      </c>
      <c r="J1741" t="s">
        <v>3849</v>
      </c>
      <c r="K1741" t="s">
        <v>55</v>
      </c>
      <c r="Q1741" t="s">
        <v>47</v>
      </c>
      <c r="R1741" t="s">
        <v>44</v>
      </c>
      <c r="S1741">
        <v>0</v>
      </c>
      <c r="W1741" s="3">
        <v>1.1574074074074073E-4</v>
      </c>
      <c r="X1741" t="s">
        <v>3850</v>
      </c>
      <c r="Y1741">
        <v>2</v>
      </c>
      <c r="Z1741">
        <v>0</v>
      </c>
      <c r="AA1741" t="s">
        <v>49</v>
      </c>
      <c r="AB1741">
        <v>0</v>
      </c>
      <c r="AC1741" t="s">
        <v>49</v>
      </c>
      <c r="AD1741">
        <v>0</v>
      </c>
      <c r="AE1741">
        <v>-1</v>
      </c>
      <c r="AF1741" t="s">
        <v>50</v>
      </c>
      <c r="AG1741" t="s">
        <v>630</v>
      </c>
    </row>
    <row r="1742" spans="1:33" x14ac:dyDescent="0.35">
      <c r="A1742" s="1">
        <v>44861.5625</v>
      </c>
      <c r="B1742">
        <v>5309559</v>
      </c>
      <c r="C1742" t="s">
        <v>2923</v>
      </c>
      <c r="D1742" t="s">
        <v>497</v>
      </c>
      <c r="E1742" s="2">
        <v>39964</v>
      </c>
      <c r="F1742" t="str">
        <f>"9781441164698"</f>
        <v>9781441164698</v>
      </c>
      <c r="G1742" t="str">
        <f>"9781847250407"</f>
        <v>9781847250407</v>
      </c>
      <c r="H1742" t="s">
        <v>667</v>
      </c>
      <c r="I1742">
        <v>956.94039999999995</v>
      </c>
      <c r="J1742" t="s">
        <v>2924</v>
      </c>
      <c r="K1742" t="s">
        <v>44</v>
      </c>
      <c r="N1742" t="s">
        <v>45</v>
      </c>
      <c r="O1742" t="s">
        <v>46</v>
      </c>
      <c r="P1742" t="s">
        <v>45</v>
      </c>
      <c r="Q1742" t="s">
        <v>47</v>
      </c>
      <c r="R1742" t="s">
        <v>44</v>
      </c>
      <c r="S1742">
        <v>0</v>
      </c>
      <c r="W1742" s="3">
        <v>7.175925925925927E-4</v>
      </c>
      <c r="X1742" t="s">
        <v>3851</v>
      </c>
      <c r="Y1742">
        <v>3</v>
      </c>
      <c r="Z1742">
        <v>1</v>
      </c>
      <c r="AA1742" t="s">
        <v>3852</v>
      </c>
      <c r="AB1742">
        <v>8</v>
      </c>
      <c r="AC1742" t="s">
        <v>49</v>
      </c>
      <c r="AD1742">
        <v>0</v>
      </c>
      <c r="AE1742">
        <v>11518527</v>
      </c>
      <c r="AF1742" t="s">
        <v>50</v>
      </c>
      <c r="AG1742" t="s">
        <v>1536</v>
      </c>
    </row>
    <row r="1743" spans="1:33" x14ac:dyDescent="0.35">
      <c r="A1743" s="1">
        <v>44861.536805555559</v>
      </c>
      <c r="B1743">
        <v>3421214</v>
      </c>
      <c r="C1743" t="s">
        <v>3853</v>
      </c>
      <c r="D1743" t="s">
        <v>347</v>
      </c>
      <c r="E1743" s="2">
        <v>39931</v>
      </c>
      <c r="F1743" t="str">
        <f>"9780300156041"</f>
        <v>9780300156041</v>
      </c>
      <c r="G1743" t="str">
        <f>"9780300122817"</f>
        <v>9780300122817</v>
      </c>
      <c r="H1743" t="s">
        <v>667</v>
      </c>
      <c r="I1743" t="s">
        <v>3366</v>
      </c>
      <c r="J1743" t="s">
        <v>3854</v>
      </c>
      <c r="K1743" t="s">
        <v>44</v>
      </c>
      <c r="N1743" t="s">
        <v>45</v>
      </c>
      <c r="O1743" t="s">
        <v>46</v>
      </c>
      <c r="P1743" t="s">
        <v>45</v>
      </c>
      <c r="Q1743" t="s">
        <v>47</v>
      </c>
      <c r="R1743" t="s">
        <v>44</v>
      </c>
      <c r="S1743">
        <v>0</v>
      </c>
      <c r="W1743" s="3">
        <v>1.8402777777777777E-3</v>
      </c>
      <c r="X1743" t="s">
        <v>3855</v>
      </c>
      <c r="Y1743">
        <v>5</v>
      </c>
      <c r="Z1743">
        <v>1</v>
      </c>
      <c r="AA1743" t="s">
        <v>3856</v>
      </c>
      <c r="AB1743">
        <v>27</v>
      </c>
      <c r="AC1743" t="s">
        <v>49</v>
      </c>
      <c r="AD1743">
        <v>0</v>
      </c>
      <c r="AE1743">
        <v>10690327</v>
      </c>
      <c r="AF1743" t="s">
        <v>50</v>
      </c>
      <c r="AG1743" t="s">
        <v>1536</v>
      </c>
    </row>
    <row r="1744" spans="1:33" x14ac:dyDescent="0.35">
      <c r="A1744" s="1">
        <v>44861.532638888886</v>
      </c>
      <c r="B1744">
        <v>5741464</v>
      </c>
      <c r="C1744" t="s">
        <v>3857</v>
      </c>
      <c r="D1744" t="s">
        <v>965</v>
      </c>
      <c r="E1744" s="2">
        <v>43578</v>
      </c>
      <c r="F1744" t="str">
        <f>"9781462539123"</f>
        <v>9781462539123</v>
      </c>
      <c r="G1744" t="str">
        <f>"9781462539093"</f>
        <v>9781462539093</v>
      </c>
      <c r="H1744" t="s">
        <v>90</v>
      </c>
      <c r="I1744">
        <v>371.20600000000002</v>
      </c>
      <c r="J1744" t="s">
        <v>3858</v>
      </c>
      <c r="K1744" t="s">
        <v>55</v>
      </c>
      <c r="Q1744" t="s">
        <v>47</v>
      </c>
      <c r="R1744" t="s">
        <v>44</v>
      </c>
      <c r="S1744">
        <v>0</v>
      </c>
      <c r="W1744" s="3">
        <v>3.0092592592592595E-4</v>
      </c>
      <c r="X1744" t="s">
        <v>3859</v>
      </c>
      <c r="Y1744">
        <v>4</v>
      </c>
      <c r="Z1744">
        <v>0</v>
      </c>
      <c r="AA1744" t="s">
        <v>49</v>
      </c>
      <c r="AB1744">
        <v>0</v>
      </c>
      <c r="AC1744" t="s">
        <v>49</v>
      </c>
      <c r="AD1744">
        <v>0</v>
      </c>
      <c r="AE1744">
        <v>-1</v>
      </c>
      <c r="AF1744" t="s">
        <v>63</v>
      </c>
      <c r="AG1744" t="s">
        <v>866</v>
      </c>
    </row>
    <row r="1745" spans="1:33" x14ac:dyDescent="0.35">
      <c r="A1745" s="1">
        <v>44861.525694444441</v>
      </c>
      <c r="B1745">
        <v>833436</v>
      </c>
      <c r="C1745" t="s">
        <v>3860</v>
      </c>
      <c r="D1745" t="s">
        <v>502</v>
      </c>
      <c r="E1745" s="2">
        <v>40952</v>
      </c>
      <c r="F1745" t="str">
        <f>"9781139217620"</f>
        <v>9781139217620</v>
      </c>
      <c r="G1745" t="str">
        <f>"9781107002364"</f>
        <v>9781107002364</v>
      </c>
      <c r="H1745" t="s">
        <v>667</v>
      </c>
      <c r="I1745">
        <v>956.04</v>
      </c>
      <c r="J1745" t="s">
        <v>3861</v>
      </c>
      <c r="K1745" t="s">
        <v>44</v>
      </c>
      <c r="N1745" t="s">
        <v>45</v>
      </c>
      <c r="O1745" t="s">
        <v>46</v>
      </c>
      <c r="P1745" t="s">
        <v>45</v>
      </c>
      <c r="Q1745" t="s">
        <v>47</v>
      </c>
      <c r="R1745" t="s">
        <v>44</v>
      </c>
      <c r="S1745">
        <v>0</v>
      </c>
      <c r="W1745" s="3">
        <v>1.6319444444444445E-3</v>
      </c>
      <c r="X1745" t="s">
        <v>3862</v>
      </c>
      <c r="Y1745">
        <v>10</v>
      </c>
      <c r="Z1745">
        <v>1</v>
      </c>
      <c r="AA1745" t="s">
        <v>3863</v>
      </c>
      <c r="AB1745">
        <v>21</v>
      </c>
      <c r="AC1745" t="s">
        <v>49</v>
      </c>
      <c r="AD1745">
        <v>0</v>
      </c>
      <c r="AE1745">
        <v>10578234</v>
      </c>
      <c r="AF1745" t="s">
        <v>50</v>
      </c>
      <c r="AG1745" t="s">
        <v>1536</v>
      </c>
    </row>
    <row r="1746" spans="1:33" x14ac:dyDescent="0.35">
      <c r="A1746" s="1">
        <v>44861.521527777775</v>
      </c>
      <c r="B1746">
        <v>5394389</v>
      </c>
      <c r="C1746" t="s">
        <v>3148</v>
      </c>
      <c r="D1746" t="s">
        <v>1101</v>
      </c>
      <c r="E1746" s="2">
        <v>41153</v>
      </c>
      <c r="F1746" t="str">
        <f>"9781526130358"</f>
        <v>9781526130358</v>
      </c>
      <c r="G1746" t="str">
        <f>"9780719088124"</f>
        <v>9780719088124</v>
      </c>
      <c r="H1746" t="s">
        <v>1540</v>
      </c>
      <c r="I1746">
        <v>320.54095694</v>
      </c>
      <c r="J1746" t="s">
        <v>3149</v>
      </c>
      <c r="K1746" t="s">
        <v>44</v>
      </c>
      <c r="N1746" t="s">
        <v>45</v>
      </c>
      <c r="O1746" t="s">
        <v>46</v>
      </c>
      <c r="P1746" t="s">
        <v>45</v>
      </c>
      <c r="Q1746" t="s">
        <v>47</v>
      </c>
      <c r="R1746" t="s">
        <v>44</v>
      </c>
      <c r="S1746">
        <v>0</v>
      </c>
      <c r="W1746" s="3">
        <v>1.4120370370370369E-3</v>
      </c>
      <c r="X1746" t="s">
        <v>3864</v>
      </c>
      <c r="Y1746">
        <v>11</v>
      </c>
      <c r="Z1746">
        <v>1</v>
      </c>
      <c r="AA1746" t="s">
        <v>3865</v>
      </c>
      <c r="AB1746">
        <v>33</v>
      </c>
      <c r="AC1746" t="s">
        <v>49</v>
      </c>
      <c r="AD1746">
        <v>0</v>
      </c>
      <c r="AE1746">
        <v>11556791</v>
      </c>
      <c r="AF1746" t="s">
        <v>50</v>
      </c>
      <c r="AG1746" t="s">
        <v>1536</v>
      </c>
    </row>
    <row r="1747" spans="1:33" x14ac:dyDescent="0.35">
      <c r="A1747" s="1">
        <v>44861.518750000003</v>
      </c>
      <c r="B1747">
        <v>7103755</v>
      </c>
      <c r="C1747" t="s">
        <v>3866</v>
      </c>
      <c r="D1747" t="s">
        <v>59</v>
      </c>
      <c r="E1747" s="2">
        <v>41288</v>
      </c>
      <c r="F1747" t="str">
        <f>"9781118515150"</f>
        <v>9781118515150</v>
      </c>
      <c r="G1747" t="str">
        <f>"9781118279014"</f>
        <v>9781118279014</v>
      </c>
      <c r="H1747" t="s">
        <v>43</v>
      </c>
      <c r="K1747" t="s">
        <v>44</v>
      </c>
      <c r="N1747" t="s">
        <v>45</v>
      </c>
      <c r="O1747" t="s">
        <v>46</v>
      </c>
      <c r="P1747" t="s">
        <v>45</v>
      </c>
      <c r="Q1747" t="s">
        <v>47</v>
      </c>
      <c r="R1747" t="s">
        <v>44</v>
      </c>
      <c r="S1747">
        <v>1</v>
      </c>
      <c r="W1747" s="3">
        <v>5.2083333333333333E-4</v>
      </c>
      <c r="X1747" t="s">
        <v>3867</v>
      </c>
      <c r="Y1747">
        <v>5</v>
      </c>
      <c r="Z1747">
        <v>0</v>
      </c>
      <c r="AA1747" t="s">
        <v>49</v>
      </c>
      <c r="AB1747">
        <v>0</v>
      </c>
      <c r="AC1747" t="s">
        <v>49</v>
      </c>
      <c r="AD1747">
        <v>0</v>
      </c>
      <c r="AE1747">
        <v>-1</v>
      </c>
      <c r="AF1747" t="s">
        <v>63</v>
      </c>
      <c r="AG1747" t="s">
        <v>388</v>
      </c>
    </row>
    <row r="1748" spans="1:33" x14ac:dyDescent="0.35">
      <c r="A1748" s="1">
        <v>44861.518750000003</v>
      </c>
      <c r="B1748">
        <v>668424</v>
      </c>
      <c r="C1748" t="s">
        <v>3129</v>
      </c>
      <c r="D1748" t="s">
        <v>76</v>
      </c>
      <c r="E1748" s="2">
        <v>40613</v>
      </c>
      <c r="F1748" t="str">
        <f>"9780203832509"</f>
        <v>9780203832509</v>
      </c>
      <c r="G1748" t="str">
        <f>"9780415492157"</f>
        <v>9780415492157</v>
      </c>
      <c r="H1748" t="s">
        <v>667</v>
      </c>
      <c r="I1748" t="s">
        <v>2023</v>
      </c>
      <c r="J1748" t="s">
        <v>3130</v>
      </c>
      <c r="K1748" t="s">
        <v>44</v>
      </c>
      <c r="N1748" t="s">
        <v>45</v>
      </c>
      <c r="O1748" t="s">
        <v>46</v>
      </c>
      <c r="P1748" t="s">
        <v>45</v>
      </c>
      <c r="Q1748" t="s">
        <v>47</v>
      </c>
      <c r="R1748" t="s">
        <v>44</v>
      </c>
      <c r="S1748">
        <v>0</v>
      </c>
      <c r="W1748" s="3">
        <v>2.3032407407407407E-3</v>
      </c>
      <c r="X1748" t="s">
        <v>3868</v>
      </c>
      <c r="Y1748">
        <v>11</v>
      </c>
      <c r="Z1748">
        <v>2</v>
      </c>
      <c r="AA1748" t="s">
        <v>3869</v>
      </c>
      <c r="AB1748">
        <v>19</v>
      </c>
      <c r="AC1748" t="s">
        <v>49</v>
      </c>
      <c r="AD1748">
        <v>0</v>
      </c>
      <c r="AE1748">
        <v>10452737</v>
      </c>
      <c r="AF1748" t="s">
        <v>50</v>
      </c>
      <c r="AG1748" t="s">
        <v>1536</v>
      </c>
    </row>
    <row r="1749" spans="1:33" x14ac:dyDescent="0.35">
      <c r="A1749" s="1">
        <v>44861.51666666667</v>
      </c>
      <c r="B1749">
        <v>1633308</v>
      </c>
      <c r="C1749" t="s">
        <v>3870</v>
      </c>
      <c r="D1749" t="s">
        <v>769</v>
      </c>
      <c r="E1749" s="2">
        <v>40841</v>
      </c>
      <c r="F1749" t="str">
        <f>"9781439869208"</f>
        <v>9781439869208</v>
      </c>
      <c r="G1749" t="str">
        <f>"9781439869185"</f>
        <v>9781439869185</v>
      </c>
      <c r="H1749" t="s">
        <v>3871</v>
      </c>
      <c r="I1749" t="s">
        <v>3872</v>
      </c>
      <c r="J1749" t="s">
        <v>3873</v>
      </c>
      <c r="K1749" t="s">
        <v>44</v>
      </c>
      <c r="N1749" t="s">
        <v>45</v>
      </c>
      <c r="O1749" t="s">
        <v>46</v>
      </c>
      <c r="P1749" t="s">
        <v>45</v>
      </c>
      <c r="Q1749" t="s">
        <v>47</v>
      </c>
      <c r="R1749" t="s">
        <v>44</v>
      </c>
      <c r="S1749">
        <v>0</v>
      </c>
      <c r="W1749" s="3">
        <v>3.4722222222222222E-5</v>
      </c>
      <c r="X1749" t="s">
        <v>2629</v>
      </c>
      <c r="Y1749">
        <v>1</v>
      </c>
      <c r="Z1749">
        <v>1</v>
      </c>
      <c r="AA1749" t="s">
        <v>3874</v>
      </c>
      <c r="AB1749">
        <v>28</v>
      </c>
      <c r="AC1749" t="s">
        <v>49</v>
      </c>
      <c r="AD1749">
        <v>0</v>
      </c>
      <c r="AE1749">
        <v>10512282</v>
      </c>
      <c r="AF1749" t="s">
        <v>63</v>
      </c>
      <c r="AG1749" t="s">
        <v>866</v>
      </c>
    </row>
    <row r="1750" spans="1:33" x14ac:dyDescent="0.35">
      <c r="A1750" s="1">
        <v>44861.515972222223</v>
      </c>
      <c r="B1750">
        <v>7103755</v>
      </c>
      <c r="C1750" t="s">
        <v>3866</v>
      </c>
      <c r="D1750" t="s">
        <v>59</v>
      </c>
      <c r="E1750" s="2">
        <v>41288</v>
      </c>
      <c r="F1750" t="str">
        <f>"9781118515150"</f>
        <v>9781118515150</v>
      </c>
      <c r="G1750" t="str">
        <f>"9781118279014"</f>
        <v>9781118279014</v>
      </c>
      <c r="H1750" t="s">
        <v>43</v>
      </c>
      <c r="K1750" t="s">
        <v>44</v>
      </c>
      <c r="N1750" t="s">
        <v>45</v>
      </c>
      <c r="O1750" t="s">
        <v>46</v>
      </c>
      <c r="P1750" t="s">
        <v>45</v>
      </c>
      <c r="Q1750" t="s">
        <v>47</v>
      </c>
      <c r="R1750" t="s">
        <v>44</v>
      </c>
      <c r="S1750">
        <v>0</v>
      </c>
      <c r="W1750" s="3">
        <v>2.7777777777777779E-3</v>
      </c>
      <c r="X1750" t="s">
        <v>3875</v>
      </c>
      <c r="Y1750">
        <v>4</v>
      </c>
      <c r="Z1750">
        <v>0</v>
      </c>
      <c r="AA1750" t="s">
        <v>49</v>
      </c>
      <c r="AB1750">
        <v>0</v>
      </c>
      <c r="AC1750" t="s">
        <v>49</v>
      </c>
      <c r="AD1750">
        <v>0</v>
      </c>
      <c r="AE1750">
        <v>-1</v>
      </c>
      <c r="AF1750" t="s">
        <v>63</v>
      </c>
      <c r="AG1750" t="s">
        <v>388</v>
      </c>
    </row>
    <row r="1751" spans="1:33" x14ac:dyDescent="0.35">
      <c r="A1751" s="1">
        <v>44861.507638888892</v>
      </c>
      <c r="B1751">
        <v>3000561</v>
      </c>
      <c r="C1751" t="s">
        <v>3876</v>
      </c>
      <c r="D1751" t="s">
        <v>3376</v>
      </c>
      <c r="E1751" s="2">
        <v>36739</v>
      </c>
      <c r="F1751" t="str">
        <f>"9780313001390"</f>
        <v>9780313001390</v>
      </c>
      <c r="G1751" t="str">
        <f>"9780313313578"</f>
        <v>9780313313578</v>
      </c>
      <c r="H1751" t="s">
        <v>1046</v>
      </c>
      <c r="I1751">
        <v>305.8</v>
      </c>
      <c r="J1751" t="s">
        <v>3877</v>
      </c>
      <c r="K1751" t="s">
        <v>44</v>
      </c>
      <c r="N1751" t="s">
        <v>45</v>
      </c>
      <c r="O1751" t="s">
        <v>46</v>
      </c>
      <c r="P1751" t="s">
        <v>45</v>
      </c>
      <c r="Q1751" t="s">
        <v>47</v>
      </c>
      <c r="R1751" t="s">
        <v>44</v>
      </c>
      <c r="S1751">
        <v>0</v>
      </c>
      <c r="W1751" s="3">
        <v>5.4050925925925924E-3</v>
      </c>
      <c r="X1751" t="s">
        <v>3878</v>
      </c>
      <c r="Y1751">
        <v>39</v>
      </c>
      <c r="Z1751">
        <v>1</v>
      </c>
      <c r="AA1751" t="s">
        <v>3879</v>
      </c>
      <c r="AB1751">
        <v>30</v>
      </c>
      <c r="AC1751" t="s">
        <v>49</v>
      </c>
      <c r="AD1751">
        <v>0</v>
      </c>
      <c r="AE1751">
        <v>10017885</v>
      </c>
      <c r="AF1751" t="s">
        <v>50</v>
      </c>
      <c r="AG1751" t="s">
        <v>1536</v>
      </c>
    </row>
    <row r="1752" spans="1:33" x14ac:dyDescent="0.35">
      <c r="A1752" s="1">
        <v>44861.493055555555</v>
      </c>
      <c r="B1752">
        <v>7104648</v>
      </c>
      <c r="C1752" t="s">
        <v>3880</v>
      </c>
      <c r="D1752" t="s">
        <v>59</v>
      </c>
      <c r="E1752" s="2">
        <v>37799</v>
      </c>
      <c r="F1752" t="str">
        <f>"9781444392845"</f>
        <v>9781444392845</v>
      </c>
      <c r="G1752" t="str">
        <f>"9780865428713"</f>
        <v>9780865428713</v>
      </c>
      <c r="H1752" t="s">
        <v>77</v>
      </c>
      <c r="K1752" t="s">
        <v>44</v>
      </c>
      <c r="N1752" t="s">
        <v>45</v>
      </c>
      <c r="O1752" t="s">
        <v>46</v>
      </c>
      <c r="P1752" t="s">
        <v>45</v>
      </c>
      <c r="Q1752" t="s">
        <v>47</v>
      </c>
      <c r="R1752" t="s">
        <v>44</v>
      </c>
      <c r="S1752">
        <v>0</v>
      </c>
      <c r="W1752" s="3">
        <v>1.9675925925925926E-4</v>
      </c>
      <c r="X1752" t="s">
        <v>3881</v>
      </c>
      <c r="Y1752">
        <v>4</v>
      </c>
      <c r="Z1752">
        <v>0</v>
      </c>
      <c r="AA1752" t="s">
        <v>49</v>
      </c>
      <c r="AB1752">
        <v>0</v>
      </c>
      <c r="AC1752" t="s">
        <v>49</v>
      </c>
      <c r="AD1752">
        <v>0</v>
      </c>
      <c r="AE1752">
        <v>-1</v>
      </c>
      <c r="AF1752" t="s">
        <v>50</v>
      </c>
      <c r="AG1752" t="s">
        <v>1536</v>
      </c>
    </row>
    <row r="1753" spans="1:33" x14ac:dyDescent="0.35">
      <c r="A1753" s="1">
        <v>44861.481944444444</v>
      </c>
      <c r="B1753">
        <v>5846206</v>
      </c>
      <c r="C1753" t="s">
        <v>3783</v>
      </c>
      <c r="D1753" t="s">
        <v>137</v>
      </c>
      <c r="E1753" s="2">
        <v>43560</v>
      </c>
      <c r="F1753" t="str">
        <f>"9781536153309"</f>
        <v>9781536153309</v>
      </c>
      <c r="G1753" t="str">
        <f>"9781536153293"</f>
        <v>9781536153293</v>
      </c>
      <c r="H1753" t="s">
        <v>639</v>
      </c>
      <c r="K1753" t="s">
        <v>55</v>
      </c>
      <c r="Q1753" t="s">
        <v>47</v>
      </c>
      <c r="R1753" t="s">
        <v>44</v>
      </c>
      <c r="S1753">
        <v>0</v>
      </c>
      <c r="W1753" s="3">
        <v>3.5416666666666665E-3</v>
      </c>
      <c r="X1753" t="s">
        <v>3882</v>
      </c>
      <c r="Y1753">
        <v>13</v>
      </c>
      <c r="Z1753">
        <v>0</v>
      </c>
      <c r="AA1753" t="s">
        <v>49</v>
      </c>
      <c r="AB1753">
        <v>0</v>
      </c>
      <c r="AC1753" t="s">
        <v>49</v>
      </c>
      <c r="AD1753">
        <v>0</v>
      </c>
      <c r="AE1753">
        <v>-1</v>
      </c>
      <c r="AF1753" t="s">
        <v>63</v>
      </c>
      <c r="AG1753" t="s">
        <v>1536</v>
      </c>
    </row>
    <row r="1754" spans="1:33" x14ac:dyDescent="0.35">
      <c r="A1754" s="1">
        <v>44861.46875</v>
      </c>
      <c r="B1754">
        <v>6859446</v>
      </c>
      <c r="C1754" t="s">
        <v>2217</v>
      </c>
      <c r="D1754" t="s">
        <v>213</v>
      </c>
      <c r="E1754" s="2">
        <v>44581</v>
      </c>
      <c r="F1754" t="str">
        <f>"9780128240892"</f>
        <v>9780128240892</v>
      </c>
      <c r="G1754" t="str">
        <f>"9780128240885"</f>
        <v>9780128240885</v>
      </c>
      <c r="H1754" t="s">
        <v>261</v>
      </c>
      <c r="I1754">
        <v>628.54999999999995</v>
      </c>
      <c r="J1754" t="s">
        <v>2218</v>
      </c>
      <c r="K1754" t="s">
        <v>55</v>
      </c>
      <c r="Q1754" t="s">
        <v>47</v>
      </c>
      <c r="R1754" t="s">
        <v>44</v>
      </c>
      <c r="S1754">
        <v>0</v>
      </c>
      <c r="W1754" s="3">
        <v>1.5740740740740741E-3</v>
      </c>
      <c r="X1754" t="s">
        <v>3883</v>
      </c>
      <c r="Y1754">
        <v>12</v>
      </c>
      <c r="Z1754">
        <v>0</v>
      </c>
      <c r="AA1754" t="s">
        <v>49</v>
      </c>
      <c r="AB1754">
        <v>0</v>
      </c>
      <c r="AC1754" t="s">
        <v>49</v>
      </c>
      <c r="AD1754">
        <v>0</v>
      </c>
      <c r="AE1754">
        <v>-1</v>
      </c>
      <c r="AF1754" t="s">
        <v>63</v>
      </c>
      <c r="AG1754" t="s">
        <v>1536</v>
      </c>
    </row>
    <row r="1755" spans="1:33" x14ac:dyDescent="0.35">
      <c r="A1755" s="1">
        <v>44861.415277777778</v>
      </c>
      <c r="B1755">
        <v>3004029</v>
      </c>
      <c r="C1755" t="s">
        <v>3884</v>
      </c>
      <c r="D1755" t="s">
        <v>473</v>
      </c>
      <c r="E1755" s="2">
        <v>38687</v>
      </c>
      <c r="F1755" t="str">
        <f>"9789047410126"</f>
        <v>9789047410126</v>
      </c>
      <c r="G1755" t="str">
        <f>"9789004152311"</f>
        <v>9789004152311</v>
      </c>
      <c r="H1755" t="s">
        <v>2046</v>
      </c>
      <c r="I1755">
        <v>35</v>
      </c>
      <c r="J1755" t="s">
        <v>3885</v>
      </c>
      <c r="K1755" t="s">
        <v>44</v>
      </c>
      <c r="N1755" t="s">
        <v>45</v>
      </c>
      <c r="O1755" t="s">
        <v>46</v>
      </c>
      <c r="P1755" t="s">
        <v>45</v>
      </c>
      <c r="Q1755" t="s">
        <v>47</v>
      </c>
      <c r="R1755" t="s">
        <v>44</v>
      </c>
      <c r="S1755">
        <v>0</v>
      </c>
      <c r="W1755" s="3">
        <v>1.4814814814814814E-3</v>
      </c>
      <c r="X1755" t="s">
        <v>3886</v>
      </c>
      <c r="Y1755">
        <v>18</v>
      </c>
      <c r="Z1755">
        <v>0</v>
      </c>
      <c r="AA1755" t="s">
        <v>49</v>
      </c>
      <c r="AB1755">
        <v>0</v>
      </c>
      <c r="AC1755" t="s">
        <v>49</v>
      </c>
      <c r="AD1755">
        <v>0</v>
      </c>
      <c r="AE1755">
        <v>10234694</v>
      </c>
      <c r="AF1755" t="s">
        <v>50</v>
      </c>
      <c r="AG1755" t="s">
        <v>1536</v>
      </c>
    </row>
    <row r="1756" spans="1:33" x14ac:dyDescent="0.35">
      <c r="A1756" s="1">
        <v>44861.415277777778</v>
      </c>
      <c r="B1756">
        <v>333990</v>
      </c>
      <c r="C1756" t="s">
        <v>3887</v>
      </c>
      <c r="D1756" t="s">
        <v>65</v>
      </c>
      <c r="E1756" s="2">
        <v>38701</v>
      </c>
      <c r="F1756" t="str">
        <f>"9780080509259"</f>
        <v>9780080509259</v>
      </c>
      <c r="G1756" t="str">
        <f>"9780126208627"</f>
        <v>9780126208627</v>
      </c>
      <c r="H1756" t="s">
        <v>1422</v>
      </c>
      <c r="I1756" t="s">
        <v>3888</v>
      </c>
      <c r="J1756" t="s">
        <v>3889</v>
      </c>
      <c r="K1756" t="s">
        <v>44</v>
      </c>
      <c r="N1756" t="s">
        <v>45</v>
      </c>
      <c r="O1756" t="s">
        <v>46</v>
      </c>
      <c r="P1756" t="s">
        <v>45</v>
      </c>
      <c r="Q1756" t="s">
        <v>47</v>
      </c>
      <c r="R1756" t="s">
        <v>44</v>
      </c>
      <c r="S1756">
        <v>0</v>
      </c>
      <c r="W1756" s="3">
        <v>1.4583333333333334E-3</v>
      </c>
      <c r="X1756" t="s">
        <v>3890</v>
      </c>
      <c r="Y1756">
        <v>14</v>
      </c>
      <c r="Z1756">
        <v>0</v>
      </c>
      <c r="AA1756" t="s">
        <v>49</v>
      </c>
      <c r="AB1756">
        <v>0</v>
      </c>
      <c r="AC1756" t="s">
        <v>49</v>
      </c>
      <c r="AD1756">
        <v>0</v>
      </c>
      <c r="AE1756">
        <v>10216746</v>
      </c>
      <c r="AF1756" t="s">
        <v>50</v>
      </c>
      <c r="AG1756" t="s">
        <v>1536</v>
      </c>
    </row>
    <row r="1757" spans="1:33" x14ac:dyDescent="0.35">
      <c r="A1757" s="1">
        <v>44861.404861111114</v>
      </c>
      <c r="B1757">
        <v>7103923</v>
      </c>
      <c r="C1757" t="s">
        <v>3891</v>
      </c>
      <c r="D1757" t="s">
        <v>3579</v>
      </c>
      <c r="E1757" s="2">
        <v>42233</v>
      </c>
      <c r="F1757" t="str">
        <f>"9781118652671"</f>
        <v>9781118652671</v>
      </c>
      <c r="G1757" t="str">
        <f>"9781118652732"</f>
        <v>9781118652732</v>
      </c>
      <c r="H1757" t="s">
        <v>3583</v>
      </c>
      <c r="K1757" t="s">
        <v>44</v>
      </c>
      <c r="N1757" t="s">
        <v>45</v>
      </c>
      <c r="O1757" t="s">
        <v>46</v>
      </c>
      <c r="P1757" t="s">
        <v>45</v>
      </c>
      <c r="Q1757" t="s">
        <v>47</v>
      </c>
      <c r="R1757" t="s">
        <v>44</v>
      </c>
      <c r="S1757">
        <v>0</v>
      </c>
      <c r="W1757" s="3">
        <v>0</v>
      </c>
      <c r="X1757" t="s">
        <v>49</v>
      </c>
      <c r="Y1757">
        <v>0</v>
      </c>
      <c r="Z1757">
        <v>7</v>
      </c>
      <c r="AA1757" t="s">
        <v>3892</v>
      </c>
      <c r="AB1757">
        <v>237</v>
      </c>
      <c r="AC1757" t="s">
        <v>49</v>
      </c>
      <c r="AD1757">
        <v>0</v>
      </c>
      <c r="AE1757">
        <v>-1</v>
      </c>
      <c r="AF1757" t="s">
        <v>50</v>
      </c>
      <c r="AG1757" t="s">
        <v>1536</v>
      </c>
    </row>
    <row r="1758" spans="1:33" x14ac:dyDescent="0.35">
      <c r="A1758" s="1">
        <v>44860.993055555555</v>
      </c>
      <c r="B1758">
        <v>915109</v>
      </c>
      <c r="C1758" t="s">
        <v>3893</v>
      </c>
      <c r="D1758" t="s">
        <v>3894</v>
      </c>
      <c r="E1758" s="2">
        <v>40118</v>
      </c>
      <c r="F1758" t="str">
        <f>"9781780429298"</f>
        <v>9781780429298</v>
      </c>
      <c r="G1758" t="str">
        <f>"9781844845613"</f>
        <v>9781844845613</v>
      </c>
      <c r="H1758" t="s">
        <v>658</v>
      </c>
      <c r="I1758">
        <v>751.73097299999995</v>
      </c>
      <c r="K1758" t="s">
        <v>44</v>
      </c>
      <c r="N1758" t="s">
        <v>45</v>
      </c>
      <c r="O1758" t="s">
        <v>46</v>
      </c>
      <c r="P1758" t="s">
        <v>177</v>
      </c>
      <c r="Q1758" t="s">
        <v>47</v>
      </c>
      <c r="R1758" t="s">
        <v>55</v>
      </c>
      <c r="S1758">
        <v>0</v>
      </c>
      <c r="W1758" s="3">
        <v>1.1076388888888887E-2</v>
      </c>
      <c r="X1758" t="s">
        <v>3895</v>
      </c>
      <c r="Y1758">
        <v>18</v>
      </c>
      <c r="Z1758">
        <v>0</v>
      </c>
      <c r="AA1758" t="s">
        <v>49</v>
      </c>
      <c r="AB1758">
        <v>0</v>
      </c>
      <c r="AC1758" t="s">
        <v>49</v>
      </c>
      <c r="AD1758">
        <v>0</v>
      </c>
      <c r="AE1758">
        <v>10622045</v>
      </c>
      <c r="AF1758" t="s">
        <v>50</v>
      </c>
      <c r="AG1758" t="s">
        <v>1536</v>
      </c>
    </row>
    <row r="1759" spans="1:33" x14ac:dyDescent="0.35">
      <c r="A1759" s="1">
        <v>44860.979861111111</v>
      </c>
      <c r="B1759">
        <v>5755748</v>
      </c>
      <c r="C1759" t="s">
        <v>3594</v>
      </c>
      <c r="D1759" t="s">
        <v>76</v>
      </c>
      <c r="E1759" s="2">
        <v>43587</v>
      </c>
      <c r="F1759" t="str">
        <f>"9781498742702"</f>
        <v>9781498742702</v>
      </c>
      <c r="G1759" t="str">
        <f>"9781498742696"</f>
        <v>9781498742696</v>
      </c>
      <c r="H1759" t="s">
        <v>546</v>
      </c>
      <c r="I1759">
        <v>621.3827</v>
      </c>
      <c r="J1759" t="s">
        <v>3595</v>
      </c>
      <c r="K1759" t="s">
        <v>55</v>
      </c>
      <c r="Q1759" t="s">
        <v>47</v>
      </c>
      <c r="R1759" t="s">
        <v>44</v>
      </c>
      <c r="S1759">
        <v>0</v>
      </c>
      <c r="W1759" s="3">
        <v>1.8171296296296297E-3</v>
      </c>
      <c r="X1759" t="s">
        <v>3896</v>
      </c>
      <c r="Y1759">
        <v>22</v>
      </c>
      <c r="Z1759">
        <v>0</v>
      </c>
      <c r="AA1759" t="s">
        <v>49</v>
      </c>
      <c r="AB1759">
        <v>0</v>
      </c>
      <c r="AC1759" t="s">
        <v>49</v>
      </c>
      <c r="AD1759">
        <v>0</v>
      </c>
      <c r="AE1759">
        <v>-1</v>
      </c>
      <c r="AF1759" t="s">
        <v>50</v>
      </c>
      <c r="AG1759" t="s">
        <v>1536</v>
      </c>
    </row>
    <row r="1760" spans="1:33" x14ac:dyDescent="0.35">
      <c r="A1760" s="1">
        <v>44860.861805555556</v>
      </c>
      <c r="B1760">
        <v>665565</v>
      </c>
      <c r="C1760" t="s">
        <v>2309</v>
      </c>
      <c r="D1760" t="s">
        <v>2125</v>
      </c>
      <c r="E1760" s="2">
        <v>40483</v>
      </c>
      <c r="F1760" t="str">
        <f>"9781439828151"</f>
        <v>9781439828151</v>
      </c>
      <c r="G1760" t="str">
        <f>"9781439828144"</f>
        <v>9781439828144</v>
      </c>
      <c r="H1760" t="s">
        <v>60</v>
      </c>
      <c r="I1760">
        <v>658.7</v>
      </c>
      <c r="J1760" t="s">
        <v>2310</v>
      </c>
      <c r="K1760" t="s">
        <v>44</v>
      </c>
      <c r="N1760" t="s">
        <v>45</v>
      </c>
      <c r="O1760" t="s">
        <v>46</v>
      </c>
      <c r="P1760" t="s">
        <v>45</v>
      </c>
      <c r="Q1760" t="s">
        <v>47</v>
      </c>
      <c r="R1760" t="s">
        <v>44</v>
      </c>
      <c r="S1760">
        <v>0</v>
      </c>
      <c r="W1760" s="3">
        <v>5.7870370370370366E-5</v>
      </c>
      <c r="X1760" t="s">
        <v>121</v>
      </c>
      <c r="Y1760">
        <v>1</v>
      </c>
      <c r="Z1760">
        <v>0</v>
      </c>
      <c r="AA1760" t="s">
        <v>49</v>
      </c>
      <c r="AB1760">
        <v>0</v>
      </c>
      <c r="AC1760" t="s">
        <v>49</v>
      </c>
      <c r="AD1760">
        <v>0</v>
      </c>
      <c r="AE1760">
        <v>10449865</v>
      </c>
      <c r="AF1760" t="s">
        <v>50</v>
      </c>
      <c r="AG1760" t="s">
        <v>388</v>
      </c>
    </row>
    <row r="1761" spans="1:33" x14ac:dyDescent="0.35">
      <c r="A1761" s="1">
        <v>44860.834722222222</v>
      </c>
      <c r="B1761">
        <v>1876749</v>
      </c>
      <c r="C1761" t="s">
        <v>3897</v>
      </c>
      <c r="D1761" t="s">
        <v>65</v>
      </c>
      <c r="E1761" s="2">
        <v>31778</v>
      </c>
      <c r="F1761" t="str">
        <f>"9781483145259"</f>
        <v>9781483145259</v>
      </c>
      <c r="G1761" t="str">
        <f>"9780080333793"</f>
        <v>9780080333793</v>
      </c>
      <c r="H1761" t="s">
        <v>3898</v>
      </c>
      <c r="I1761" t="s">
        <v>3899</v>
      </c>
      <c r="J1761" t="s">
        <v>3900</v>
      </c>
      <c r="K1761" t="s">
        <v>44</v>
      </c>
      <c r="N1761" t="s">
        <v>45</v>
      </c>
      <c r="O1761" t="s">
        <v>46</v>
      </c>
      <c r="P1761" t="s">
        <v>45</v>
      </c>
      <c r="Q1761" t="s">
        <v>47</v>
      </c>
      <c r="R1761" t="s">
        <v>44</v>
      </c>
      <c r="S1761">
        <v>0</v>
      </c>
      <c r="W1761" s="3">
        <v>1.8634259259259261E-3</v>
      </c>
      <c r="X1761" t="s">
        <v>3901</v>
      </c>
      <c r="Y1761">
        <v>11</v>
      </c>
      <c r="Z1761">
        <v>0</v>
      </c>
      <c r="AA1761" t="s">
        <v>49</v>
      </c>
      <c r="AB1761">
        <v>0</v>
      </c>
      <c r="AC1761" t="s">
        <v>49</v>
      </c>
      <c r="AD1761">
        <v>0</v>
      </c>
      <c r="AE1761">
        <v>10997187</v>
      </c>
      <c r="AF1761" t="s">
        <v>50</v>
      </c>
      <c r="AG1761" t="s">
        <v>3902</v>
      </c>
    </row>
    <row r="1762" spans="1:33" x14ac:dyDescent="0.35">
      <c r="A1762" s="1">
        <v>44860.811111111114</v>
      </c>
      <c r="B1762">
        <v>5554539</v>
      </c>
      <c r="C1762" t="s">
        <v>3903</v>
      </c>
      <c r="D1762" t="s">
        <v>213</v>
      </c>
      <c r="E1762" s="2">
        <v>43385</v>
      </c>
      <c r="F1762" t="str">
        <f>"9780128162590"</f>
        <v>9780128162590</v>
      </c>
      <c r="G1762" t="str">
        <f>"9780128157572"</f>
        <v>9780128157572</v>
      </c>
      <c r="H1762" t="s">
        <v>925</v>
      </c>
      <c r="I1762">
        <v>620.11500000000001</v>
      </c>
      <c r="J1762" t="s">
        <v>3904</v>
      </c>
      <c r="K1762" t="s">
        <v>55</v>
      </c>
      <c r="Q1762" t="s">
        <v>47</v>
      </c>
      <c r="R1762" t="s">
        <v>44</v>
      </c>
      <c r="S1762">
        <v>0</v>
      </c>
      <c r="W1762" s="3">
        <v>8.2407407407407412E-3</v>
      </c>
      <c r="X1762" t="s">
        <v>3905</v>
      </c>
      <c r="Y1762">
        <v>7</v>
      </c>
      <c r="Z1762">
        <v>0</v>
      </c>
      <c r="AA1762" t="s">
        <v>49</v>
      </c>
      <c r="AB1762">
        <v>0</v>
      </c>
      <c r="AC1762" t="s">
        <v>49</v>
      </c>
      <c r="AD1762">
        <v>0</v>
      </c>
      <c r="AE1762">
        <v>-1</v>
      </c>
      <c r="AF1762" t="s">
        <v>50</v>
      </c>
      <c r="AG1762" t="s">
        <v>1536</v>
      </c>
    </row>
    <row r="1763" spans="1:33" x14ac:dyDescent="0.35">
      <c r="A1763" s="1">
        <v>44860.765277777777</v>
      </c>
      <c r="B1763">
        <v>278913</v>
      </c>
      <c r="C1763" t="s">
        <v>3906</v>
      </c>
      <c r="D1763" t="s">
        <v>497</v>
      </c>
      <c r="E1763" s="2">
        <v>38412</v>
      </c>
      <c r="F1763" t="str">
        <f>"9781845207281"</f>
        <v>9781845207281</v>
      </c>
      <c r="G1763" t="str">
        <f>"9781845201982"</f>
        <v>9781845201982</v>
      </c>
      <c r="H1763" t="s">
        <v>1046</v>
      </c>
      <c r="I1763" t="s">
        <v>3907</v>
      </c>
      <c r="J1763" t="s">
        <v>3908</v>
      </c>
      <c r="K1763" t="s">
        <v>44</v>
      </c>
      <c r="N1763" t="s">
        <v>45</v>
      </c>
      <c r="O1763" t="s">
        <v>46</v>
      </c>
      <c r="P1763" t="s">
        <v>45</v>
      </c>
      <c r="Q1763" t="s">
        <v>47</v>
      </c>
      <c r="R1763" t="s">
        <v>44</v>
      </c>
      <c r="S1763">
        <v>0</v>
      </c>
      <c r="W1763" s="3">
        <v>3.7037037037037035E-4</v>
      </c>
      <c r="X1763" t="s">
        <v>3909</v>
      </c>
      <c r="Y1763">
        <v>5</v>
      </c>
      <c r="Z1763">
        <v>0</v>
      </c>
      <c r="AA1763" t="s">
        <v>49</v>
      </c>
      <c r="AB1763">
        <v>0</v>
      </c>
      <c r="AC1763" t="s">
        <v>49</v>
      </c>
      <c r="AD1763">
        <v>0</v>
      </c>
      <c r="AE1763">
        <v>10193746</v>
      </c>
      <c r="AF1763" t="s">
        <v>63</v>
      </c>
      <c r="AG1763" t="s">
        <v>1536</v>
      </c>
    </row>
    <row r="1764" spans="1:33" x14ac:dyDescent="0.35">
      <c r="A1764" s="1">
        <v>44860.762499999997</v>
      </c>
      <c r="B1764">
        <v>200564</v>
      </c>
      <c r="C1764" t="s">
        <v>3910</v>
      </c>
      <c r="D1764" t="s">
        <v>76</v>
      </c>
      <c r="E1764" s="2">
        <v>38222</v>
      </c>
      <c r="F1764" t="str">
        <f>"9780203240427"</f>
        <v>9780203240427</v>
      </c>
      <c r="G1764" t="str">
        <f>"9780415326636"</f>
        <v>9780415326636</v>
      </c>
      <c r="H1764" t="s">
        <v>900</v>
      </c>
      <c r="I1764" t="s">
        <v>3911</v>
      </c>
      <c r="J1764" t="s">
        <v>3912</v>
      </c>
      <c r="K1764" t="s">
        <v>44</v>
      </c>
      <c r="N1764" t="s">
        <v>45</v>
      </c>
      <c r="O1764" t="s">
        <v>46</v>
      </c>
      <c r="P1764" t="s">
        <v>45</v>
      </c>
      <c r="Q1764" t="s">
        <v>47</v>
      </c>
      <c r="R1764" t="s">
        <v>44</v>
      </c>
      <c r="S1764">
        <v>0</v>
      </c>
      <c r="W1764" s="3">
        <v>2.3611111111111111E-3</v>
      </c>
      <c r="X1764" t="s">
        <v>3913</v>
      </c>
      <c r="Y1764">
        <v>16</v>
      </c>
      <c r="Z1764">
        <v>0</v>
      </c>
      <c r="AA1764" t="s">
        <v>49</v>
      </c>
      <c r="AB1764">
        <v>0</v>
      </c>
      <c r="AC1764" t="s">
        <v>49</v>
      </c>
      <c r="AD1764">
        <v>0</v>
      </c>
      <c r="AE1764">
        <v>10093619</v>
      </c>
      <c r="AF1764" t="s">
        <v>63</v>
      </c>
      <c r="AG1764" t="s">
        <v>1536</v>
      </c>
    </row>
    <row r="1765" spans="1:33" x14ac:dyDescent="0.35">
      <c r="A1765" s="1">
        <v>44860.760416666664</v>
      </c>
      <c r="B1765">
        <v>536352</v>
      </c>
      <c r="C1765" t="s">
        <v>3914</v>
      </c>
      <c r="D1765" t="s">
        <v>3915</v>
      </c>
      <c r="E1765" s="2">
        <v>40179</v>
      </c>
      <c r="F1765" t="str">
        <f>"9781607804451"</f>
        <v>9781607804451</v>
      </c>
      <c r="G1765" t="str">
        <f>""</f>
        <v/>
      </c>
      <c r="H1765" t="s">
        <v>1984</v>
      </c>
      <c r="I1765">
        <v>914.96</v>
      </c>
      <c r="J1765" t="s">
        <v>3916</v>
      </c>
      <c r="K1765" t="s">
        <v>44</v>
      </c>
      <c r="N1765" t="s">
        <v>45</v>
      </c>
      <c r="O1765" t="s">
        <v>46</v>
      </c>
      <c r="P1765" t="s">
        <v>45</v>
      </c>
      <c r="Q1765" t="s">
        <v>47</v>
      </c>
      <c r="R1765" t="s">
        <v>44</v>
      </c>
      <c r="S1765">
        <v>0</v>
      </c>
      <c r="W1765" s="3">
        <v>1.1574074074074073E-3</v>
      </c>
      <c r="X1765" t="s">
        <v>3917</v>
      </c>
      <c r="Y1765">
        <v>13</v>
      </c>
      <c r="Z1765">
        <v>0</v>
      </c>
      <c r="AA1765" t="s">
        <v>49</v>
      </c>
      <c r="AB1765">
        <v>0</v>
      </c>
      <c r="AC1765" t="s">
        <v>49</v>
      </c>
      <c r="AD1765">
        <v>0</v>
      </c>
      <c r="AE1765">
        <v>10389169</v>
      </c>
      <c r="AF1765" t="s">
        <v>63</v>
      </c>
      <c r="AG1765" t="s">
        <v>1536</v>
      </c>
    </row>
    <row r="1766" spans="1:33" x14ac:dyDescent="0.35">
      <c r="A1766" s="1">
        <v>44860.758333333331</v>
      </c>
      <c r="B1766">
        <v>536354</v>
      </c>
      <c r="C1766" t="s">
        <v>3918</v>
      </c>
      <c r="D1766" t="s">
        <v>3915</v>
      </c>
      <c r="E1766" s="2">
        <v>40179</v>
      </c>
      <c r="F1766" t="str">
        <f>"9781607802716"</f>
        <v>9781607802716</v>
      </c>
      <c r="G1766" t="str">
        <f>""</f>
        <v/>
      </c>
      <c r="H1766" t="s">
        <v>1046</v>
      </c>
      <c r="I1766">
        <v>301.2</v>
      </c>
      <c r="J1766" t="s">
        <v>3919</v>
      </c>
      <c r="K1766" t="s">
        <v>44</v>
      </c>
      <c r="N1766" t="s">
        <v>45</v>
      </c>
      <c r="O1766" t="s">
        <v>46</v>
      </c>
      <c r="P1766" t="s">
        <v>45</v>
      </c>
      <c r="Q1766" t="s">
        <v>47</v>
      </c>
      <c r="R1766" t="s">
        <v>44</v>
      </c>
      <c r="S1766">
        <v>0</v>
      </c>
      <c r="W1766" s="3">
        <v>1.0648148148148147E-3</v>
      </c>
      <c r="X1766" t="s">
        <v>3920</v>
      </c>
      <c r="Y1766">
        <v>7</v>
      </c>
      <c r="Z1766">
        <v>0</v>
      </c>
      <c r="AA1766" t="s">
        <v>49</v>
      </c>
      <c r="AB1766">
        <v>0</v>
      </c>
      <c r="AC1766" t="s">
        <v>49</v>
      </c>
      <c r="AD1766">
        <v>0</v>
      </c>
      <c r="AE1766">
        <v>10389112</v>
      </c>
      <c r="AF1766" t="s">
        <v>63</v>
      </c>
      <c r="AG1766" t="s">
        <v>1536</v>
      </c>
    </row>
    <row r="1767" spans="1:33" x14ac:dyDescent="0.35">
      <c r="A1767" s="1">
        <v>44860.756249999999</v>
      </c>
      <c r="B1767">
        <v>5763520</v>
      </c>
      <c r="C1767" t="s">
        <v>3921</v>
      </c>
      <c r="D1767" t="s">
        <v>1922</v>
      </c>
      <c r="E1767" s="2">
        <v>43373</v>
      </c>
      <c r="F1767" t="str">
        <f>"9781838609894"</f>
        <v>9781838609894</v>
      </c>
      <c r="G1767" t="str">
        <f>"9781784537524"</f>
        <v>9781784537524</v>
      </c>
      <c r="H1767" t="s">
        <v>1046</v>
      </c>
      <c r="I1767">
        <v>305.42095610000001</v>
      </c>
      <c r="J1767" t="s">
        <v>3922</v>
      </c>
      <c r="K1767" t="s">
        <v>44</v>
      </c>
      <c r="N1767" t="s">
        <v>45</v>
      </c>
      <c r="O1767" t="s">
        <v>46</v>
      </c>
      <c r="P1767" t="s">
        <v>45</v>
      </c>
      <c r="Q1767" t="s">
        <v>47</v>
      </c>
      <c r="R1767" t="s">
        <v>44</v>
      </c>
      <c r="S1767">
        <v>0</v>
      </c>
      <c r="W1767" s="3">
        <v>2.3148148148148146E-4</v>
      </c>
      <c r="X1767" t="s">
        <v>3923</v>
      </c>
      <c r="Y1767">
        <v>3</v>
      </c>
      <c r="Z1767">
        <v>0</v>
      </c>
      <c r="AA1767" t="s">
        <v>49</v>
      </c>
      <c r="AB1767">
        <v>0</v>
      </c>
      <c r="AC1767" t="s">
        <v>49</v>
      </c>
      <c r="AD1767">
        <v>0</v>
      </c>
      <c r="AE1767">
        <v>-1</v>
      </c>
      <c r="AF1767" t="s">
        <v>50</v>
      </c>
      <c r="AG1767" t="s">
        <v>1536</v>
      </c>
    </row>
    <row r="1768" spans="1:33" x14ac:dyDescent="0.35">
      <c r="A1768" s="1">
        <v>44860.688888888886</v>
      </c>
      <c r="B1768">
        <v>6820499</v>
      </c>
      <c r="C1768" t="s">
        <v>3924</v>
      </c>
      <c r="D1768" t="s">
        <v>65</v>
      </c>
      <c r="E1768" s="2">
        <v>44529</v>
      </c>
      <c r="F1768" t="str">
        <f>"9780323911153"</f>
        <v>9780323911153</v>
      </c>
      <c r="G1768" t="str">
        <f>"9780323911146"</f>
        <v>9780323911146</v>
      </c>
      <c r="H1768" t="s">
        <v>2062</v>
      </c>
      <c r="I1768">
        <v>574.875</v>
      </c>
      <c r="J1768" t="s">
        <v>3925</v>
      </c>
      <c r="K1768" t="s">
        <v>55</v>
      </c>
      <c r="Q1768" t="s">
        <v>47</v>
      </c>
      <c r="R1768" t="s">
        <v>44</v>
      </c>
      <c r="S1768">
        <v>0</v>
      </c>
      <c r="W1768" s="3">
        <v>5.3240740740740744E-4</v>
      </c>
      <c r="X1768" t="s">
        <v>3926</v>
      </c>
      <c r="Y1768">
        <v>5</v>
      </c>
      <c r="Z1768">
        <v>0</v>
      </c>
      <c r="AA1768" t="s">
        <v>49</v>
      </c>
      <c r="AB1768">
        <v>0</v>
      </c>
      <c r="AC1768" t="s">
        <v>49</v>
      </c>
      <c r="AD1768">
        <v>0</v>
      </c>
      <c r="AE1768">
        <v>-1</v>
      </c>
      <c r="AF1768" t="s">
        <v>50</v>
      </c>
      <c r="AG1768" t="s">
        <v>866</v>
      </c>
    </row>
    <row r="1769" spans="1:33" x14ac:dyDescent="0.35">
      <c r="A1769" s="1">
        <v>44860.595138888886</v>
      </c>
      <c r="B1769">
        <v>7103923</v>
      </c>
      <c r="C1769" t="s">
        <v>3891</v>
      </c>
      <c r="D1769" t="s">
        <v>3579</v>
      </c>
      <c r="E1769" s="2">
        <v>42233</v>
      </c>
      <c r="F1769" t="str">
        <f>"9781118652671"</f>
        <v>9781118652671</v>
      </c>
      <c r="G1769" t="str">
        <f>"9781118652732"</f>
        <v>9781118652732</v>
      </c>
      <c r="H1769" t="s">
        <v>3583</v>
      </c>
      <c r="K1769" t="s">
        <v>44</v>
      </c>
      <c r="N1769" t="s">
        <v>45</v>
      </c>
      <c r="O1769" t="s">
        <v>46</v>
      </c>
      <c r="P1769" t="s">
        <v>45</v>
      </c>
      <c r="Q1769" t="s">
        <v>47</v>
      </c>
      <c r="R1769" t="s">
        <v>44</v>
      </c>
      <c r="S1769">
        <v>0</v>
      </c>
      <c r="W1769" s="3">
        <v>3.8888888888888883E-3</v>
      </c>
      <c r="X1769" t="s">
        <v>3927</v>
      </c>
      <c r="Y1769">
        <v>14</v>
      </c>
      <c r="Z1769">
        <v>0</v>
      </c>
      <c r="AA1769" t="s">
        <v>49</v>
      </c>
      <c r="AB1769">
        <v>0</v>
      </c>
      <c r="AC1769" t="s">
        <v>49</v>
      </c>
      <c r="AD1769">
        <v>0</v>
      </c>
      <c r="AE1769">
        <v>-1</v>
      </c>
      <c r="AF1769" t="s">
        <v>50</v>
      </c>
      <c r="AG1769" t="s">
        <v>1536</v>
      </c>
    </row>
    <row r="1770" spans="1:33" x14ac:dyDescent="0.35">
      <c r="A1770" s="1">
        <v>44860.559027777781</v>
      </c>
      <c r="B1770">
        <v>5900251</v>
      </c>
      <c r="C1770" t="s">
        <v>661</v>
      </c>
      <c r="D1770" t="s">
        <v>105</v>
      </c>
      <c r="E1770" s="2">
        <v>43745</v>
      </c>
      <c r="F1770" t="str">
        <f>"9783030206802"</f>
        <v>9783030206802</v>
      </c>
      <c r="G1770" t="str">
        <f>"9783030206796"</f>
        <v>9783030206796</v>
      </c>
      <c r="H1770" t="s">
        <v>60</v>
      </c>
      <c r="I1770">
        <v>658</v>
      </c>
      <c r="J1770" t="s">
        <v>662</v>
      </c>
      <c r="K1770" t="s">
        <v>55</v>
      </c>
      <c r="Q1770" t="s">
        <v>47</v>
      </c>
      <c r="R1770" t="s">
        <v>44</v>
      </c>
      <c r="S1770">
        <v>0</v>
      </c>
      <c r="W1770" s="3">
        <v>1.1805555555555556E-3</v>
      </c>
      <c r="X1770" t="s">
        <v>3928</v>
      </c>
      <c r="Y1770">
        <v>9</v>
      </c>
      <c r="Z1770">
        <v>0</v>
      </c>
      <c r="AA1770" t="s">
        <v>49</v>
      </c>
      <c r="AB1770">
        <v>0</v>
      </c>
      <c r="AC1770" t="s">
        <v>49</v>
      </c>
      <c r="AD1770">
        <v>0</v>
      </c>
      <c r="AE1770">
        <v>-1</v>
      </c>
      <c r="AF1770" t="s">
        <v>50</v>
      </c>
      <c r="AG1770" t="s">
        <v>1536</v>
      </c>
    </row>
    <row r="1771" spans="1:33" x14ac:dyDescent="0.35">
      <c r="A1771" s="1">
        <v>44860.552777777775</v>
      </c>
      <c r="B1771">
        <v>413853</v>
      </c>
      <c r="C1771" t="s">
        <v>725</v>
      </c>
      <c r="D1771" t="s">
        <v>65</v>
      </c>
      <c r="E1771" s="2">
        <v>38169</v>
      </c>
      <c r="F1771" t="str">
        <f>"9780080536613"</f>
        <v>9780080536613</v>
      </c>
      <c r="G1771" t="str">
        <f>"9781903996669"</f>
        <v>9781903996669</v>
      </c>
      <c r="H1771" t="s">
        <v>126</v>
      </c>
      <c r="I1771">
        <v>629.89200000000005</v>
      </c>
      <c r="J1771" t="s">
        <v>726</v>
      </c>
      <c r="K1771" t="s">
        <v>44</v>
      </c>
      <c r="N1771" t="s">
        <v>45</v>
      </c>
      <c r="O1771" t="s">
        <v>46</v>
      </c>
      <c r="P1771" t="s">
        <v>45</v>
      </c>
      <c r="Q1771" t="s">
        <v>47</v>
      </c>
      <c r="R1771" t="s">
        <v>44</v>
      </c>
      <c r="S1771">
        <v>0</v>
      </c>
      <c r="W1771" s="3">
        <v>1.7361111111111112E-4</v>
      </c>
      <c r="X1771" t="s">
        <v>3929</v>
      </c>
      <c r="Y1771">
        <v>4</v>
      </c>
      <c r="Z1771">
        <v>0</v>
      </c>
      <c r="AA1771" t="s">
        <v>49</v>
      </c>
      <c r="AB1771">
        <v>0</v>
      </c>
      <c r="AC1771" t="s">
        <v>49</v>
      </c>
      <c r="AD1771">
        <v>0</v>
      </c>
      <c r="AE1771">
        <v>10276492</v>
      </c>
      <c r="AF1771" t="s">
        <v>50</v>
      </c>
      <c r="AG1771" t="s">
        <v>1536</v>
      </c>
    </row>
    <row r="1772" spans="1:33" x14ac:dyDescent="0.35">
      <c r="A1772" s="1">
        <v>44860.494444444441</v>
      </c>
      <c r="B1772">
        <v>469749</v>
      </c>
      <c r="C1772" t="s">
        <v>2784</v>
      </c>
      <c r="D1772" t="s">
        <v>1458</v>
      </c>
      <c r="E1772" s="2">
        <v>39693</v>
      </c>
      <c r="F1772" t="str">
        <f>"9780470282069"</f>
        <v>9780470282069</v>
      </c>
      <c r="G1772" t="str">
        <f>"9780470105252"</f>
        <v>9780470105252</v>
      </c>
      <c r="H1772" t="s">
        <v>1112</v>
      </c>
      <c r="I1772">
        <v>660.28319999999997</v>
      </c>
      <c r="J1772" t="s">
        <v>2785</v>
      </c>
      <c r="K1772" t="s">
        <v>44</v>
      </c>
      <c r="N1772" t="s">
        <v>45</v>
      </c>
      <c r="O1772" t="s">
        <v>46</v>
      </c>
      <c r="P1772" t="s">
        <v>45</v>
      </c>
      <c r="Q1772" t="s">
        <v>47</v>
      </c>
      <c r="R1772" t="s">
        <v>44</v>
      </c>
      <c r="S1772">
        <v>0</v>
      </c>
      <c r="W1772" s="3">
        <v>4.6296296296296294E-5</v>
      </c>
      <c r="X1772" t="s">
        <v>121</v>
      </c>
      <c r="Y1772">
        <v>1</v>
      </c>
      <c r="Z1772">
        <v>0</v>
      </c>
      <c r="AA1772" t="s">
        <v>49</v>
      </c>
      <c r="AB1772">
        <v>0</v>
      </c>
      <c r="AC1772" t="s">
        <v>49</v>
      </c>
      <c r="AD1772">
        <v>0</v>
      </c>
      <c r="AE1772">
        <v>10296771</v>
      </c>
      <c r="AF1772" t="s">
        <v>50</v>
      </c>
      <c r="AG1772" t="s">
        <v>866</v>
      </c>
    </row>
    <row r="1773" spans="1:33" x14ac:dyDescent="0.35">
      <c r="A1773" s="1">
        <v>44860.48333333333</v>
      </c>
      <c r="B1773">
        <v>6456160</v>
      </c>
      <c r="C1773" t="s">
        <v>3930</v>
      </c>
      <c r="D1773" t="s">
        <v>65</v>
      </c>
      <c r="E1773" s="2">
        <v>44211</v>
      </c>
      <c r="F1773" t="str">
        <f>"9780128188637"</f>
        <v>9780128188637</v>
      </c>
      <c r="G1773" t="str">
        <f>"9780128188620"</f>
        <v>9780128188620</v>
      </c>
      <c r="H1773" t="s">
        <v>1112</v>
      </c>
      <c r="I1773">
        <v>662.8</v>
      </c>
      <c r="J1773" t="s">
        <v>3931</v>
      </c>
      <c r="K1773" t="s">
        <v>55</v>
      </c>
      <c r="Q1773" t="s">
        <v>47</v>
      </c>
      <c r="R1773" t="s">
        <v>44</v>
      </c>
      <c r="S1773">
        <v>0</v>
      </c>
      <c r="W1773" s="3">
        <v>6.8634259259259256E-3</v>
      </c>
      <c r="X1773" t="s">
        <v>3932</v>
      </c>
      <c r="Y1773">
        <v>9</v>
      </c>
      <c r="Z1773">
        <v>0</v>
      </c>
      <c r="AA1773" t="s">
        <v>49</v>
      </c>
      <c r="AB1773">
        <v>0</v>
      </c>
      <c r="AC1773" t="s">
        <v>49</v>
      </c>
      <c r="AD1773">
        <v>0</v>
      </c>
      <c r="AE1773">
        <v>-1</v>
      </c>
      <c r="AF1773" t="s">
        <v>63</v>
      </c>
      <c r="AG1773" t="s">
        <v>1536</v>
      </c>
    </row>
    <row r="1774" spans="1:33" x14ac:dyDescent="0.35">
      <c r="A1774" s="1">
        <v>44860.479861111111</v>
      </c>
      <c r="B1774">
        <v>6456160</v>
      </c>
      <c r="C1774" t="s">
        <v>3930</v>
      </c>
      <c r="D1774" t="s">
        <v>65</v>
      </c>
      <c r="E1774" s="2">
        <v>44211</v>
      </c>
      <c r="F1774" t="str">
        <f>"9780128188637"</f>
        <v>9780128188637</v>
      </c>
      <c r="G1774" t="str">
        <f>"9780128188620"</f>
        <v>9780128188620</v>
      </c>
      <c r="H1774" t="s">
        <v>1112</v>
      </c>
      <c r="I1774">
        <v>662.8</v>
      </c>
      <c r="J1774" t="s">
        <v>3931</v>
      </c>
      <c r="K1774" t="s">
        <v>55</v>
      </c>
      <c r="Q1774" t="s">
        <v>47</v>
      </c>
      <c r="R1774" t="s">
        <v>44</v>
      </c>
      <c r="S1774">
        <v>0</v>
      </c>
      <c r="W1774" s="3">
        <v>1.1574074074074073E-5</v>
      </c>
      <c r="X1774" t="s">
        <v>49</v>
      </c>
      <c r="Y1774">
        <v>0</v>
      </c>
      <c r="Z1774">
        <v>0</v>
      </c>
      <c r="AA1774" t="s">
        <v>49</v>
      </c>
      <c r="AB1774">
        <v>0</v>
      </c>
      <c r="AC1774" t="s">
        <v>49</v>
      </c>
      <c r="AD1774">
        <v>0</v>
      </c>
      <c r="AE1774">
        <v>-1</v>
      </c>
      <c r="AF1774" t="s">
        <v>63</v>
      </c>
      <c r="AG1774" t="s">
        <v>1536</v>
      </c>
    </row>
    <row r="1775" spans="1:33" x14ac:dyDescent="0.35">
      <c r="A1775" s="1">
        <v>44860.430555555555</v>
      </c>
      <c r="B1775">
        <v>6565012</v>
      </c>
      <c r="C1775" t="s">
        <v>3933</v>
      </c>
      <c r="D1775" t="s">
        <v>137</v>
      </c>
      <c r="E1775" s="2">
        <v>44357</v>
      </c>
      <c r="F1775" t="str">
        <f>"9781536196153"</f>
        <v>9781536196153</v>
      </c>
      <c r="G1775" t="str">
        <f>"9781536195125"</f>
        <v>9781536195125</v>
      </c>
      <c r="H1775" t="s">
        <v>138</v>
      </c>
      <c r="K1775" t="s">
        <v>55</v>
      </c>
      <c r="Q1775" t="s">
        <v>47</v>
      </c>
      <c r="R1775" t="s">
        <v>44</v>
      </c>
      <c r="S1775">
        <v>0</v>
      </c>
      <c r="W1775" s="3">
        <v>3.4722222222222222E-5</v>
      </c>
      <c r="X1775" t="s">
        <v>121</v>
      </c>
      <c r="Y1775">
        <v>1</v>
      </c>
      <c r="Z1775">
        <v>0</v>
      </c>
      <c r="AA1775" t="s">
        <v>49</v>
      </c>
      <c r="AB1775">
        <v>0</v>
      </c>
      <c r="AC1775" t="s">
        <v>49</v>
      </c>
      <c r="AD1775">
        <v>0</v>
      </c>
      <c r="AE1775">
        <v>-1</v>
      </c>
      <c r="AF1775" t="s">
        <v>50</v>
      </c>
      <c r="AG1775" t="s">
        <v>1536</v>
      </c>
    </row>
    <row r="1776" spans="1:33" x14ac:dyDescent="0.35">
      <c r="A1776" s="1">
        <v>44860.42291666667</v>
      </c>
      <c r="B1776">
        <v>6565012</v>
      </c>
      <c r="C1776" t="s">
        <v>3933</v>
      </c>
      <c r="D1776" t="s">
        <v>137</v>
      </c>
      <c r="E1776" s="2">
        <v>44357</v>
      </c>
      <c r="F1776" t="str">
        <f>"9781536196153"</f>
        <v>9781536196153</v>
      </c>
      <c r="G1776" t="str">
        <f>"9781536195125"</f>
        <v>9781536195125</v>
      </c>
      <c r="H1776" t="s">
        <v>138</v>
      </c>
      <c r="K1776" t="s">
        <v>55</v>
      </c>
      <c r="Q1776" t="s">
        <v>47</v>
      </c>
      <c r="R1776" t="s">
        <v>44</v>
      </c>
      <c r="S1776">
        <v>0</v>
      </c>
      <c r="W1776" s="3">
        <v>1.3888888888888889E-4</v>
      </c>
      <c r="X1776" t="s">
        <v>205</v>
      </c>
      <c r="Y1776">
        <v>2</v>
      </c>
      <c r="Z1776">
        <v>0</v>
      </c>
      <c r="AA1776" t="s">
        <v>49</v>
      </c>
      <c r="AB1776">
        <v>0</v>
      </c>
      <c r="AC1776" t="s">
        <v>49</v>
      </c>
      <c r="AD1776">
        <v>0</v>
      </c>
      <c r="AE1776">
        <v>-1</v>
      </c>
      <c r="AF1776" t="s">
        <v>50</v>
      </c>
      <c r="AG1776" t="s">
        <v>3588</v>
      </c>
    </row>
    <row r="1777" spans="1:33" x14ac:dyDescent="0.35">
      <c r="A1777" s="1">
        <v>44860.42083333333</v>
      </c>
      <c r="B1777">
        <v>6353613</v>
      </c>
      <c r="C1777" t="s">
        <v>3934</v>
      </c>
      <c r="D1777" t="s">
        <v>65</v>
      </c>
      <c r="E1777" s="2">
        <v>44096</v>
      </c>
      <c r="F1777" t="str">
        <f>"9780128227664"</f>
        <v>9780128227664</v>
      </c>
      <c r="G1777" t="str">
        <f>"9780128197431"</f>
        <v>9780128197431</v>
      </c>
      <c r="H1777" t="s">
        <v>43</v>
      </c>
      <c r="I1777">
        <v>518.20000000000005</v>
      </c>
      <c r="J1777" t="s">
        <v>3935</v>
      </c>
      <c r="K1777" t="s">
        <v>55</v>
      </c>
      <c r="N1777" t="s">
        <v>293</v>
      </c>
      <c r="P1777" t="s">
        <v>80</v>
      </c>
      <c r="Q1777" t="s">
        <v>47</v>
      </c>
      <c r="R1777" t="s">
        <v>44</v>
      </c>
      <c r="S1777">
        <v>1</v>
      </c>
      <c r="T1777">
        <v>90</v>
      </c>
      <c r="U1777" s="1">
        <v>44859.644444444442</v>
      </c>
      <c r="V1777" s="1">
        <v>44949.644444444442</v>
      </c>
      <c r="W1777" s="3">
        <v>0</v>
      </c>
      <c r="X1777" t="s">
        <v>49</v>
      </c>
      <c r="Y1777">
        <v>0</v>
      </c>
      <c r="Z1777">
        <v>0</v>
      </c>
      <c r="AA1777" t="s">
        <v>49</v>
      </c>
      <c r="AB1777">
        <v>0</v>
      </c>
      <c r="AC1777" t="s">
        <v>49</v>
      </c>
      <c r="AD1777">
        <v>0</v>
      </c>
      <c r="AE1777">
        <v>-1</v>
      </c>
      <c r="AF1777" t="s">
        <v>63</v>
      </c>
      <c r="AG1777" t="s">
        <v>3936</v>
      </c>
    </row>
    <row r="1778" spans="1:33" x14ac:dyDescent="0.35">
      <c r="A1778" s="1">
        <v>44860.334722222222</v>
      </c>
      <c r="B1778">
        <v>3339517</v>
      </c>
      <c r="C1778" t="s">
        <v>2222</v>
      </c>
      <c r="D1778" t="s">
        <v>303</v>
      </c>
      <c r="E1778" s="2">
        <v>41180</v>
      </c>
      <c r="F1778" t="str">
        <f>"9780262305563"</f>
        <v>9780262305563</v>
      </c>
      <c r="G1778" t="str">
        <f>"9780262017473"</f>
        <v>9780262017473</v>
      </c>
      <c r="H1778" t="s">
        <v>2223</v>
      </c>
      <c r="I1778" t="s">
        <v>2224</v>
      </c>
      <c r="J1778" t="s">
        <v>2225</v>
      </c>
      <c r="K1778" t="s">
        <v>44</v>
      </c>
      <c r="N1778" t="s">
        <v>45</v>
      </c>
      <c r="O1778" t="s">
        <v>46</v>
      </c>
      <c r="P1778" t="s">
        <v>45</v>
      </c>
      <c r="Q1778" t="s">
        <v>47</v>
      </c>
      <c r="R1778" t="s">
        <v>44</v>
      </c>
      <c r="S1778">
        <v>0</v>
      </c>
      <c r="W1778" s="3">
        <v>3.5879629629629635E-4</v>
      </c>
      <c r="X1778" t="s">
        <v>196</v>
      </c>
      <c r="Y1778">
        <v>2</v>
      </c>
      <c r="Z1778">
        <v>0</v>
      </c>
      <c r="AA1778" t="s">
        <v>49</v>
      </c>
      <c r="AB1778">
        <v>0</v>
      </c>
      <c r="AC1778" t="s">
        <v>49</v>
      </c>
      <c r="AD1778">
        <v>0</v>
      </c>
      <c r="AE1778">
        <v>10608196</v>
      </c>
      <c r="AF1778" t="s">
        <v>50</v>
      </c>
      <c r="AG1778" t="s">
        <v>3937</v>
      </c>
    </row>
    <row r="1779" spans="1:33" x14ac:dyDescent="0.35">
      <c r="A1779" s="1">
        <v>44860.317361111112</v>
      </c>
      <c r="B1779">
        <v>279494</v>
      </c>
      <c r="C1779" t="s">
        <v>1333</v>
      </c>
      <c r="D1779" t="s">
        <v>125</v>
      </c>
      <c r="E1779" s="2">
        <v>37280</v>
      </c>
      <c r="F1779" t="str">
        <f>"9780198032953"</f>
        <v>9780198032953</v>
      </c>
      <c r="G1779" t="str">
        <f>"9780195144208"</f>
        <v>9780195144208</v>
      </c>
      <c r="H1779" t="s">
        <v>667</v>
      </c>
      <c r="I1779" t="s">
        <v>1334</v>
      </c>
      <c r="J1779" t="s">
        <v>1335</v>
      </c>
      <c r="K1779" t="s">
        <v>44</v>
      </c>
      <c r="N1779" t="s">
        <v>45</v>
      </c>
      <c r="O1779" t="s">
        <v>46</v>
      </c>
      <c r="P1779" t="s">
        <v>45</v>
      </c>
      <c r="Q1779" t="s">
        <v>47</v>
      </c>
      <c r="R1779" t="s">
        <v>44</v>
      </c>
      <c r="S1779">
        <v>0</v>
      </c>
      <c r="W1779" s="3">
        <v>1.5393518518518519E-3</v>
      </c>
      <c r="X1779" t="s">
        <v>3938</v>
      </c>
      <c r="Y1779">
        <v>21</v>
      </c>
      <c r="Z1779">
        <v>0</v>
      </c>
      <c r="AA1779" t="s">
        <v>49</v>
      </c>
      <c r="AB1779">
        <v>0</v>
      </c>
      <c r="AC1779" t="s">
        <v>49</v>
      </c>
      <c r="AD1779">
        <v>0</v>
      </c>
      <c r="AE1779">
        <v>11303309</v>
      </c>
      <c r="AF1779" t="s">
        <v>50</v>
      </c>
      <c r="AG1779" t="s">
        <v>630</v>
      </c>
    </row>
    <row r="1780" spans="1:33" x14ac:dyDescent="0.35">
      <c r="A1780" s="1">
        <v>44860.01458333333</v>
      </c>
      <c r="B1780">
        <v>967997</v>
      </c>
      <c r="C1780" t="s">
        <v>2506</v>
      </c>
      <c r="D1780" t="s">
        <v>76</v>
      </c>
      <c r="E1780" s="2">
        <v>41110</v>
      </c>
      <c r="F1780" t="str">
        <f>"9781439854013"</f>
        <v>9781439854013</v>
      </c>
      <c r="G1780" t="str">
        <f>"9781439854006"</f>
        <v>9781439854006</v>
      </c>
      <c r="H1780" t="s">
        <v>261</v>
      </c>
      <c r="I1780">
        <v>628.1</v>
      </c>
      <c r="J1780" t="s">
        <v>2507</v>
      </c>
      <c r="K1780" t="s">
        <v>44</v>
      </c>
      <c r="N1780" t="s">
        <v>45</v>
      </c>
      <c r="O1780" t="s">
        <v>46</v>
      </c>
      <c r="P1780" t="s">
        <v>45</v>
      </c>
      <c r="Q1780" t="s">
        <v>47</v>
      </c>
      <c r="R1780" t="s">
        <v>44</v>
      </c>
      <c r="S1780">
        <v>0</v>
      </c>
      <c r="W1780" s="3">
        <v>3.1354166666666662E-2</v>
      </c>
      <c r="X1780" t="s">
        <v>3939</v>
      </c>
      <c r="Y1780">
        <v>51</v>
      </c>
      <c r="Z1780">
        <v>0</v>
      </c>
      <c r="AA1780" t="s">
        <v>49</v>
      </c>
      <c r="AB1780">
        <v>0</v>
      </c>
      <c r="AC1780" t="s">
        <v>49</v>
      </c>
      <c r="AD1780">
        <v>0</v>
      </c>
      <c r="AE1780">
        <v>10579679</v>
      </c>
      <c r="AF1780" t="s">
        <v>50</v>
      </c>
      <c r="AG1780" t="s">
        <v>3588</v>
      </c>
    </row>
    <row r="1781" spans="1:33" x14ac:dyDescent="0.35">
      <c r="A1781" s="1">
        <v>44859.982638888891</v>
      </c>
      <c r="B1781">
        <v>272401</v>
      </c>
      <c r="C1781" t="s">
        <v>3940</v>
      </c>
      <c r="D1781" t="s">
        <v>125</v>
      </c>
      <c r="E1781" s="2">
        <v>34340</v>
      </c>
      <c r="F1781" t="str">
        <f>"9780195361728"</f>
        <v>9780195361728</v>
      </c>
      <c r="G1781" t="str">
        <f>"9780195068436"</f>
        <v>9780195068436</v>
      </c>
      <c r="H1781" t="s">
        <v>1626</v>
      </c>
      <c r="I1781">
        <v>551.46010000000001</v>
      </c>
      <c r="J1781" t="s">
        <v>3941</v>
      </c>
      <c r="K1781" t="s">
        <v>44</v>
      </c>
      <c r="N1781" t="s">
        <v>45</v>
      </c>
      <c r="O1781" t="s">
        <v>46</v>
      </c>
      <c r="P1781" t="s">
        <v>45</v>
      </c>
      <c r="Q1781" t="s">
        <v>47</v>
      </c>
      <c r="R1781" t="s">
        <v>44</v>
      </c>
      <c r="S1781">
        <v>1</v>
      </c>
      <c r="W1781" s="3">
        <v>0</v>
      </c>
      <c r="X1781" t="s">
        <v>49</v>
      </c>
      <c r="Y1781">
        <v>0</v>
      </c>
      <c r="Z1781">
        <v>0</v>
      </c>
      <c r="AA1781" t="s">
        <v>49</v>
      </c>
      <c r="AB1781">
        <v>0</v>
      </c>
      <c r="AC1781" t="s">
        <v>49</v>
      </c>
      <c r="AD1781">
        <v>0</v>
      </c>
      <c r="AE1781">
        <v>10278511</v>
      </c>
      <c r="AF1781" t="s">
        <v>63</v>
      </c>
      <c r="AG1781" t="s">
        <v>1536</v>
      </c>
    </row>
    <row r="1782" spans="1:33" x14ac:dyDescent="0.35">
      <c r="A1782" s="1">
        <v>44859.863888888889</v>
      </c>
      <c r="B1782">
        <v>5415224</v>
      </c>
      <c r="C1782" t="s">
        <v>3942</v>
      </c>
      <c r="D1782" t="s">
        <v>3943</v>
      </c>
      <c r="E1782" s="2">
        <v>43251</v>
      </c>
      <c r="F1782" t="str">
        <f>"9789201430199"</f>
        <v>9789201430199</v>
      </c>
      <c r="G1782" t="str">
        <f>"9789201025173"</f>
        <v>9789201025173</v>
      </c>
      <c r="H1782" t="s">
        <v>3944</v>
      </c>
      <c r="I1782">
        <v>614.83900000000006</v>
      </c>
      <c r="J1782" t="s">
        <v>3945</v>
      </c>
      <c r="K1782" t="s">
        <v>44</v>
      </c>
      <c r="N1782" t="s">
        <v>45</v>
      </c>
      <c r="O1782" t="s">
        <v>46</v>
      </c>
      <c r="P1782" t="s">
        <v>45</v>
      </c>
      <c r="Q1782" t="s">
        <v>47</v>
      </c>
      <c r="R1782" t="s">
        <v>44</v>
      </c>
      <c r="S1782">
        <v>0</v>
      </c>
      <c r="W1782" s="3">
        <v>3.0092592592592595E-4</v>
      </c>
      <c r="X1782" t="s">
        <v>3946</v>
      </c>
      <c r="Y1782">
        <v>6</v>
      </c>
      <c r="Z1782">
        <v>0</v>
      </c>
      <c r="AA1782" t="s">
        <v>49</v>
      </c>
      <c r="AB1782">
        <v>0</v>
      </c>
      <c r="AC1782" t="s">
        <v>49</v>
      </c>
      <c r="AD1782">
        <v>0</v>
      </c>
      <c r="AE1782">
        <v>-1</v>
      </c>
      <c r="AF1782" t="s">
        <v>50</v>
      </c>
      <c r="AG1782" t="s">
        <v>118</v>
      </c>
    </row>
    <row r="1783" spans="1:33" x14ac:dyDescent="0.35">
      <c r="A1783" s="1">
        <v>44859.859722222223</v>
      </c>
      <c r="B1783">
        <v>224643</v>
      </c>
      <c r="C1783" t="s">
        <v>3947</v>
      </c>
      <c r="D1783" t="s">
        <v>443</v>
      </c>
      <c r="E1783" s="2">
        <v>36831</v>
      </c>
      <c r="F1783" t="str">
        <f>"9780520924840"</f>
        <v>9780520924840</v>
      </c>
      <c r="G1783" t="str">
        <f>"9780520223288"</f>
        <v>9780520223288</v>
      </c>
      <c r="H1783" t="s">
        <v>673</v>
      </c>
      <c r="I1783" t="s">
        <v>3948</v>
      </c>
      <c r="J1783" t="s">
        <v>3949</v>
      </c>
      <c r="K1783" t="s">
        <v>44</v>
      </c>
      <c r="N1783" t="s">
        <v>45</v>
      </c>
      <c r="O1783" t="s">
        <v>46</v>
      </c>
      <c r="P1783" t="s">
        <v>177</v>
      </c>
      <c r="Q1783" t="s">
        <v>47</v>
      </c>
      <c r="R1783" t="s">
        <v>55</v>
      </c>
      <c r="S1783">
        <v>0</v>
      </c>
      <c r="W1783" s="3">
        <v>0</v>
      </c>
      <c r="X1783" t="s">
        <v>49</v>
      </c>
      <c r="Y1783">
        <v>0</v>
      </c>
      <c r="Z1783">
        <v>2</v>
      </c>
      <c r="AA1783" t="s">
        <v>3950</v>
      </c>
      <c r="AB1783">
        <v>56</v>
      </c>
      <c r="AC1783" t="s">
        <v>49</v>
      </c>
      <c r="AD1783">
        <v>0</v>
      </c>
      <c r="AE1783">
        <v>10062325</v>
      </c>
      <c r="AF1783" t="s">
        <v>50</v>
      </c>
      <c r="AG1783" t="s">
        <v>118</v>
      </c>
    </row>
    <row r="1784" spans="1:33" x14ac:dyDescent="0.35">
      <c r="A1784" s="1">
        <v>44859.842361111114</v>
      </c>
      <c r="B1784">
        <v>605151</v>
      </c>
      <c r="C1784" t="s">
        <v>2135</v>
      </c>
      <c r="D1784" t="s">
        <v>76</v>
      </c>
      <c r="E1784" s="2">
        <v>40540</v>
      </c>
      <c r="F1784" t="str">
        <f>"9781409408239"</f>
        <v>9781409408239</v>
      </c>
      <c r="G1784" t="str">
        <f>"9781409408222"</f>
        <v>9781409408222</v>
      </c>
      <c r="H1784" t="s">
        <v>60</v>
      </c>
      <c r="I1784">
        <v>387.10953569999998</v>
      </c>
      <c r="J1784" t="s">
        <v>2136</v>
      </c>
      <c r="K1784" t="s">
        <v>44</v>
      </c>
      <c r="N1784" t="s">
        <v>45</v>
      </c>
      <c r="O1784" t="s">
        <v>46</v>
      </c>
      <c r="P1784" t="s">
        <v>45</v>
      </c>
      <c r="Q1784" t="s">
        <v>47</v>
      </c>
      <c r="R1784" t="s">
        <v>44</v>
      </c>
      <c r="S1784">
        <v>1</v>
      </c>
      <c r="W1784" s="3">
        <v>0</v>
      </c>
      <c r="X1784" t="s">
        <v>49</v>
      </c>
      <c r="Y1784">
        <v>0</v>
      </c>
      <c r="Z1784">
        <v>2</v>
      </c>
      <c r="AA1784" t="s">
        <v>3951</v>
      </c>
      <c r="AB1784">
        <v>50</v>
      </c>
      <c r="AC1784" t="s">
        <v>49</v>
      </c>
      <c r="AD1784">
        <v>0</v>
      </c>
      <c r="AE1784">
        <v>10428183</v>
      </c>
      <c r="AF1784" t="s">
        <v>63</v>
      </c>
      <c r="AG1784" t="s">
        <v>1536</v>
      </c>
    </row>
    <row r="1785" spans="1:33" x14ac:dyDescent="0.35">
      <c r="A1785" s="1">
        <v>44859.830555555556</v>
      </c>
      <c r="B1785">
        <v>689292</v>
      </c>
      <c r="C1785" t="s">
        <v>3567</v>
      </c>
      <c r="D1785" t="s">
        <v>125</v>
      </c>
      <c r="E1785" s="2">
        <v>40680</v>
      </c>
      <c r="F1785" t="str">
        <f>"9780199792450"</f>
        <v>9780199792450</v>
      </c>
      <c r="G1785" t="str">
        <f>"9780199759453"</f>
        <v>9780199759453</v>
      </c>
      <c r="H1785" t="s">
        <v>3568</v>
      </c>
      <c r="I1785" t="s">
        <v>3569</v>
      </c>
      <c r="J1785" t="s">
        <v>3570</v>
      </c>
      <c r="K1785" t="s">
        <v>55</v>
      </c>
      <c r="N1785" t="s">
        <v>45</v>
      </c>
      <c r="O1785" t="s">
        <v>46</v>
      </c>
      <c r="P1785" t="s">
        <v>45</v>
      </c>
      <c r="Q1785" t="s">
        <v>47</v>
      </c>
      <c r="R1785" t="s">
        <v>44</v>
      </c>
      <c r="S1785">
        <v>0</v>
      </c>
      <c r="W1785" s="3">
        <v>4.2326388888888893E-2</v>
      </c>
      <c r="X1785" t="s">
        <v>3952</v>
      </c>
      <c r="Y1785">
        <v>44</v>
      </c>
      <c r="Z1785">
        <v>0</v>
      </c>
      <c r="AA1785" t="s">
        <v>49</v>
      </c>
      <c r="AB1785">
        <v>0</v>
      </c>
      <c r="AC1785" t="s">
        <v>49</v>
      </c>
      <c r="AD1785">
        <v>0</v>
      </c>
      <c r="AE1785">
        <v>10467545</v>
      </c>
      <c r="AF1785" t="s">
        <v>50</v>
      </c>
      <c r="AG1785" t="s">
        <v>1536</v>
      </c>
    </row>
    <row r="1786" spans="1:33" x14ac:dyDescent="0.35">
      <c r="A1786" s="1">
        <v>44859.768750000003</v>
      </c>
      <c r="B1786">
        <v>6413191</v>
      </c>
      <c r="C1786" t="s">
        <v>3953</v>
      </c>
      <c r="D1786" t="s">
        <v>105</v>
      </c>
      <c r="E1786" s="2">
        <v>44161</v>
      </c>
      <c r="F1786" t="str">
        <f>"9783030642662"</f>
        <v>9783030642662</v>
      </c>
      <c r="G1786" t="str">
        <f>"9783030642655"</f>
        <v>9783030642655</v>
      </c>
      <c r="H1786" t="s">
        <v>138</v>
      </c>
      <c r="I1786">
        <v>4.21</v>
      </c>
      <c r="J1786" t="s">
        <v>3954</v>
      </c>
      <c r="K1786" t="s">
        <v>55</v>
      </c>
      <c r="Q1786" t="s">
        <v>47</v>
      </c>
      <c r="R1786" t="s">
        <v>44</v>
      </c>
      <c r="S1786">
        <v>0</v>
      </c>
      <c r="W1786" s="3">
        <v>8.2175925925925917E-4</v>
      </c>
      <c r="X1786" t="s">
        <v>3955</v>
      </c>
      <c r="Y1786">
        <v>7</v>
      </c>
      <c r="Z1786">
        <v>0</v>
      </c>
      <c r="AA1786" t="s">
        <v>49</v>
      </c>
      <c r="AB1786">
        <v>0</v>
      </c>
      <c r="AC1786" t="s">
        <v>49</v>
      </c>
      <c r="AD1786">
        <v>0</v>
      </c>
      <c r="AE1786">
        <v>-1</v>
      </c>
      <c r="AF1786" t="s">
        <v>50</v>
      </c>
      <c r="AG1786" t="s">
        <v>835</v>
      </c>
    </row>
    <row r="1787" spans="1:33" x14ac:dyDescent="0.35">
      <c r="A1787" s="1">
        <v>44859.65902777778</v>
      </c>
      <c r="B1787">
        <v>1131407</v>
      </c>
      <c r="C1787" t="s">
        <v>3956</v>
      </c>
      <c r="D1787" t="s">
        <v>1613</v>
      </c>
      <c r="E1787" s="2">
        <v>40872</v>
      </c>
      <c r="F1787" t="str">
        <f>"9780810879676"</f>
        <v>9780810879676</v>
      </c>
      <c r="G1787" t="str">
        <f>"9780810861947"</f>
        <v>9780810861947</v>
      </c>
      <c r="H1787" t="s">
        <v>162</v>
      </c>
      <c r="I1787">
        <v>299.93029999999999</v>
      </c>
      <c r="J1787" t="s">
        <v>3957</v>
      </c>
      <c r="K1787" t="s">
        <v>44</v>
      </c>
      <c r="N1787" t="s">
        <v>45</v>
      </c>
      <c r="O1787" t="s">
        <v>46</v>
      </c>
      <c r="P1787" t="s">
        <v>45</v>
      </c>
      <c r="Q1787" t="s">
        <v>47</v>
      </c>
      <c r="R1787" t="s">
        <v>44</v>
      </c>
      <c r="S1787">
        <v>0</v>
      </c>
      <c r="W1787" s="3">
        <v>1.3541666666666667E-3</v>
      </c>
      <c r="X1787" t="s">
        <v>3958</v>
      </c>
      <c r="Y1787">
        <v>15</v>
      </c>
      <c r="Z1787">
        <v>0</v>
      </c>
      <c r="AA1787" t="s">
        <v>49</v>
      </c>
      <c r="AB1787">
        <v>0</v>
      </c>
      <c r="AC1787" t="s">
        <v>49</v>
      </c>
      <c r="AD1787">
        <v>0</v>
      </c>
      <c r="AE1787">
        <v>10661165</v>
      </c>
      <c r="AF1787" t="s">
        <v>50</v>
      </c>
      <c r="AG1787" t="s">
        <v>835</v>
      </c>
    </row>
    <row r="1788" spans="1:33" x14ac:dyDescent="0.35">
      <c r="A1788" s="1">
        <v>44859.648611111108</v>
      </c>
      <c r="B1788">
        <v>6353613</v>
      </c>
      <c r="C1788" t="s">
        <v>3934</v>
      </c>
      <c r="D1788" t="s">
        <v>65</v>
      </c>
      <c r="E1788" s="2">
        <v>44096</v>
      </c>
      <c r="F1788" t="str">
        <f>"9780128227664"</f>
        <v>9780128227664</v>
      </c>
      <c r="G1788" t="str">
        <f>"9780128197431"</f>
        <v>9780128197431</v>
      </c>
      <c r="H1788" t="s">
        <v>43</v>
      </c>
      <c r="I1788">
        <v>518.20000000000005</v>
      </c>
      <c r="J1788" t="s">
        <v>3935</v>
      </c>
      <c r="K1788" t="s">
        <v>55</v>
      </c>
      <c r="N1788" t="s">
        <v>293</v>
      </c>
      <c r="P1788" t="s">
        <v>80</v>
      </c>
      <c r="Q1788" t="s">
        <v>47</v>
      </c>
      <c r="R1788" t="s">
        <v>44</v>
      </c>
      <c r="S1788">
        <v>1</v>
      </c>
      <c r="T1788">
        <v>90</v>
      </c>
      <c r="U1788" s="1">
        <v>44859.644444444442</v>
      </c>
      <c r="V1788" s="1">
        <v>44949.644444444442</v>
      </c>
      <c r="W1788" s="3">
        <v>0</v>
      </c>
      <c r="X1788" t="s">
        <v>49</v>
      </c>
      <c r="Y1788">
        <v>0</v>
      </c>
      <c r="Z1788">
        <v>0</v>
      </c>
      <c r="AA1788" t="s">
        <v>49</v>
      </c>
      <c r="AB1788">
        <v>0</v>
      </c>
      <c r="AC1788" t="s">
        <v>49</v>
      </c>
      <c r="AD1788">
        <v>0</v>
      </c>
      <c r="AE1788">
        <v>-1</v>
      </c>
      <c r="AF1788" t="s">
        <v>63</v>
      </c>
      <c r="AG1788" t="s">
        <v>1536</v>
      </c>
    </row>
    <row r="1789" spans="1:33" x14ac:dyDescent="0.35">
      <c r="A1789" s="1">
        <v>44859.644444444442</v>
      </c>
      <c r="B1789">
        <v>6353613</v>
      </c>
      <c r="C1789" t="s">
        <v>3934</v>
      </c>
      <c r="D1789" t="s">
        <v>65</v>
      </c>
      <c r="E1789" s="2">
        <v>44096</v>
      </c>
      <c r="F1789" t="str">
        <f>"9780128227664"</f>
        <v>9780128227664</v>
      </c>
      <c r="G1789" t="str">
        <f>"9780128197431"</f>
        <v>9780128197431</v>
      </c>
      <c r="H1789" t="s">
        <v>43</v>
      </c>
      <c r="I1789">
        <v>518.20000000000005</v>
      </c>
      <c r="J1789" t="s">
        <v>3935</v>
      </c>
      <c r="K1789" t="s">
        <v>55</v>
      </c>
      <c r="N1789" t="s">
        <v>293</v>
      </c>
      <c r="P1789" t="s">
        <v>80</v>
      </c>
      <c r="Q1789" t="s">
        <v>47</v>
      </c>
      <c r="R1789" t="s">
        <v>44</v>
      </c>
      <c r="S1789">
        <v>2</v>
      </c>
      <c r="T1789">
        <v>90</v>
      </c>
      <c r="U1789" s="1">
        <v>44859.644444444442</v>
      </c>
      <c r="V1789" s="1">
        <v>44949.644444444442</v>
      </c>
      <c r="W1789" s="3">
        <v>0</v>
      </c>
      <c r="X1789" t="s">
        <v>49</v>
      </c>
      <c r="Y1789">
        <v>0</v>
      </c>
      <c r="Z1789">
        <v>0</v>
      </c>
      <c r="AA1789" t="s">
        <v>49</v>
      </c>
      <c r="AB1789">
        <v>0</v>
      </c>
      <c r="AC1789" t="s">
        <v>49</v>
      </c>
      <c r="AD1789">
        <v>0</v>
      </c>
      <c r="AE1789">
        <v>-1</v>
      </c>
      <c r="AF1789" t="s">
        <v>63</v>
      </c>
      <c r="AG1789" t="s">
        <v>1536</v>
      </c>
    </row>
    <row r="1790" spans="1:33" x14ac:dyDescent="0.35">
      <c r="A1790" s="1">
        <v>44859.642361111109</v>
      </c>
      <c r="B1790">
        <v>6353613</v>
      </c>
      <c r="C1790" t="s">
        <v>3934</v>
      </c>
      <c r="D1790" t="s">
        <v>65</v>
      </c>
      <c r="E1790" s="2">
        <v>44096</v>
      </c>
      <c r="F1790" t="str">
        <f>"9780128227664"</f>
        <v>9780128227664</v>
      </c>
      <c r="G1790" t="str">
        <f>"9780128197431"</f>
        <v>9780128197431</v>
      </c>
      <c r="H1790" t="s">
        <v>43</v>
      </c>
      <c r="I1790">
        <v>518.20000000000005</v>
      </c>
      <c r="J1790" t="s">
        <v>3935</v>
      </c>
      <c r="K1790" t="s">
        <v>55</v>
      </c>
      <c r="N1790" t="s">
        <v>293</v>
      </c>
      <c r="P1790" t="s">
        <v>80</v>
      </c>
      <c r="Q1790" t="s">
        <v>47</v>
      </c>
      <c r="R1790" t="s">
        <v>44</v>
      </c>
      <c r="S1790">
        <v>0</v>
      </c>
      <c r="W1790" s="3">
        <v>5.7870370370370366E-5</v>
      </c>
      <c r="X1790" t="s">
        <v>121</v>
      </c>
      <c r="Y1790">
        <v>1</v>
      </c>
      <c r="Z1790">
        <v>0</v>
      </c>
      <c r="AA1790" t="s">
        <v>49</v>
      </c>
      <c r="AB1790">
        <v>0</v>
      </c>
      <c r="AC1790" t="s">
        <v>49</v>
      </c>
      <c r="AD1790">
        <v>0</v>
      </c>
      <c r="AE1790">
        <v>-1</v>
      </c>
      <c r="AF1790" t="s">
        <v>63</v>
      </c>
      <c r="AG1790" t="s">
        <v>1536</v>
      </c>
    </row>
    <row r="1791" spans="1:33" x14ac:dyDescent="0.35">
      <c r="A1791" s="1">
        <v>44859.57708333333</v>
      </c>
      <c r="B1791">
        <v>6382172</v>
      </c>
      <c r="C1791" t="s">
        <v>3959</v>
      </c>
      <c r="D1791" t="s">
        <v>65</v>
      </c>
      <c r="E1791" s="2">
        <v>44133</v>
      </c>
      <c r="F1791" t="str">
        <f>"9780128209929"</f>
        <v>9780128209929</v>
      </c>
      <c r="G1791" t="str">
        <f>"9780128209912"</f>
        <v>9780128209912</v>
      </c>
      <c r="H1791" t="s">
        <v>322</v>
      </c>
      <c r="I1791" t="s">
        <v>3960</v>
      </c>
      <c r="J1791" t="s">
        <v>3961</v>
      </c>
      <c r="K1791" t="s">
        <v>55</v>
      </c>
      <c r="Q1791" t="s">
        <v>47</v>
      </c>
      <c r="R1791" t="s">
        <v>44</v>
      </c>
      <c r="S1791">
        <v>0</v>
      </c>
      <c r="W1791" s="3">
        <v>0</v>
      </c>
      <c r="X1791" t="s">
        <v>49</v>
      </c>
      <c r="Y1791">
        <v>0</v>
      </c>
      <c r="Z1791">
        <v>0</v>
      </c>
      <c r="AA1791" t="s">
        <v>49</v>
      </c>
      <c r="AB1791">
        <v>0</v>
      </c>
      <c r="AC1791" t="s">
        <v>49</v>
      </c>
      <c r="AD1791">
        <v>0</v>
      </c>
      <c r="AE1791">
        <v>-1</v>
      </c>
      <c r="AF1791" t="s">
        <v>63</v>
      </c>
      <c r="AG1791" t="s">
        <v>866</v>
      </c>
    </row>
    <row r="1792" spans="1:33" x14ac:dyDescent="0.35">
      <c r="A1792" s="1">
        <v>44859.54583333333</v>
      </c>
      <c r="B1792">
        <v>5108503</v>
      </c>
      <c r="C1792" t="s">
        <v>3962</v>
      </c>
      <c r="D1792" t="s">
        <v>65</v>
      </c>
      <c r="E1792" s="2">
        <v>43027</v>
      </c>
      <c r="F1792" t="str">
        <f>"9780081009697"</f>
        <v>9780081009697</v>
      </c>
      <c r="G1792" t="str">
        <f>"9780081009642"</f>
        <v>9780081009642</v>
      </c>
      <c r="H1792" t="s">
        <v>538</v>
      </c>
      <c r="I1792">
        <v>629.13432</v>
      </c>
      <c r="J1792" t="s">
        <v>3963</v>
      </c>
      <c r="K1792" t="s">
        <v>44</v>
      </c>
      <c r="N1792" t="s">
        <v>45</v>
      </c>
      <c r="O1792" t="s">
        <v>46</v>
      </c>
      <c r="P1792" t="s">
        <v>45</v>
      </c>
      <c r="Q1792" t="s">
        <v>47</v>
      </c>
      <c r="R1792" t="s">
        <v>44</v>
      </c>
      <c r="S1792">
        <v>0</v>
      </c>
      <c r="W1792" s="3">
        <v>9.9652777777777778E-3</v>
      </c>
      <c r="X1792" t="s">
        <v>3964</v>
      </c>
      <c r="Y1792">
        <v>110</v>
      </c>
      <c r="Z1792">
        <v>0</v>
      </c>
      <c r="AA1792" t="s">
        <v>49</v>
      </c>
      <c r="AB1792">
        <v>0</v>
      </c>
      <c r="AC1792" t="s">
        <v>49</v>
      </c>
      <c r="AD1792">
        <v>0</v>
      </c>
      <c r="AE1792">
        <v>11457610</v>
      </c>
      <c r="AF1792" t="s">
        <v>63</v>
      </c>
      <c r="AG1792" t="s">
        <v>1536</v>
      </c>
    </row>
    <row r="1793" spans="1:33" x14ac:dyDescent="0.35">
      <c r="A1793" s="1">
        <v>44859.503472222219</v>
      </c>
      <c r="B1793">
        <v>6353613</v>
      </c>
      <c r="C1793" t="s">
        <v>3934</v>
      </c>
      <c r="D1793" t="s">
        <v>65</v>
      </c>
      <c r="E1793" s="2">
        <v>44096</v>
      </c>
      <c r="F1793" t="str">
        <f>"9780128227664"</f>
        <v>9780128227664</v>
      </c>
      <c r="G1793" t="str">
        <f>"9780128197431"</f>
        <v>9780128197431</v>
      </c>
      <c r="H1793" t="s">
        <v>43</v>
      </c>
      <c r="I1793">
        <v>518.20000000000005</v>
      </c>
      <c r="J1793" t="s">
        <v>3935</v>
      </c>
      <c r="K1793" t="s">
        <v>55</v>
      </c>
      <c r="Q1793" t="s">
        <v>47</v>
      </c>
      <c r="R1793" t="s">
        <v>44</v>
      </c>
      <c r="S1793">
        <v>0</v>
      </c>
      <c r="W1793" s="3">
        <v>0</v>
      </c>
      <c r="X1793" t="s">
        <v>49</v>
      </c>
      <c r="Y1793">
        <v>0</v>
      </c>
      <c r="Z1793">
        <v>0</v>
      </c>
      <c r="AA1793" t="s">
        <v>49</v>
      </c>
      <c r="AB1793">
        <v>0</v>
      </c>
      <c r="AC1793" t="s">
        <v>49</v>
      </c>
      <c r="AD1793">
        <v>0</v>
      </c>
      <c r="AE1793">
        <v>-1</v>
      </c>
      <c r="AF1793" t="s">
        <v>63</v>
      </c>
      <c r="AG1793" t="s">
        <v>3936</v>
      </c>
    </row>
    <row r="1794" spans="1:33" x14ac:dyDescent="0.35">
      <c r="A1794" s="1">
        <v>44859.500694444447</v>
      </c>
      <c r="B1794">
        <v>377899</v>
      </c>
      <c r="C1794" t="s">
        <v>3965</v>
      </c>
      <c r="D1794" t="s">
        <v>502</v>
      </c>
      <c r="E1794" s="2">
        <v>39786</v>
      </c>
      <c r="F1794" t="str">
        <f>"9780511454202"</f>
        <v>9780511454202</v>
      </c>
      <c r="G1794" t="str">
        <f>"9780521862288"</f>
        <v>9780521862288</v>
      </c>
      <c r="H1794" t="s">
        <v>237</v>
      </c>
      <c r="I1794">
        <v>551.9</v>
      </c>
      <c r="J1794" t="s">
        <v>3966</v>
      </c>
      <c r="K1794" t="s">
        <v>44</v>
      </c>
      <c r="N1794" t="s">
        <v>45</v>
      </c>
      <c r="O1794" t="s">
        <v>46</v>
      </c>
      <c r="P1794" t="s">
        <v>45</v>
      </c>
      <c r="Q1794" t="s">
        <v>47</v>
      </c>
      <c r="R1794" t="s">
        <v>44</v>
      </c>
      <c r="S1794">
        <v>0</v>
      </c>
      <c r="W1794" s="3">
        <v>0</v>
      </c>
      <c r="X1794" t="s">
        <v>49</v>
      </c>
      <c r="Y1794">
        <v>0</v>
      </c>
      <c r="Z1794">
        <v>1</v>
      </c>
      <c r="AA1794" t="s">
        <v>3967</v>
      </c>
      <c r="AB1794">
        <v>78</v>
      </c>
      <c r="AC1794" t="s">
        <v>49</v>
      </c>
      <c r="AD1794">
        <v>0</v>
      </c>
      <c r="AE1794">
        <v>10265028</v>
      </c>
      <c r="AF1794" t="s">
        <v>63</v>
      </c>
      <c r="AG1794" t="s">
        <v>866</v>
      </c>
    </row>
    <row r="1795" spans="1:33" x14ac:dyDescent="0.35">
      <c r="A1795" s="1">
        <v>44859.495833333334</v>
      </c>
      <c r="B1795">
        <v>6353613</v>
      </c>
      <c r="C1795" t="s">
        <v>3934</v>
      </c>
      <c r="D1795" t="s">
        <v>65</v>
      </c>
      <c r="E1795" s="2">
        <v>44096</v>
      </c>
      <c r="F1795" t="str">
        <f>"9780128227664"</f>
        <v>9780128227664</v>
      </c>
      <c r="G1795" t="str">
        <f>"9780128197431"</f>
        <v>9780128197431</v>
      </c>
      <c r="H1795" t="s">
        <v>43</v>
      </c>
      <c r="I1795">
        <v>518.20000000000005</v>
      </c>
      <c r="J1795" t="s">
        <v>3935</v>
      </c>
      <c r="K1795" t="s">
        <v>55</v>
      </c>
      <c r="Q1795" t="s">
        <v>47</v>
      </c>
      <c r="R1795" t="s">
        <v>44</v>
      </c>
      <c r="S1795">
        <v>0</v>
      </c>
      <c r="W1795" s="3">
        <v>2.0127314814814817E-2</v>
      </c>
      <c r="X1795" t="s">
        <v>3968</v>
      </c>
      <c r="Y1795">
        <v>17</v>
      </c>
      <c r="Z1795">
        <v>0</v>
      </c>
      <c r="AA1795" t="s">
        <v>49</v>
      </c>
      <c r="AB1795">
        <v>0</v>
      </c>
      <c r="AC1795" t="s">
        <v>49</v>
      </c>
      <c r="AD1795">
        <v>0</v>
      </c>
      <c r="AE1795">
        <v>-1</v>
      </c>
      <c r="AF1795" t="s">
        <v>63</v>
      </c>
      <c r="AG1795" t="s">
        <v>1536</v>
      </c>
    </row>
    <row r="1796" spans="1:33" x14ac:dyDescent="0.35">
      <c r="A1796" s="1">
        <v>44859.484027777777</v>
      </c>
      <c r="B1796">
        <v>3109077</v>
      </c>
      <c r="C1796" t="s">
        <v>3969</v>
      </c>
      <c r="D1796" t="s">
        <v>1139</v>
      </c>
      <c r="E1796" s="2">
        <v>34699</v>
      </c>
      <c r="F1796" t="str">
        <f>"9789401107396"</f>
        <v>9789401107396</v>
      </c>
      <c r="G1796" t="str">
        <f>"9789401043182"</f>
        <v>9789401043182</v>
      </c>
      <c r="H1796" t="s">
        <v>3970</v>
      </c>
      <c r="I1796">
        <v>551.70000000000005</v>
      </c>
      <c r="J1796" t="s">
        <v>3971</v>
      </c>
      <c r="K1796" t="s">
        <v>44</v>
      </c>
      <c r="N1796" t="s">
        <v>45</v>
      </c>
      <c r="O1796" t="s">
        <v>46</v>
      </c>
      <c r="P1796" t="s">
        <v>45</v>
      </c>
      <c r="Q1796" t="s">
        <v>47</v>
      </c>
      <c r="R1796" t="s">
        <v>44</v>
      </c>
      <c r="S1796">
        <v>0</v>
      </c>
      <c r="W1796" s="3">
        <v>1.0231481481481482E-2</v>
      </c>
      <c r="X1796" t="s">
        <v>3972</v>
      </c>
      <c r="Y1796">
        <v>109</v>
      </c>
      <c r="Z1796">
        <v>3</v>
      </c>
      <c r="AA1796" t="s">
        <v>3973</v>
      </c>
      <c r="AB1796">
        <v>93</v>
      </c>
      <c r="AC1796" t="s">
        <v>49</v>
      </c>
      <c r="AD1796">
        <v>0</v>
      </c>
      <c r="AE1796">
        <v>11039481</v>
      </c>
      <c r="AF1796" t="s">
        <v>63</v>
      </c>
      <c r="AG1796" t="s">
        <v>866</v>
      </c>
    </row>
    <row r="1797" spans="1:33" x14ac:dyDescent="0.35">
      <c r="A1797" s="1">
        <v>44859.456250000003</v>
      </c>
      <c r="B1797">
        <v>3338641</v>
      </c>
      <c r="C1797" t="s">
        <v>302</v>
      </c>
      <c r="D1797" t="s">
        <v>303</v>
      </c>
      <c r="E1797" s="2">
        <v>39143</v>
      </c>
      <c r="F1797" t="str">
        <f>"9780262282888"</f>
        <v>9780262282888</v>
      </c>
      <c r="G1797" t="str">
        <f>"9780262195577"</f>
        <v>9780262195577</v>
      </c>
      <c r="H1797" t="s">
        <v>304</v>
      </c>
      <c r="I1797" t="s">
        <v>305</v>
      </c>
      <c r="K1797" t="s">
        <v>44</v>
      </c>
      <c r="N1797" t="s">
        <v>45</v>
      </c>
      <c r="O1797" t="s">
        <v>46</v>
      </c>
      <c r="P1797" t="s">
        <v>45</v>
      </c>
      <c r="Q1797" t="s">
        <v>47</v>
      </c>
      <c r="R1797" t="s">
        <v>44</v>
      </c>
      <c r="S1797">
        <v>0</v>
      </c>
      <c r="W1797" s="3">
        <v>1.2731481481481483E-3</v>
      </c>
      <c r="X1797" t="s">
        <v>3974</v>
      </c>
      <c r="Y1797">
        <v>12</v>
      </c>
      <c r="Z1797">
        <v>0</v>
      </c>
      <c r="AA1797" t="s">
        <v>49</v>
      </c>
      <c r="AB1797">
        <v>0</v>
      </c>
      <c r="AC1797" t="s">
        <v>49</v>
      </c>
      <c r="AD1797">
        <v>0</v>
      </c>
      <c r="AE1797">
        <v>10173702</v>
      </c>
      <c r="AF1797" t="s">
        <v>50</v>
      </c>
      <c r="AG1797" t="s">
        <v>3975</v>
      </c>
    </row>
    <row r="1798" spans="1:33" x14ac:dyDescent="0.35">
      <c r="A1798" s="1">
        <v>44859.382638888892</v>
      </c>
      <c r="B1798">
        <v>1249497</v>
      </c>
      <c r="C1798" t="s">
        <v>3976</v>
      </c>
      <c r="D1798" t="s">
        <v>443</v>
      </c>
      <c r="E1798" s="2">
        <v>41501</v>
      </c>
      <c r="F1798" t="str">
        <f>"9780520956520"</f>
        <v>9780520956520</v>
      </c>
      <c r="G1798" t="str">
        <f>"9780520276826"</f>
        <v>9780520276826</v>
      </c>
      <c r="H1798" t="s">
        <v>3977</v>
      </c>
      <c r="I1798" t="s">
        <v>3978</v>
      </c>
      <c r="J1798" t="s">
        <v>3979</v>
      </c>
      <c r="K1798" t="s">
        <v>44</v>
      </c>
      <c r="N1798" t="s">
        <v>45</v>
      </c>
      <c r="O1798" t="s">
        <v>46</v>
      </c>
      <c r="P1798" t="s">
        <v>177</v>
      </c>
      <c r="Q1798" t="s">
        <v>47</v>
      </c>
      <c r="R1798" t="s">
        <v>55</v>
      </c>
      <c r="S1798">
        <v>0</v>
      </c>
      <c r="W1798" s="3">
        <v>6.8287037037037025E-4</v>
      </c>
      <c r="X1798" t="s">
        <v>3980</v>
      </c>
      <c r="Y1798">
        <v>7</v>
      </c>
      <c r="Z1798">
        <v>0</v>
      </c>
      <c r="AA1798" t="s">
        <v>49</v>
      </c>
      <c r="AB1798">
        <v>0</v>
      </c>
      <c r="AC1798" t="s">
        <v>49</v>
      </c>
      <c r="AD1798">
        <v>0</v>
      </c>
      <c r="AE1798">
        <v>10733122</v>
      </c>
      <c r="AF1798" t="s">
        <v>50</v>
      </c>
      <c r="AG1798" t="s">
        <v>835</v>
      </c>
    </row>
    <row r="1799" spans="1:33" x14ac:dyDescent="0.35">
      <c r="A1799" s="1">
        <v>44858.958333333336</v>
      </c>
      <c r="B1799">
        <v>819162</v>
      </c>
      <c r="C1799" t="s">
        <v>3732</v>
      </c>
      <c r="D1799" t="s">
        <v>59</v>
      </c>
      <c r="E1799" s="2">
        <v>40812</v>
      </c>
      <c r="F1799" t="str">
        <f>"9781119978572"</f>
        <v>9781119978572</v>
      </c>
      <c r="G1799" t="str">
        <f>"9780470972007"</f>
        <v>9780470972007</v>
      </c>
      <c r="H1799" t="s">
        <v>1720</v>
      </c>
      <c r="I1799" t="s">
        <v>3733</v>
      </c>
      <c r="J1799" t="s">
        <v>3734</v>
      </c>
      <c r="K1799" t="s">
        <v>44</v>
      </c>
      <c r="N1799" t="s">
        <v>45</v>
      </c>
      <c r="O1799" t="s">
        <v>46</v>
      </c>
      <c r="P1799" t="s">
        <v>45</v>
      </c>
      <c r="Q1799" t="s">
        <v>47</v>
      </c>
      <c r="R1799" t="s">
        <v>44</v>
      </c>
      <c r="S1799">
        <v>0</v>
      </c>
      <c r="W1799" s="3">
        <v>1.0763888888888889E-3</v>
      </c>
      <c r="X1799" t="s">
        <v>3981</v>
      </c>
      <c r="Y1799">
        <v>18</v>
      </c>
      <c r="Z1799">
        <v>0</v>
      </c>
      <c r="AA1799" t="s">
        <v>49</v>
      </c>
      <c r="AB1799">
        <v>0</v>
      </c>
      <c r="AC1799" t="s">
        <v>49</v>
      </c>
      <c r="AD1799">
        <v>0</v>
      </c>
      <c r="AE1799">
        <v>10488531</v>
      </c>
      <c r="AF1799" t="s">
        <v>50</v>
      </c>
      <c r="AG1799" t="s">
        <v>1536</v>
      </c>
    </row>
    <row r="1800" spans="1:33" x14ac:dyDescent="0.35">
      <c r="A1800" s="1">
        <v>44858.950694444444</v>
      </c>
      <c r="B1800">
        <v>5940357</v>
      </c>
      <c r="C1800" t="s">
        <v>3982</v>
      </c>
      <c r="D1800" t="s">
        <v>65</v>
      </c>
      <c r="E1800" s="2">
        <v>43746</v>
      </c>
      <c r="F1800" t="str">
        <f>"9780128165461"</f>
        <v>9780128165461</v>
      </c>
      <c r="G1800" t="str">
        <f>"9780128165140"</f>
        <v>9780128165140</v>
      </c>
      <c r="H1800" t="s">
        <v>513</v>
      </c>
      <c r="I1800">
        <v>620.00151919999996</v>
      </c>
      <c r="J1800" t="s">
        <v>3983</v>
      </c>
      <c r="K1800" t="s">
        <v>55</v>
      </c>
      <c r="Q1800" t="s">
        <v>47</v>
      </c>
      <c r="R1800" t="s">
        <v>44</v>
      </c>
      <c r="S1800">
        <v>0</v>
      </c>
      <c r="W1800" s="3">
        <v>7.291666666666667E-4</v>
      </c>
      <c r="X1800" t="s">
        <v>3984</v>
      </c>
      <c r="Y1800">
        <v>8</v>
      </c>
      <c r="Z1800">
        <v>0</v>
      </c>
      <c r="AA1800" t="s">
        <v>49</v>
      </c>
      <c r="AB1800">
        <v>0</v>
      </c>
      <c r="AC1800" t="s">
        <v>49</v>
      </c>
      <c r="AD1800">
        <v>0</v>
      </c>
      <c r="AE1800">
        <v>-1</v>
      </c>
      <c r="AF1800" t="s">
        <v>50</v>
      </c>
      <c r="AG1800" t="s">
        <v>1476</v>
      </c>
    </row>
    <row r="1801" spans="1:33" x14ac:dyDescent="0.35">
      <c r="A1801" s="1">
        <v>44858.924305555556</v>
      </c>
      <c r="B1801">
        <v>665565</v>
      </c>
      <c r="C1801" t="s">
        <v>2309</v>
      </c>
      <c r="D1801" t="s">
        <v>2125</v>
      </c>
      <c r="E1801" s="2">
        <v>40483</v>
      </c>
      <c r="F1801" t="str">
        <f>"9781439828151"</f>
        <v>9781439828151</v>
      </c>
      <c r="G1801" t="str">
        <f>"9781439828144"</f>
        <v>9781439828144</v>
      </c>
      <c r="H1801" t="s">
        <v>60</v>
      </c>
      <c r="I1801">
        <v>658.7</v>
      </c>
      <c r="J1801" t="s">
        <v>2310</v>
      </c>
      <c r="K1801" t="s">
        <v>44</v>
      </c>
      <c r="N1801" t="s">
        <v>45</v>
      </c>
      <c r="O1801" t="s">
        <v>46</v>
      </c>
      <c r="P1801" t="s">
        <v>45</v>
      </c>
      <c r="Q1801" t="s">
        <v>47</v>
      </c>
      <c r="R1801" t="s">
        <v>44</v>
      </c>
      <c r="S1801">
        <v>0</v>
      </c>
      <c r="W1801" s="3">
        <v>1.1574074074074073E-5</v>
      </c>
      <c r="X1801" t="s">
        <v>121</v>
      </c>
      <c r="Y1801">
        <v>1</v>
      </c>
      <c r="Z1801">
        <v>0</v>
      </c>
      <c r="AA1801" t="s">
        <v>49</v>
      </c>
      <c r="AB1801">
        <v>0</v>
      </c>
      <c r="AC1801" t="s">
        <v>49</v>
      </c>
      <c r="AD1801">
        <v>0</v>
      </c>
      <c r="AE1801">
        <v>10449865</v>
      </c>
      <c r="AF1801" t="s">
        <v>50</v>
      </c>
      <c r="AG1801" t="s">
        <v>1536</v>
      </c>
    </row>
    <row r="1802" spans="1:33" x14ac:dyDescent="0.35">
      <c r="A1802" s="1">
        <v>44858.899305555555</v>
      </c>
      <c r="B1802">
        <v>1582328</v>
      </c>
      <c r="C1802" t="s">
        <v>3985</v>
      </c>
      <c r="D1802" t="s">
        <v>65</v>
      </c>
      <c r="E1802" s="2">
        <v>41201</v>
      </c>
      <c r="F1802" t="str">
        <f>"9780857096173"</f>
        <v>9780857096173</v>
      </c>
      <c r="G1802" t="str">
        <f>"9781845697693"</f>
        <v>9781845697693</v>
      </c>
      <c r="H1802" t="s">
        <v>538</v>
      </c>
      <c r="I1802">
        <v>621.47</v>
      </c>
      <c r="J1802" t="s">
        <v>3986</v>
      </c>
      <c r="K1802" t="s">
        <v>44</v>
      </c>
      <c r="N1802" t="s">
        <v>45</v>
      </c>
      <c r="O1802" t="s">
        <v>46</v>
      </c>
      <c r="P1802" t="s">
        <v>45</v>
      </c>
      <c r="Q1802" t="s">
        <v>47</v>
      </c>
      <c r="R1802" t="s">
        <v>44</v>
      </c>
      <c r="S1802">
        <v>1</v>
      </c>
      <c r="W1802" s="3">
        <v>0</v>
      </c>
      <c r="X1802" t="s">
        <v>49</v>
      </c>
      <c r="Y1802">
        <v>0</v>
      </c>
      <c r="Z1802">
        <v>0</v>
      </c>
      <c r="AA1802" t="s">
        <v>49</v>
      </c>
      <c r="AB1802">
        <v>0</v>
      </c>
      <c r="AC1802" t="s">
        <v>49</v>
      </c>
      <c r="AD1802">
        <v>0</v>
      </c>
      <c r="AE1802">
        <v>10641489</v>
      </c>
      <c r="AF1802" t="s">
        <v>63</v>
      </c>
      <c r="AG1802" t="s">
        <v>1309</v>
      </c>
    </row>
    <row r="1803" spans="1:33" x14ac:dyDescent="0.35">
      <c r="A1803" s="1">
        <v>44858.892361111109</v>
      </c>
      <c r="B1803">
        <v>1582328</v>
      </c>
      <c r="C1803" t="s">
        <v>3985</v>
      </c>
      <c r="D1803" t="s">
        <v>65</v>
      </c>
      <c r="E1803" s="2">
        <v>41201</v>
      </c>
      <c r="F1803" t="str">
        <f>"9780857096173"</f>
        <v>9780857096173</v>
      </c>
      <c r="G1803" t="str">
        <f>"9781845697693"</f>
        <v>9781845697693</v>
      </c>
      <c r="H1803" t="s">
        <v>538</v>
      </c>
      <c r="I1803">
        <v>621.47</v>
      </c>
      <c r="J1803" t="s">
        <v>3986</v>
      </c>
      <c r="K1803" t="s">
        <v>44</v>
      </c>
      <c r="N1803" t="s">
        <v>45</v>
      </c>
      <c r="O1803" t="s">
        <v>46</v>
      </c>
      <c r="P1803" t="s">
        <v>45</v>
      </c>
      <c r="Q1803" t="s">
        <v>47</v>
      </c>
      <c r="R1803" t="s">
        <v>44</v>
      </c>
      <c r="S1803">
        <v>1</v>
      </c>
      <c r="W1803" s="3">
        <v>1.1574074074074073E-5</v>
      </c>
      <c r="X1803" t="s">
        <v>49</v>
      </c>
      <c r="Y1803">
        <v>0</v>
      </c>
      <c r="Z1803">
        <v>2</v>
      </c>
      <c r="AA1803" t="s">
        <v>3987</v>
      </c>
      <c r="AB1803">
        <v>4</v>
      </c>
      <c r="AC1803" t="s">
        <v>49</v>
      </c>
      <c r="AD1803">
        <v>0</v>
      </c>
      <c r="AE1803">
        <v>10641489</v>
      </c>
      <c r="AF1803" t="s">
        <v>63</v>
      </c>
      <c r="AG1803" t="s">
        <v>1536</v>
      </c>
    </row>
    <row r="1804" spans="1:33" x14ac:dyDescent="0.35">
      <c r="A1804" s="1">
        <v>44858.890277777777</v>
      </c>
      <c r="B1804">
        <v>1582328</v>
      </c>
      <c r="C1804" t="s">
        <v>3985</v>
      </c>
      <c r="D1804" t="s">
        <v>65</v>
      </c>
      <c r="E1804" s="2">
        <v>41201</v>
      </c>
      <c r="F1804" t="str">
        <f>"9780857096173"</f>
        <v>9780857096173</v>
      </c>
      <c r="G1804" t="str">
        <f>"9781845697693"</f>
        <v>9781845697693</v>
      </c>
      <c r="H1804" t="s">
        <v>538</v>
      </c>
      <c r="I1804">
        <v>621.47</v>
      </c>
      <c r="J1804" t="s">
        <v>3986</v>
      </c>
      <c r="K1804" t="s">
        <v>44</v>
      </c>
      <c r="N1804" t="s">
        <v>45</v>
      </c>
      <c r="O1804" t="s">
        <v>46</v>
      </c>
      <c r="P1804" t="s">
        <v>45</v>
      </c>
      <c r="Q1804" t="s">
        <v>47</v>
      </c>
      <c r="R1804" t="s">
        <v>44</v>
      </c>
      <c r="S1804">
        <v>0</v>
      </c>
      <c r="W1804" s="3">
        <v>8.7962962962962962E-4</v>
      </c>
      <c r="X1804" t="s">
        <v>3988</v>
      </c>
      <c r="Y1804">
        <v>8</v>
      </c>
      <c r="Z1804">
        <v>0</v>
      </c>
      <c r="AA1804" t="s">
        <v>49</v>
      </c>
      <c r="AB1804">
        <v>0</v>
      </c>
      <c r="AC1804" t="s">
        <v>49</v>
      </c>
      <c r="AD1804">
        <v>0</v>
      </c>
      <c r="AE1804">
        <v>10641489</v>
      </c>
      <c r="AF1804" t="s">
        <v>50</v>
      </c>
      <c r="AG1804" t="s">
        <v>1536</v>
      </c>
    </row>
    <row r="1805" spans="1:33" x14ac:dyDescent="0.35">
      <c r="A1805" s="1">
        <v>44858.875694444447</v>
      </c>
      <c r="B1805">
        <v>665565</v>
      </c>
      <c r="C1805" t="s">
        <v>2309</v>
      </c>
      <c r="D1805" t="s">
        <v>2125</v>
      </c>
      <c r="E1805" s="2">
        <v>40483</v>
      </c>
      <c r="F1805" t="str">
        <f>"9781439828151"</f>
        <v>9781439828151</v>
      </c>
      <c r="G1805" t="str">
        <f>"9781439828144"</f>
        <v>9781439828144</v>
      </c>
      <c r="H1805" t="s">
        <v>60</v>
      </c>
      <c r="I1805">
        <v>658.7</v>
      </c>
      <c r="J1805" t="s">
        <v>2310</v>
      </c>
      <c r="K1805" t="s">
        <v>44</v>
      </c>
      <c r="N1805" t="s">
        <v>45</v>
      </c>
      <c r="O1805" t="s">
        <v>46</v>
      </c>
      <c r="P1805" t="s">
        <v>45</v>
      </c>
      <c r="Q1805" t="s">
        <v>47</v>
      </c>
      <c r="R1805" t="s">
        <v>44</v>
      </c>
      <c r="S1805">
        <v>0</v>
      </c>
      <c r="W1805" s="3">
        <v>5.7870370370370366E-5</v>
      </c>
      <c r="X1805" t="s">
        <v>121</v>
      </c>
      <c r="Y1805">
        <v>1</v>
      </c>
      <c r="Z1805">
        <v>0</v>
      </c>
      <c r="AA1805" t="s">
        <v>49</v>
      </c>
      <c r="AB1805">
        <v>0</v>
      </c>
      <c r="AC1805" t="s">
        <v>49</v>
      </c>
      <c r="AD1805">
        <v>0</v>
      </c>
      <c r="AE1805">
        <v>10449865</v>
      </c>
      <c r="AF1805" t="s">
        <v>50</v>
      </c>
      <c r="AG1805" t="s">
        <v>1536</v>
      </c>
    </row>
    <row r="1806" spans="1:33" x14ac:dyDescent="0.35">
      <c r="A1806" s="1">
        <v>44858.852777777778</v>
      </c>
      <c r="B1806">
        <v>5847327</v>
      </c>
      <c r="C1806" t="s">
        <v>3989</v>
      </c>
      <c r="D1806" t="s">
        <v>76</v>
      </c>
      <c r="E1806" s="2">
        <v>43698</v>
      </c>
      <c r="F1806" t="str">
        <f>"9780429583421"</f>
        <v>9780429583421</v>
      </c>
      <c r="G1806" t="str">
        <f>"9780367188504"</f>
        <v>9780367188504</v>
      </c>
      <c r="H1806" t="s">
        <v>208</v>
      </c>
      <c r="I1806">
        <v>621.04200000000003</v>
      </c>
      <c r="J1806" t="s">
        <v>3990</v>
      </c>
      <c r="K1806" t="s">
        <v>55</v>
      </c>
      <c r="N1806" t="s">
        <v>293</v>
      </c>
      <c r="P1806" t="s">
        <v>80</v>
      </c>
      <c r="Q1806" t="s">
        <v>47</v>
      </c>
      <c r="R1806" t="s">
        <v>44</v>
      </c>
      <c r="S1806">
        <v>1</v>
      </c>
      <c r="T1806">
        <v>90</v>
      </c>
      <c r="U1806" s="1">
        <v>44858.852777777778</v>
      </c>
      <c r="V1806" s="1">
        <v>44948.852777777778</v>
      </c>
      <c r="W1806" s="3">
        <v>0</v>
      </c>
      <c r="X1806" t="s">
        <v>49</v>
      </c>
      <c r="Y1806">
        <v>0</v>
      </c>
      <c r="Z1806">
        <v>0</v>
      </c>
      <c r="AA1806" t="s">
        <v>49</v>
      </c>
      <c r="AB1806">
        <v>0</v>
      </c>
      <c r="AC1806" t="s">
        <v>49</v>
      </c>
      <c r="AD1806">
        <v>0</v>
      </c>
      <c r="AE1806">
        <v>-1</v>
      </c>
      <c r="AF1806" t="s">
        <v>63</v>
      </c>
      <c r="AG1806" t="s">
        <v>3588</v>
      </c>
    </row>
    <row r="1807" spans="1:33" x14ac:dyDescent="0.35">
      <c r="A1807" s="1">
        <v>44858.840277777781</v>
      </c>
      <c r="B1807">
        <v>6282196</v>
      </c>
      <c r="C1807" t="s">
        <v>3991</v>
      </c>
      <c r="D1807" t="s">
        <v>125</v>
      </c>
      <c r="E1807" s="2">
        <v>44075</v>
      </c>
      <c r="F1807" t="str">
        <f>"9780197519578"</f>
        <v>9780197519578</v>
      </c>
      <c r="G1807" t="str">
        <f>"9780197519561"</f>
        <v>9780197519561</v>
      </c>
      <c r="H1807" t="s">
        <v>2062</v>
      </c>
      <c r="I1807">
        <v>599.93499999999995</v>
      </c>
      <c r="J1807" t="s">
        <v>3992</v>
      </c>
      <c r="K1807" t="s">
        <v>55</v>
      </c>
      <c r="Q1807" t="s">
        <v>47</v>
      </c>
      <c r="R1807" t="s">
        <v>44</v>
      </c>
      <c r="S1807">
        <v>0</v>
      </c>
      <c r="W1807" s="3">
        <v>4.6296296296296294E-5</v>
      </c>
      <c r="X1807" t="s">
        <v>121</v>
      </c>
      <c r="Y1807">
        <v>1</v>
      </c>
      <c r="Z1807">
        <v>0</v>
      </c>
      <c r="AA1807" t="s">
        <v>49</v>
      </c>
      <c r="AB1807">
        <v>0</v>
      </c>
      <c r="AC1807" t="s">
        <v>49</v>
      </c>
      <c r="AD1807">
        <v>0</v>
      </c>
      <c r="AE1807">
        <v>-1</v>
      </c>
      <c r="AF1807" t="s">
        <v>50</v>
      </c>
      <c r="AG1807" t="s">
        <v>1536</v>
      </c>
    </row>
    <row r="1808" spans="1:33" x14ac:dyDescent="0.35">
      <c r="A1808" s="1">
        <v>44858.78125</v>
      </c>
      <c r="B1808">
        <v>1879848</v>
      </c>
      <c r="C1808" t="s">
        <v>3993</v>
      </c>
      <c r="D1808" t="s">
        <v>65</v>
      </c>
      <c r="E1808" s="2">
        <v>30317</v>
      </c>
      <c r="F1808" t="str">
        <f>"9781483190389"</f>
        <v>9781483190389</v>
      </c>
      <c r="G1808" t="str">
        <f>"9780080286709"</f>
        <v>9780080286709</v>
      </c>
      <c r="H1808" t="s">
        <v>116</v>
      </c>
      <c r="I1808" t="s">
        <v>3994</v>
      </c>
      <c r="J1808" t="s">
        <v>3995</v>
      </c>
      <c r="K1808" t="s">
        <v>44</v>
      </c>
      <c r="N1808" t="s">
        <v>45</v>
      </c>
      <c r="O1808" t="s">
        <v>46</v>
      </c>
      <c r="P1808" t="s">
        <v>45</v>
      </c>
      <c r="Q1808" t="s">
        <v>47</v>
      </c>
      <c r="R1808" t="s">
        <v>44</v>
      </c>
      <c r="S1808">
        <v>0</v>
      </c>
      <c r="W1808" s="3">
        <v>7.0601851851851847E-4</v>
      </c>
      <c r="X1808" t="s">
        <v>3996</v>
      </c>
      <c r="Y1808">
        <v>10</v>
      </c>
      <c r="Z1808">
        <v>0</v>
      </c>
      <c r="AA1808" t="s">
        <v>49</v>
      </c>
      <c r="AB1808">
        <v>0</v>
      </c>
      <c r="AC1808" t="s">
        <v>49</v>
      </c>
      <c r="AD1808">
        <v>0</v>
      </c>
      <c r="AE1808">
        <v>10999761</v>
      </c>
      <c r="AF1808" t="s">
        <v>50</v>
      </c>
      <c r="AG1808" t="s">
        <v>3588</v>
      </c>
    </row>
    <row r="1809" spans="1:33" x14ac:dyDescent="0.35">
      <c r="A1809" s="1">
        <v>44858.767361111109</v>
      </c>
      <c r="B1809">
        <v>6311342</v>
      </c>
      <c r="C1809" t="s">
        <v>3997</v>
      </c>
      <c r="D1809" t="s">
        <v>105</v>
      </c>
      <c r="E1809" s="2">
        <v>43381</v>
      </c>
      <c r="F1809" t="str">
        <f>"9783319571119"</f>
        <v>9783319571119</v>
      </c>
      <c r="G1809" t="str">
        <f>"9783319571102"</f>
        <v>9783319571102</v>
      </c>
      <c r="H1809" t="s">
        <v>3998</v>
      </c>
      <c r="I1809">
        <v>616.79999999999995</v>
      </c>
      <c r="J1809" t="s">
        <v>1350</v>
      </c>
      <c r="K1809" t="s">
        <v>55</v>
      </c>
      <c r="N1809" t="s">
        <v>79</v>
      </c>
      <c r="P1809" t="s">
        <v>97</v>
      </c>
      <c r="Q1809" t="s">
        <v>47</v>
      </c>
      <c r="R1809" t="s">
        <v>44</v>
      </c>
      <c r="S1809">
        <v>0</v>
      </c>
      <c r="W1809" s="3">
        <v>1.5636574074074074E-2</v>
      </c>
      <c r="X1809" t="s">
        <v>3999</v>
      </c>
      <c r="Y1809">
        <v>18</v>
      </c>
      <c r="Z1809">
        <v>0</v>
      </c>
      <c r="AA1809" t="s">
        <v>49</v>
      </c>
      <c r="AB1809">
        <v>0</v>
      </c>
      <c r="AC1809" t="s">
        <v>49</v>
      </c>
      <c r="AD1809">
        <v>0</v>
      </c>
      <c r="AE1809">
        <v>-1</v>
      </c>
      <c r="AF1809" t="s">
        <v>50</v>
      </c>
      <c r="AG1809" t="s">
        <v>3936</v>
      </c>
    </row>
    <row r="1810" spans="1:33" x14ac:dyDescent="0.35">
      <c r="A1810" s="1">
        <v>44858.763888888891</v>
      </c>
      <c r="B1810">
        <v>3329170</v>
      </c>
      <c r="C1810" t="s">
        <v>4000</v>
      </c>
      <c r="D1810" t="s">
        <v>4001</v>
      </c>
      <c r="E1810" s="2">
        <v>40952</v>
      </c>
      <c r="F1810" t="str">
        <f>"9781908316400"</f>
        <v>9781908316400</v>
      </c>
      <c r="G1810" t="str">
        <f>"9781907655753"</f>
        <v>9781907655753</v>
      </c>
      <c r="H1810" t="s">
        <v>77</v>
      </c>
      <c r="I1810">
        <v>616.84199999999998</v>
      </c>
      <c r="J1810" t="s">
        <v>4002</v>
      </c>
      <c r="K1810" t="s">
        <v>44</v>
      </c>
      <c r="N1810" t="s">
        <v>45</v>
      </c>
      <c r="O1810" t="s">
        <v>46</v>
      </c>
      <c r="P1810" t="s">
        <v>45</v>
      </c>
      <c r="Q1810" t="s">
        <v>47</v>
      </c>
      <c r="R1810" t="s">
        <v>44</v>
      </c>
      <c r="S1810">
        <v>0</v>
      </c>
      <c r="W1810" s="3">
        <v>1.4699074074074074E-3</v>
      </c>
      <c r="X1810" t="s">
        <v>4003</v>
      </c>
      <c r="Y1810">
        <v>13</v>
      </c>
      <c r="Z1810">
        <v>0</v>
      </c>
      <c r="AA1810" t="s">
        <v>49</v>
      </c>
      <c r="AB1810">
        <v>0</v>
      </c>
      <c r="AC1810" t="s">
        <v>49</v>
      </c>
      <c r="AD1810">
        <v>0</v>
      </c>
      <c r="AE1810">
        <v>10565416</v>
      </c>
      <c r="AF1810" t="s">
        <v>50</v>
      </c>
      <c r="AG1810" t="s">
        <v>3936</v>
      </c>
    </row>
    <row r="1811" spans="1:33" x14ac:dyDescent="0.35">
      <c r="A1811" s="1">
        <v>44858.763194444444</v>
      </c>
      <c r="B1811">
        <v>682728</v>
      </c>
      <c r="C1811" t="s">
        <v>4004</v>
      </c>
      <c r="D1811" t="s">
        <v>633</v>
      </c>
      <c r="E1811" s="2">
        <v>40589</v>
      </c>
      <c r="F1811" t="str">
        <f>"9781607506843"</f>
        <v>9781607506843</v>
      </c>
      <c r="G1811" t="str">
        <f>"9781607506836"</f>
        <v>9781607506836</v>
      </c>
      <c r="H1811" t="s">
        <v>1540</v>
      </c>
      <c r="K1811" t="s">
        <v>44</v>
      </c>
      <c r="N1811" t="s">
        <v>45</v>
      </c>
      <c r="O1811" t="s">
        <v>46</v>
      </c>
      <c r="P1811" t="s">
        <v>177</v>
      </c>
      <c r="Q1811" t="s">
        <v>47</v>
      </c>
      <c r="R1811" t="s">
        <v>55</v>
      </c>
      <c r="S1811">
        <v>0</v>
      </c>
      <c r="W1811" s="3">
        <v>5.7870370370370366E-5</v>
      </c>
      <c r="X1811" t="s">
        <v>121</v>
      </c>
      <c r="Y1811">
        <v>1</v>
      </c>
      <c r="Z1811">
        <v>0</v>
      </c>
      <c r="AA1811" t="s">
        <v>49</v>
      </c>
      <c r="AB1811">
        <v>0</v>
      </c>
      <c r="AC1811" t="s">
        <v>49</v>
      </c>
      <c r="AD1811">
        <v>0</v>
      </c>
      <c r="AE1811">
        <v>10460208</v>
      </c>
      <c r="AF1811" t="s">
        <v>50</v>
      </c>
      <c r="AG1811" t="s">
        <v>866</v>
      </c>
    </row>
    <row r="1812" spans="1:33" x14ac:dyDescent="0.35">
      <c r="A1812" s="1">
        <v>44858.759027777778</v>
      </c>
      <c r="B1812">
        <v>5829217</v>
      </c>
      <c r="C1812" t="s">
        <v>626</v>
      </c>
      <c r="D1812" t="s">
        <v>627</v>
      </c>
      <c r="E1812" s="2">
        <v>43259</v>
      </c>
      <c r="F1812" t="str">
        <f>"9781496395139"</f>
        <v>9781496395139</v>
      </c>
      <c r="G1812" t="str">
        <f>"9781496335418"</f>
        <v>9781496335418</v>
      </c>
      <c r="H1812" t="s">
        <v>77</v>
      </c>
      <c r="I1812" t="s">
        <v>628</v>
      </c>
      <c r="J1812" t="s">
        <v>629</v>
      </c>
      <c r="K1812" t="s">
        <v>44</v>
      </c>
      <c r="N1812" t="s">
        <v>45</v>
      </c>
      <c r="O1812" t="s">
        <v>46</v>
      </c>
      <c r="P1812" t="s">
        <v>45</v>
      </c>
      <c r="Q1812" t="s">
        <v>47</v>
      </c>
      <c r="R1812" t="s">
        <v>44</v>
      </c>
      <c r="S1812">
        <v>0</v>
      </c>
      <c r="W1812" s="3">
        <v>3.4722222222222224E-4</v>
      </c>
      <c r="X1812" t="s">
        <v>4005</v>
      </c>
      <c r="Y1812">
        <v>7</v>
      </c>
      <c r="Z1812">
        <v>0</v>
      </c>
      <c r="AA1812" t="s">
        <v>49</v>
      </c>
      <c r="AB1812">
        <v>0</v>
      </c>
      <c r="AC1812" t="s">
        <v>49</v>
      </c>
      <c r="AD1812">
        <v>0</v>
      </c>
      <c r="AE1812">
        <v>-1</v>
      </c>
      <c r="AF1812" t="s">
        <v>50</v>
      </c>
      <c r="AG1812" t="s">
        <v>866</v>
      </c>
    </row>
    <row r="1813" spans="1:33" x14ac:dyDescent="0.35">
      <c r="A1813" s="1">
        <v>44858.663194444445</v>
      </c>
      <c r="B1813">
        <v>320217</v>
      </c>
      <c r="C1813" t="s">
        <v>4006</v>
      </c>
      <c r="D1813" t="s">
        <v>497</v>
      </c>
      <c r="E1813" s="2">
        <v>38534</v>
      </c>
      <c r="F1813" t="str">
        <f>"9781408102091"</f>
        <v>9781408102091</v>
      </c>
      <c r="G1813" t="str">
        <f>"9780713676037"</f>
        <v>9780713676037</v>
      </c>
      <c r="H1813" t="s">
        <v>77</v>
      </c>
      <c r="I1813">
        <v>610.14</v>
      </c>
      <c r="J1813" t="s">
        <v>4007</v>
      </c>
      <c r="K1813" t="s">
        <v>44</v>
      </c>
      <c r="N1813" t="s">
        <v>45</v>
      </c>
      <c r="O1813" t="s">
        <v>46</v>
      </c>
      <c r="P1813" t="s">
        <v>45</v>
      </c>
      <c r="Q1813" t="s">
        <v>47</v>
      </c>
      <c r="R1813" t="s">
        <v>44</v>
      </c>
      <c r="S1813">
        <v>1</v>
      </c>
      <c r="W1813" s="3">
        <v>0</v>
      </c>
      <c r="X1813" t="s">
        <v>49</v>
      </c>
      <c r="Y1813">
        <v>0</v>
      </c>
      <c r="Z1813">
        <v>0</v>
      </c>
      <c r="AA1813" t="s">
        <v>49</v>
      </c>
      <c r="AB1813">
        <v>0</v>
      </c>
      <c r="AC1813" t="s">
        <v>49</v>
      </c>
      <c r="AD1813">
        <v>0</v>
      </c>
      <c r="AE1813">
        <v>10908905</v>
      </c>
      <c r="AF1813" t="s">
        <v>63</v>
      </c>
      <c r="AG1813" t="s">
        <v>3588</v>
      </c>
    </row>
    <row r="1814" spans="1:33" x14ac:dyDescent="0.35">
      <c r="A1814" s="1">
        <v>44858.652777777781</v>
      </c>
      <c r="B1814">
        <v>321097</v>
      </c>
      <c r="C1814" t="s">
        <v>4008</v>
      </c>
      <c r="D1814" t="s">
        <v>502</v>
      </c>
      <c r="E1814" s="2">
        <v>39027</v>
      </c>
      <c r="F1814" t="str">
        <f>"9780511348792"</f>
        <v>9780511348792</v>
      </c>
      <c r="G1814" t="str">
        <f>"9780521849692"</f>
        <v>9780521849692</v>
      </c>
      <c r="H1814" t="s">
        <v>72</v>
      </c>
      <c r="I1814">
        <v>532.04999999999905</v>
      </c>
      <c r="J1814" t="s">
        <v>4009</v>
      </c>
      <c r="K1814" t="s">
        <v>55</v>
      </c>
      <c r="N1814" t="s">
        <v>79</v>
      </c>
      <c r="P1814" t="s">
        <v>97</v>
      </c>
      <c r="Q1814" t="s">
        <v>47</v>
      </c>
      <c r="R1814" t="s">
        <v>44</v>
      </c>
      <c r="S1814">
        <v>0</v>
      </c>
      <c r="W1814" s="3">
        <v>2.5578703703703705E-3</v>
      </c>
      <c r="X1814" t="s">
        <v>4010</v>
      </c>
      <c r="Y1814">
        <v>18</v>
      </c>
      <c r="Z1814">
        <v>0</v>
      </c>
      <c r="AA1814" t="s">
        <v>49</v>
      </c>
      <c r="AB1814">
        <v>0</v>
      </c>
      <c r="AC1814" t="s">
        <v>49</v>
      </c>
      <c r="AD1814">
        <v>0</v>
      </c>
      <c r="AE1814">
        <v>10202806</v>
      </c>
      <c r="AF1814" t="s">
        <v>50</v>
      </c>
      <c r="AG1814" t="s">
        <v>1536</v>
      </c>
    </row>
    <row r="1815" spans="1:33" x14ac:dyDescent="0.35">
      <c r="A1815" s="1">
        <v>44858.65</v>
      </c>
      <c r="B1815">
        <v>3060115</v>
      </c>
      <c r="C1815" t="s">
        <v>4011</v>
      </c>
      <c r="D1815" t="s">
        <v>76</v>
      </c>
      <c r="E1815" s="2">
        <v>41157</v>
      </c>
      <c r="F1815" t="str">
        <f>"9780203073063"</f>
        <v>9780203073063</v>
      </c>
      <c r="G1815" t="str">
        <f>"9780415643313"</f>
        <v>9780415643313</v>
      </c>
      <c r="H1815" t="s">
        <v>252</v>
      </c>
      <c r="I1815">
        <v>625.79999999999995</v>
      </c>
      <c r="J1815" t="s">
        <v>4012</v>
      </c>
      <c r="K1815" t="s">
        <v>44</v>
      </c>
      <c r="N1815" t="s">
        <v>45</v>
      </c>
      <c r="O1815" t="s">
        <v>46</v>
      </c>
      <c r="P1815" t="s">
        <v>45</v>
      </c>
      <c r="Q1815" t="s">
        <v>47</v>
      </c>
      <c r="R1815" t="s">
        <v>44</v>
      </c>
      <c r="S1815">
        <v>1</v>
      </c>
      <c r="W1815" s="3">
        <v>0</v>
      </c>
      <c r="X1815" t="s">
        <v>49</v>
      </c>
      <c r="Y1815">
        <v>0</v>
      </c>
      <c r="Z1815">
        <v>0</v>
      </c>
      <c r="AA1815" t="s">
        <v>49</v>
      </c>
      <c r="AB1815">
        <v>0</v>
      </c>
      <c r="AC1815" t="s">
        <v>49</v>
      </c>
      <c r="AD1815">
        <v>0</v>
      </c>
      <c r="AE1815">
        <v>10611497</v>
      </c>
      <c r="AF1815" t="s">
        <v>63</v>
      </c>
      <c r="AG1815" t="s">
        <v>1536</v>
      </c>
    </row>
    <row r="1816" spans="1:33" x14ac:dyDescent="0.35">
      <c r="A1816" s="1">
        <v>44858.648611111108</v>
      </c>
      <c r="B1816">
        <v>3060115</v>
      </c>
      <c r="C1816" t="s">
        <v>4011</v>
      </c>
      <c r="D1816" t="s">
        <v>76</v>
      </c>
      <c r="E1816" s="2">
        <v>41157</v>
      </c>
      <c r="F1816" t="str">
        <f>"9780203073063"</f>
        <v>9780203073063</v>
      </c>
      <c r="G1816" t="str">
        <f>"9780415643313"</f>
        <v>9780415643313</v>
      </c>
      <c r="H1816" t="s">
        <v>252</v>
      </c>
      <c r="I1816">
        <v>625.79999999999995</v>
      </c>
      <c r="J1816" t="s">
        <v>4012</v>
      </c>
      <c r="K1816" t="s">
        <v>44</v>
      </c>
      <c r="N1816" t="s">
        <v>45</v>
      </c>
      <c r="O1816" t="s">
        <v>46</v>
      </c>
      <c r="P1816" t="s">
        <v>45</v>
      </c>
      <c r="Q1816" t="s">
        <v>47</v>
      </c>
      <c r="R1816" t="s">
        <v>44</v>
      </c>
      <c r="S1816">
        <v>0</v>
      </c>
      <c r="W1816" s="3">
        <v>0</v>
      </c>
      <c r="X1816" t="s">
        <v>49</v>
      </c>
      <c r="Y1816">
        <v>0</v>
      </c>
      <c r="Z1816">
        <v>1</v>
      </c>
      <c r="AA1816" t="s">
        <v>4013</v>
      </c>
      <c r="AB1816">
        <v>48</v>
      </c>
      <c r="AC1816" t="s">
        <v>49</v>
      </c>
      <c r="AD1816">
        <v>0</v>
      </c>
      <c r="AE1816">
        <v>10611497</v>
      </c>
      <c r="AF1816" t="s">
        <v>50</v>
      </c>
      <c r="AG1816" t="s">
        <v>1536</v>
      </c>
    </row>
    <row r="1817" spans="1:33" x14ac:dyDescent="0.35">
      <c r="A1817" s="1">
        <v>44858.646527777775</v>
      </c>
      <c r="B1817">
        <v>5548755</v>
      </c>
      <c r="C1817" t="s">
        <v>3832</v>
      </c>
      <c r="D1817" t="s">
        <v>76</v>
      </c>
      <c r="E1817" s="2">
        <v>43360</v>
      </c>
      <c r="F1817" t="str">
        <f>"9781351614962"</f>
        <v>9781351614962</v>
      </c>
      <c r="G1817" t="str">
        <f>"9781138088160"</f>
        <v>9781138088160</v>
      </c>
      <c r="H1817" t="s">
        <v>1046</v>
      </c>
      <c r="I1817" t="s">
        <v>3833</v>
      </c>
      <c r="J1817" t="s">
        <v>3834</v>
      </c>
      <c r="K1817" t="s">
        <v>55</v>
      </c>
      <c r="Q1817" t="s">
        <v>47</v>
      </c>
      <c r="R1817" t="s">
        <v>44</v>
      </c>
      <c r="S1817">
        <v>0</v>
      </c>
      <c r="W1817" s="3">
        <v>9.2592592592592585E-4</v>
      </c>
      <c r="X1817" t="s">
        <v>4014</v>
      </c>
      <c r="Y1817">
        <v>18</v>
      </c>
      <c r="Z1817">
        <v>0</v>
      </c>
      <c r="AA1817" t="s">
        <v>49</v>
      </c>
      <c r="AB1817">
        <v>0</v>
      </c>
      <c r="AC1817" t="s">
        <v>49</v>
      </c>
      <c r="AD1817">
        <v>0</v>
      </c>
      <c r="AE1817">
        <v>11622371</v>
      </c>
      <c r="AF1817" t="s">
        <v>50</v>
      </c>
      <c r="AG1817" t="s">
        <v>2368</v>
      </c>
    </row>
    <row r="1818" spans="1:33" x14ac:dyDescent="0.35">
      <c r="A1818" s="1">
        <v>44858.636111111111</v>
      </c>
      <c r="B1818">
        <v>4545403</v>
      </c>
      <c r="C1818" t="s">
        <v>4015</v>
      </c>
      <c r="D1818" t="s">
        <v>125</v>
      </c>
      <c r="E1818" s="2">
        <v>42522</v>
      </c>
      <c r="F1818" t="str">
        <f>"9780191069659"</f>
        <v>9780191069659</v>
      </c>
      <c r="G1818" t="str">
        <f>"9780198754626"</f>
        <v>9780198754626</v>
      </c>
      <c r="H1818" t="s">
        <v>4016</v>
      </c>
      <c r="I1818">
        <v>303.48340000000002</v>
      </c>
      <c r="J1818" t="s">
        <v>4017</v>
      </c>
      <c r="K1818" t="s">
        <v>44</v>
      </c>
      <c r="N1818" t="s">
        <v>45</v>
      </c>
      <c r="O1818" t="s">
        <v>46</v>
      </c>
      <c r="P1818" t="s">
        <v>45</v>
      </c>
      <c r="Q1818" t="s">
        <v>47</v>
      </c>
      <c r="R1818" t="s">
        <v>44</v>
      </c>
      <c r="S1818">
        <v>0</v>
      </c>
      <c r="W1818" s="3">
        <v>2.7743055555555559E-2</v>
      </c>
      <c r="X1818" t="s">
        <v>4018</v>
      </c>
      <c r="Y1818">
        <v>27</v>
      </c>
      <c r="Z1818">
        <v>0</v>
      </c>
      <c r="AA1818" t="s">
        <v>49</v>
      </c>
      <c r="AB1818">
        <v>0</v>
      </c>
      <c r="AC1818" t="s">
        <v>49</v>
      </c>
      <c r="AD1818">
        <v>0</v>
      </c>
      <c r="AE1818">
        <v>11237344</v>
      </c>
      <c r="AF1818" t="s">
        <v>50</v>
      </c>
      <c r="AG1818" t="s">
        <v>1536</v>
      </c>
    </row>
    <row r="1819" spans="1:33" x14ac:dyDescent="0.35">
      <c r="A1819" s="1">
        <v>44858.626388888886</v>
      </c>
      <c r="B1819">
        <v>320217</v>
      </c>
      <c r="C1819" t="s">
        <v>4006</v>
      </c>
      <c r="D1819" t="s">
        <v>497</v>
      </c>
      <c r="E1819" s="2">
        <v>38534</v>
      </c>
      <c r="F1819" t="str">
        <f>"9781408102091"</f>
        <v>9781408102091</v>
      </c>
      <c r="G1819" t="str">
        <f>"9780713676037"</f>
        <v>9780713676037</v>
      </c>
      <c r="H1819" t="s">
        <v>77</v>
      </c>
      <c r="I1819">
        <v>610.14</v>
      </c>
      <c r="J1819" t="s">
        <v>4007</v>
      </c>
      <c r="K1819" t="s">
        <v>44</v>
      </c>
      <c r="N1819" t="s">
        <v>45</v>
      </c>
      <c r="O1819" t="s">
        <v>46</v>
      </c>
      <c r="P1819" t="s">
        <v>45</v>
      </c>
      <c r="Q1819" t="s">
        <v>47</v>
      </c>
      <c r="R1819" t="s">
        <v>44</v>
      </c>
      <c r="S1819">
        <v>0</v>
      </c>
      <c r="W1819" s="3">
        <v>1.1111111111111111E-3</v>
      </c>
      <c r="X1819" t="s">
        <v>4019</v>
      </c>
      <c r="Y1819">
        <v>12</v>
      </c>
      <c r="Z1819">
        <v>0</v>
      </c>
      <c r="AA1819" t="s">
        <v>49</v>
      </c>
      <c r="AB1819">
        <v>0</v>
      </c>
      <c r="AC1819" t="s">
        <v>49</v>
      </c>
      <c r="AD1819">
        <v>0</v>
      </c>
      <c r="AE1819">
        <v>10908905</v>
      </c>
      <c r="AF1819" t="s">
        <v>50</v>
      </c>
      <c r="AG1819" t="s">
        <v>3588</v>
      </c>
    </row>
    <row r="1820" spans="1:33" x14ac:dyDescent="0.35">
      <c r="A1820" s="1">
        <v>44858.620138888888</v>
      </c>
      <c r="B1820">
        <v>827152</v>
      </c>
      <c r="C1820" t="s">
        <v>4020</v>
      </c>
      <c r="D1820" t="s">
        <v>59</v>
      </c>
      <c r="E1820" s="2">
        <v>41149</v>
      </c>
      <c r="F1820" t="str">
        <f>"9781118286821"</f>
        <v>9781118286821</v>
      </c>
      <c r="G1820" t="str">
        <f>"9781118106877"</f>
        <v>9781118106877</v>
      </c>
      <c r="H1820" t="s">
        <v>138</v>
      </c>
      <c r="I1820" t="s">
        <v>4021</v>
      </c>
      <c r="J1820" t="s">
        <v>4022</v>
      </c>
      <c r="K1820" t="s">
        <v>44</v>
      </c>
      <c r="N1820" t="s">
        <v>45</v>
      </c>
      <c r="O1820" t="s">
        <v>46</v>
      </c>
      <c r="P1820" t="s">
        <v>45</v>
      </c>
      <c r="Q1820" t="s">
        <v>47</v>
      </c>
      <c r="R1820" t="s">
        <v>44</v>
      </c>
      <c r="S1820">
        <v>0</v>
      </c>
      <c r="W1820" s="3">
        <v>4.8611111111111104E-4</v>
      </c>
      <c r="X1820" t="s">
        <v>4023</v>
      </c>
      <c r="Y1820">
        <v>10</v>
      </c>
      <c r="Z1820">
        <v>0</v>
      </c>
      <c r="AA1820" t="s">
        <v>49</v>
      </c>
      <c r="AB1820">
        <v>0</v>
      </c>
      <c r="AC1820" t="s">
        <v>49</v>
      </c>
      <c r="AD1820">
        <v>0</v>
      </c>
      <c r="AE1820">
        <v>10593145</v>
      </c>
      <c r="AF1820" t="s">
        <v>50</v>
      </c>
      <c r="AG1820" t="s">
        <v>1536</v>
      </c>
    </row>
    <row r="1821" spans="1:33" x14ac:dyDescent="0.35">
      <c r="A1821" s="1">
        <v>44858.60833333333</v>
      </c>
      <c r="B1821">
        <v>5435263</v>
      </c>
      <c r="C1821" t="s">
        <v>3762</v>
      </c>
      <c r="D1821" t="s">
        <v>105</v>
      </c>
      <c r="E1821" s="2">
        <v>43274</v>
      </c>
      <c r="F1821" t="str">
        <f>"9783319943732"</f>
        <v>9783319943732</v>
      </c>
      <c r="G1821" t="str">
        <f>"9783319943725"</f>
        <v>9783319943725</v>
      </c>
      <c r="H1821" t="s">
        <v>3763</v>
      </c>
      <c r="I1821">
        <v>620.82000000000005</v>
      </c>
      <c r="J1821" t="s">
        <v>107</v>
      </c>
      <c r="K1821" t="s">
        <v>55</v>
      </c>
      <c r="Q1821" t="s">
        <v>47</v>
      </c>
      <c r="R1821" t="s">
        <v>44</v>
      </c>
      <c r="S1821">
        <v>0</v>
      </c>
      <c r="W1821" s="3">
        <v>9.0277777777777784E-4</v>
      </c>
      <c r="X1821" t="s">
        <v>4024</v>
      </c>
      <c r="Y1821">
        <v>3</v>
      </c>
      <c r="Z1821">
        <v>0</v>
      </c>
      <c r="AA1821" t="s">
        <v>49</v>
      </c>
      <c r="AB1821">
        <v>0</v>
      </c>
      <c r="AC1821" t="s">
        <v>49</v>
      </c>
      <c r="AD1821">
        <v>0</v>
      </c>
      <c r="AE1821">
        <v>-1</v>
      </c>
      <c r="AF1821" t="s">
        <v>50</v>
      </c>
      <c r="AG1821" t="s">
        <v>3764</v>
      </c>
    </row>
    <row r="1822" spans="1:33" x14ac:dyDescent="0.35">
      <c r="A1822" s="1">
        <v>44858.5625</v>
      </c>
      <c r="B1822">
        <v>6282196</v>
      </c>
      <c r="C1822" t="s">
        <v>3991</v>
      </c>
      <c r="D1822" t="s">
        <v>125</v>
      </c>
      <c r="E1822" s="2">
        <v>44075</v>
      </c>
      <c r="F1822" t="str">
        <f>"9780197519578"</f>
        <v>9780197519578</v>
      </c>
      <c r="G1822" t="str">
        <f>"9780197519561"</f>
        <v>9780197519561</v>
      </c>
      <c r="H1822" t="s">
        <v>2062</v>
      </c>
      <c r="I1822">
        <v>599.93499999999995</v>
      </c>
      <c r="J1822" t="s">
        <v>3992</v>
      </c>
      <c r="K1822" t="s">
        <v>55</v>
      </c>
      <c r="Q1822" t="s">
        <v>47</v>
      </c>
      <c r="R1822" t="s">
        <v>44</v>
      </c>
      <c r="S1822">
        <v>0</v>
      </c>
      <c r="W1822" s="3">
        <v>1.7361111111111112E-4</v>
      </c>
      <c r="X1822" t="s">
        <v>4025</v>
      </c>
      <c r="Y1822">
        <v>3</v>
      </c>
      <c r="Z1822">
        <v>0</v>
      </c>
      <c r="AA1822" t="s">
        <v>49</v>
      </c>
      <c r="AB1822">
        <v>0</v>
      </c>
      <c r="AC1822" t="s">
        <v>49</v>
      </c>
      <c r="AD1822">
        <v>0</v>
      </c>
      <c r="AE1822">
        <v>-1</v>
      </c>
      <c r="AF1822" t="s">
        <v>50</v>
      </c>
      <c r="AG1822" t="s">
        <v>1536</v>
      </c>
    </row>
    <row r="1823" spans="1:33" x14ac:dyDescent="0.35">
      <c r="A1823" s="1">
        <v>44858.556944444441</v>
      </c>
      <c r="B1823">
        <v>3011268</v>
      </c>
      <c r="C1823" t="s">
        <v>4026</v>
      </c>
      <c r="D1823" t="s">
        <v>3677</v>
      </c>
      <c r="E1823" s="2">
        <v>39783</v>
      </c>
      <c r="F1823" t="str">
        <f>"9789350433430"</f>
        <v>9789350433430</v>
      </c>
      <c r="G1823" t="str">
        <f>"9788183183161"</f>
        <v>9788183183161</v>
      </c>
      <c r="H1823" t="s">
        <v>66</v>
      </c>
      <c r="J1823" t="s">
        <v>4027</v>
      </c>
      <c r="K1823" t="s">
        <v>44</v>
      </c>
      <c r="N1823" t="s">
        <v>45</v>
      </c>
      <c r="O1823" t="s">
        <v>46</v>
      </c>
      <c r="P1823" t="s">
        <v>45</v>
      </c>
      <c r="Q1823" t="s">
        <v>47</v>
      </c>
      <c r="R1823" t="s">
        <v>44</v>
      </c>
      <c r="S1823">
        <v>0</v>
      </c>
      <c r="W1823" s="3">
        <v>7.8703703703703705E-4</v>
      </c>
      <c r="X1823" t="s">
        <v>4028</v>
      </c>
      <c r="Y1823">
        <v>2</v>
      </c>
      <c r="Z1823">
        <v>0</v>
      </c>
      <c r="AA1823" t="s">
        <v>49</v>
      </c>
      <c r="AB1823">
        <v>0</v>
      </c>
      <c r="AC1823" t="s">
        <v>49</v>
      </c>
      <c r="AD1823">
        <v>0</v>
      </c>
      <c r="AE1823">
        <v>10415577</v>
      </c>
      <c r="AF1823" t="s">
        <v>50</v>
      </c>
      <c r="AG1823" t="s">
        <v>1536</v>
      </c>
    </row>
    <row r="1824" spans="1:33" x14ac:dyDescent="0.35">
      <c r="A1824" s="1">
        <v>44858.556250000001</v>
      </c>
      <c r="B1824">
        <v>6330767</v>
      </c>
      <c r="C1824" t="s">
        <v>1016</v>
      </c>
      <c r="D1824" t="s">
        <v>1017</v>
      </c>
      <c r="E1824" s="2">
        <v>43774</v>
      </c>
      <c r="F1824" t="str">
        <f>"9781642794021"</f>
        <v>9781642794021</v>
      </c>
      <c r="G1824" t="str">
        <f>""</f>
        <v/>
      </c>
      <c r="H1824" t="s">
        <v>106</v>
      </c>
      <c r="I1824">
        <v>6.3010000000000002</v>
      </c>
      <c r="J1824" t="s">
        <v>1018</v>
      </c>
      <c r="K1824" t="s">
        <v>55</v>
      </c>
      <c r="Q1824" t="s">
        <v>47</v>
      </c>
      <c r="R1824" t="s">
        <v>44</v>
      </c>
      <c r="S1824">
        <v>0</v>
      </c>
      <c r="W1824" s="3">
        <v>2.9745370370370373E-3</v>
      </c>
      <c r="X1824" t="s">
        <v>4029</v>
      </c>
      <c r="Y1824">
        <v>16</v>
      </c>
      <c r="Z1824">
        <v>0</v>
      </c>
      <c r="AA1824" t="s">
        <v>49</v>
      </c>
      <c r="AB1824">
        <v>0</v>
      </c>
      <c r="AC1824" t="s">
        <v>49</v>
      </c>
      <c r="AD1824">
        <v>0</v>
      </c>
      <c r="AE1824">
        <v>-1</v>
      </c>
      <c r="AF1824" t="s">
        <v>50</v>
      </c>
      <c r="AG1824" t="s">
        <v>1536</v>
      </c>
    </row>
    <row r="1825" spans="1:33" x14ac:dyDescent="0.35">
      <c r="A1825" s="1">
        <v>44858.554166666669</v>
      </c>
      <c r="B1825">
        <v>491925</v>
      </c>
      <c r="C1825" t="s">
        <v>4026</v>
      </c>
      <c r="D1825" t="s">
        <v>2193</v>
      </c>
      <c r="E1825" s="2">
        <v>38716</v>
      </c>
      <c r="F1825" t="str">
        <f>"9780313060373"</f>
        <v>9780313060373</v>
      </c>
      <c r="G1825" t="str">
        <f>"9780313334733"</f>
        <v>9780313334733</v>
      </c>
      <c r="H1825" t="s">
        <v>4030</v>
      </c>
      <c r="I1825">
        <v>660.6</v>
      </c>
      <c r="J1825" t="s">
        <v>4031</v>
      </c>
      <c r="K1825" t="s">
        <v>44</v>
      </c>
      <c r="N1825" t="s">
        <v>45</v>
      </c>
      <c r="O1825" t="s">
        <v>46</v>
      </c>
      <c r="P1825" t="s">
        <v>45</v>
      </c>
      <c r="Q1825" t="s">
        <v>47</v>
      </c>
      <c r="R1825" t="s">
        <v>44</v>
      </c>
      <c r="S1825">
        <v>0</v>
      </c>
      <c r="W1825" s="3">
        <v>1.0185185185185186E-3</v>
      </c>
      <c r="X1825" t="s">
        <v>4032</v>
      </c>
      <c r="Y1825">
        <v>4</v>
      </c>
      <c r="Z1825">
        <v>0</v>
      </c>
      <c r="AA1825" t="s">
        <v>49</v>
      </c>
      <c r="AB1825">
        <v>0</v>
      </c>
      <c r="AC1825" t="s">
        <v>49</v>
      </c>
      <c r="AD1825">
        <v>0</v>
      </c>
      <c r="AE1825">
        <v>10362890</v>
      </c>
      <c r="AF1825" t="s">
        <v>50</v>
      </c>
      <c r="AG1825" t="s">
        <v>1536</v>
      </c>
    </row>
    <row r="1826" spans="1:33" x14ac:dyDescent="0.35">
      <c r="A1826" s="1">
        <v>44858.552083333336</v>
      </c>
      <c r="B1826">
        <v>343541</v>
      </c>
      <c r="C1826" t="s">
        <v>4033</v>
      </c>
      <c r="D1826" t="s">
        <v>502</v>
      </c>
      <c r="E1826" s="2">
        <v>39576</v>
      </c>
      <c r="F1826" t="str">
        <f>"9780511400704"</f>
        <v>9780511400704</v>
      </c>
      <c r="G1826" t="str">
        <f>"9780521883603"</f>
        <v>9780521883603</v>
      </c>
      <c r="H1826" t="s">
        <v>712</v>
      </c>
      <c r="I1826">
        <v>346.048</v>
      </c>
      <c r="J1826" t="s">
        <v>4034</v>
      </c>
      <c r="K1826" t="s">
        <v>44</v>
      </c>
      <c r="N1826" t="s">
        <v>45</v>
      </c>
      <c r="O1826" t="s">
        <v>46</v>
      </c>
      <c r="P1826" t="s">
        <v>45</v>
      </c>
      <c r="Q1826" t="s">
        <v>47</v>
      </c>
      <c r="R1826" t="s">
        <v>44</v>
      </c>
      <c r="S1826">
        <v>0</v>
      </c>
      <c r="W1826" s="3">
        <v>1.1226851851851851E-3</v>
      </c>
      <c r="X1826" t="s">
        <v>4035</v>
      </c>
      <c r="Y1826">
        <v>7</v>
      </c>
      <c r="Z1826">
        <v>0</v>
      </c>
      <c r="AA1826" t="s">
        <v>49</v>
      </c>
      <c r="AB1826">
        <v>0</v>
      </c>
      <c r="AC1826" t="s">
        <v>49</v>
      </c>
      <c r="AD1826">
        <v>0</v>
      </c>
      <c r="AE1826">
        <v>10229677</v>
      </c>
      <c r="AF1826" t="s">
        <v>50</v>
      </c>
      <c r="AG1826" t="s">
        <v>1536</v>
      </c>
    </row>
    <row r="1827" spans="1:33" x14ac:dyDescent="0.35">
      <c r="A1827" s="1">
        <v>44858.551388888889</v>
      </c>
      <c r="B1827">
        <v>6437644</v>
      </c>
      <c r="C1827" t="s">
        <v>605</v>
      </c>
      <c r="D1827" t="s">
        <v>105</v>
      </c>
      <c r="E1827" s="2">
        <v>44188</v>
      </c>
      <c r="F1827" t="str">
        <f>"9783030603151"</f>
        <v>9783030603151</v>
      </c>
      <c r="G1827" t="str">
        <f>"9783030603144"</f>
        <v>9783030603144</v>
      </c>
      <c r="H1827" t="s">
        <v>606</v>
      </c>
      <c r="I1827">
        <v>179.7</v>
      </c>
      <c r="J1827" t="s">
        <v>607</v>
      </c>
      <c r="K1827" t="s">
        <v>55</v>
      </c>
      <c r="Q1827" t="s">
        <v>47</v>
      </c>
      <c r="R1827" t="s">
        <v>44</v>
      </c>
      <c r="S1827">
        <v>0</v>
      </c>
      <c r="W1827" s="3">
        <v>1.7361111111111112E-4</v>
      </c>
      <c r="X1827" t="s">
        <v>56</v>
      </c>
      <c r="Y1827">
        <v>3</v>
      </c>
      <c r="Z1827">
        <v>0</v>
      </c>
      <c r="AA1827" t="s">
        <v>49</v>
      </c>
      <c r="AB1827">
        <v>0</v>
      </c>
      <c r="AC1827" t="s">
        <v>49</v>
      </c>
      <c r="AD1827">
        <v>0</v>
      </c>
      <c r="AE1827">
        <v>-1</v>
      </c>
      <c r="AF1827" t="s">
        <v>50</v>
      </c>
      <c r="AG1827" t="s">
        <v>1536</v>
      </c>
    </row>
    <row r="1828" spans="1:33" x14ac:dyDescent="0.35">
      <c r="A1828" s="1">
        <v>44858.546527777777</v>
      </c>
      <c r="B1828">
        <v>5540096</v>
      </c>
      <c r="C1828" t="s">
        <v>4026</v>
      </c>
      <c r="D1828" t="s">
        <v>4036</v>
      </c>
      <c r="E1828" s="2">
        <v>43311</v>
      </c>
      <c r="F1828" t="str">
        <f>"9781538381854"</f>
        <v>9781538381854</v>
      </c>
      <c r="G1828" t="str">
        <f>"9781508180326"</f>
        <v>9781508180326</v>
      </c>
      <c r="H1828" t="s">
        <v>116</v>
      </c>
      <c r="I1828" t="s">
        <v>4037</v>
      </c>
      <c r="K1828" t="s">
        <v>55</v>
      </c>
      <c r="Q1828" t="s">
        <v>47</v>
      </c>
      <c r="R1828" t="s">
        <v>44</v>
      </c>
      <c r="S1828">
        <v>0</v>
      </c>
      <c r="W1828" s="3">
        <v>2.1527777777777778E-3</v>
      </c>
      <c r="X1828" t="s">
        <v>4038</v>
      </c>
      <c r="Y1828">
        <v>5</v>
      </c>
      <c r="Z1828">
        <v>0</v>
      </c>
      <c r="AA1828" t="s">
        <v>49</v>
      </c>
      <c r="AB1828">
        <v>0</v>
      </c>
      <c r="AC1828" t="s">
        <v>49</v>
      </c>
      <c r="AD1828">
        <v>0</v>
      </c>
      <c r="AE1828">
        <v>11618239</v>
      </c>
      <c r="AF1828" t="s">
        <v>50</v>
      </c>
      <c r="AG1828" t="s">
        <v>1536</v>
      </c>
    </row>
    <row r="1829" spans="1:33" x14ac:dyDescent="0.35">
      <c r="A1829" s="1">
        <v>44858.546527777777</v>
      </c>
      <c r="B1829">
        <v>1744499</v>
      </c>
      <c r="C1829" t="s">
        <v>4039</v>
      </c>
      <c r="D1829" t="s">
        <v>329</v>
      </c>
      <c r="E1829" s="2">
        <v>41863</v>
      </c>
      <c r="F1829" t="str">
        <f>"9780128008119"</f>
        <v>9780128008119</v>
      </c>
      <c r="G1829" t="str">
        <f>"9780128007433"</f>
        <v>9780128007433</v>
      </c>
      <c r="H1829" t="s">
        <v>1046</v>
      </c>
      <c r="I1829" t="s">
        <v>4040</v>
      </c>
      <c r="J1829" t="s">
        <v>4041</v>
      </c>
      <c r="K1829" t="s">
        <v>44</v>
      </c>
      <c r="N1829" t="s">
        <v>45</v>
      </c>
      <c r="O1829" t="s">
        <v>46</v>
      </c>
      <c r="P1829" t="s">
        <v>45</v>
      </c>
      <c r="Q1829" t="s">
        <v>47</v>
      </c>
      <c r="R1829" t="s">
        <v>44</v>
      </c>
      <c r="S1829">
        <v>0</v>
      </c>
      <c r="W1829" s="3">
        <v>4.8611111111111104E-4</v>
      </c>
      <c r="X1829" t="s">
        <v>4042</v>
      </c>
      <c r="Y1829">
        <v>14</v>
      </c>
      <c r="Z1829">
        <v>0</v>
      </c>
      <c r="AA1829" t="s">
        <v>49</v>
      </c>
      <c r="AB1829">
        <v>0</v>
      </c>
      <c r="AC1829" t="s">
        <v>49</v>
      </c>
      <c r="AD1829">
        <v>0</v>
      </c>
      <c r="AE1829">
        <v>10896655</v>
      </c>
      <c r="AF1829" t="s">
        <v>50</v>
      </c>
      <c r="AG1829" t="s">
        <v>1536</v>
      </c>
    </row>
    <row r="1830" spans="1:33" x14ac:dyDescent="0.35">
      <c r="A1830" s="1">
        <v>44858.529861111114</v>
      </c>
      <c r="B1830">
        <v>5750619</v>
      </c>
      <c r="C1830" t="s">
        <v>4043</v>
      </c>
      <c r="D1830" t="s">
        <v>59</v>
      </c>
      <c r="E1830" s="2">
        <v>43585</v>
      </c>
      <c r="F1830" t="str">
        <f>"9781119610663"</f>
        <v>9781119610663</v>
      </c>
      <c r="G1830" t="str">
        <f>"9781786303417"</f>
        <v>9781786303417</v>
      </c>
      <c r="H1830" t="s">
        <v>4044</v>
      </c>
      <c r="I1830">
        <v>621.98800000000006</v>
      </c>
      <c r="J1830" t="s">
        <v>4045</v>
      </c>
      <c r="K1830" t="s">
        <v>55</v>
      </c>
      <c r="N1830" t="s">
        <v>45</v>
      </c>
      <c r="O1830" t="s">
        <v>46</v>
      </c>
      <c r="P1830" t="s">
        <v>45</v>
      </c>
      <c r="Q1830" t="s">
        <v>47</v>
      </c>
      <c r="R1830" t="s">
        <v>44</v>
      </c>
      <c r="S1830">
        <v>0</v>
      </c>
      <c r="W1830" s="3">
        <v>2.2106481481481478E-3</v>
      </c>
      <c r="X1830" t="s">
        <v>4046</v>
      </c>
      <c r="Y1830">
        <v>21</v>
      </c>
      <c r="Z1830">
        <v>0</v>
      </c>
      <c r="AA1830" t="s">
        <v>49</v>
      </c>
      <c r="AB1830">
        <v>0</v>
      </c>
      <c r="AC1830" t="s">
        <v>49</v>
      </c>
      <c r="AD1830">
        <v>0</v>
      </c>
      <c r="AE1830">
        <v>-1</v>
      </c>
      <c r="AF1830" t="s">
        <v>50</v>
      </c>
      <c r="AG1830" t="s">
        <v>1536</v>
      </c>
    </row>
    <row r="1831" spans="1:33" x14ac:dyDescent="0.35">
      <c r="A1831" s="1">
        <v>44858.50277777778</v>
      </c>
      <c r="B1831">
        <v>967997</v>
      </c>
      <c r="C1831" t="s">
        <v>2506</v>
      </c>
      <c r="D1831" t="s">
        <v>76</v>
      </c>
      <c r="E1831" s="2">
        <v>41110</v>
      </c>
      <c r="F1831" t="str">
        <f>"9781439854013"</f>
        <v>9781439854013</v>
      </c>
      <c r="G1831" t="str">
        <f>"9781439854006"</f>
        <v>9781439854006</v>
      </c>
      <c r="H1831" t="s">
        <v>261</v>
      </c>
      <c r="I1831">
        <v>628.1</v>
      </c>
      <c r="J1831" t="s">
        <v>2507</v>
      </c>
      <c r="K1831" t="s">
        <v>44</v>
      </c>
      <c r="N1831" t="s">
        <v>45</v>
      </c>
      <c r="O1831" t="s">
        <v>46</v>
      </c>
      <c r="P1831" t="s">
        <v>45</v>
      </c>
      <c r="Q1831" t="s">
        <v>47</v>
      </c>
      <c r="R1831" t="s">
        <v>44</v>
      </c>
      <c r="S1831">
        <v>1</v>
      </c>
      <c r="W1831" s="3">
        <v>4.6296296296296293E-4</v>
      </c>
      <c r="X1831" t="s">
        <v>4047</v>
      </c>
      <c r="Y1831">
        <v>9</v>
      </c>
      <c r="Z1831">
        <v>0</v>
      </c>
      <c r="AA1831" t="s">
        <v>49</v>
      </c>
      <c r="AB1831">
        <v>0</v>
      </c>
      <c r="AC1831" t="s">
        <v>49</v>
      </c>
      <c r="AD1831">
        <v>0</v>
      </c>
      <c r="AE1831">
        <v>10579679</v>
      </c>
      <c r="AF1831" t="s">
        <v>63</v>
      </c>
      <c r="AG1831" t="s">
        <v>3588</v>
      </c>
    </row>
    <row r="1832" spans="1:33" x14ac:dyDescent="0.35">
      <c r="A1832" s="1">
        <v>44858.501388888886</v>
      </c>
      <c r="B1832">
        <v>967997</v>
      </c>
      <c r="C1832" t="s">
        <v>2506</v>
      </c>
      <c r="D1832" t="s">
        <v>76</v>
      </c>
      <c r="E1832" s="2">
        <v>41110</v>
      </c>
      <c r="F1832" t="str">
        <f>"9781439854013"</f>
        <v>9781439854013</v>
      </c>
      <c r="G1832" t="str">
        <f>"9781439854006"</f>
        <v>9781439854006</v>
      </c>
      <c r="H1832" t="s">
        <v>261</v>
      </c>
      <c r="I1832">
        <v>628.1</v>
      </c>
      <c r="J1832" t="s">
        <v>2507</v>
      </c>
      <c r="K1832" t="s">
        <v>44</v>
      </c>
      <c r="N1832" t="s">
        <v>45</v>
      </c>
      <c r="O1832" t="s">
        <v>46</v>
      </c>
      <c r="P1832" t="s">
        <v>45</v>
      </c>
      <c r="Q1832" t="s">
        <v>47</v>
      </c>
      <c r="R1832" t="s">
        <v>44</v>
      </c>
      <c r="S1832">
        <v>0</v>
      </c>
      <c r="W1832" s="3">
        <v>2.0833333333333335E-4</v>
      </c>
      <c r="X1832" t="s">
        <v>942</v>
      </c>
      <c r="Y1832">
        <v>5</v>
      </c>
      <c r="Z1832">
        <v>0</v>
      </c>
      <c r="AA1832" t="s">
        <v>49</v>
      </c>
      <c r="AB1832">
        <v>0</v>
      </c>
      <c r="AC1832" t="s">
        <v>49</v>
      </c>
      <c r="AD1832">
        <v>0</v>
      </c>
      <c r="AE1832">
        <v>10579679</v>
      </c>
      <c r="AF1832" t="s">
        <v>50</v>
      </c>
      <c r="AG1832" t="s">
        <v>3588</v>
      </c>
    </row>
    <row r="1833" spans="1:33" x14ac:dyDescent="0.35">
      <c r="A1833" s="1">
        <v>44858.490972222222</v>
      </c>
      <c r="B1833">
        <v>279494</v>
      </c>
      <c r="C1833" t="s">
        <v>1333</v>
      </c>
      <c r="D1833" t="s">
        <v>125</v>
      </c>
      <c r="E1833" s="2">
        <v>37280</v>
      </c>
      <c r="F1833" t="str">
        <f>"9780198032953"</f>
        <v>9780198032953</v>
      </c>
      <c r="G1833" t="str">
        <f>"9780195144208"</f>
        <v>9780195144208</v>
      </c>
      <c r="H1833" t="s">
        <v>667</v>
      </c>
      <c r="I1833" t="s">
        <v>1334</v>
      </c>
      <c r="J1833" t="s">
        <v>1335</v>
      </c>
      <c r="K1833" t="s">
        <v>44</v>
      </c>
      <c r="N1833" t="s">
        <v>45</v>
      </c>
      <c r="O1833" t="s">
        <v>46</v>
      </c>
      <c r="P1833" t="s">
        <v>45</v>
      </c>
      <c r="Q1833" t="s">
        <v>47</v>
      </c>
      <c r="R1833" t="s">
        <v>44</v>
      </c>
      <c r="S1833">
        <v>0</v>
      </c>
      <c r="W1833" s="3">
        <v>8.1018518518518516E-5</v>
      </c>
      <c r="X1833" t="s">
        <v>205</v>
      </c>
      <c r="Y1833">
        <v>2</v>
      </c>
      <c r="Z1833">
        <v>0</v>
      </c>
      <c r="AA1833" t="s">
        <v>49</v>
      </c>
      <c r="AB1833">
        <v>0</v>
      </c>
      <c r="AC1833" t="s">
        <v>49</v>
      </c>
      <c r="AD1833">
        <v>0</v>
      </c>
      <c r="AE1833">
        <v>11303309</v>
      </c>
      <c r="AF1833" t="s">
        <v>50</v>
      </c>
      <c r="AG1833" t="s">
        <v>3543</v>
      </c>
    </row>
    <row r="1834" spans="1:33" x14ac:dyDescent="0.35">
      <c r="A1834" s="1">
        <v>44858.477083333331</v>
      </c>
      <c r="B1834">
        <v>3339517</v>
      </c>
      <c r="C1834" t="s">
        <v>2222</v>
      </c>
      <c r="D1834" t="s">
        <v>303</v>
      </c>
      <c r="E1834" s="2">
        <v>41180</v>
      </c>
      <c r="F1834" t="str">
        <f>"9780262305563"</f>
        <v>9780262305563</v>
      </c>
      <c r="G1834" t="str">
        <f>"9780262017473"</f>
        <v>9780262017473</v>
      </c>
      <c r="H1834" t="s">
        <v>2223</v>
      </c>
      <c r="I1834" t="s">
        <v>2224</v>
      </c>
      <c r="J1834" t="s">
        <v>2225</v>
      </c>
      <c r="K1834" t="s">
        <v>44</v>
      </c>
      <c r="N1834" t="s">
        <v>45</v>
      </c>
      <c r="O1834" t="s">
        <v>46</v>
      </c>
      <c r="P1834" t="s">
        <v>45</v>
      </c>
      <c r="Q1834" t="s">
        <v>47</v>
      </c>
      <c r="R1834" t="s">
        <v>44</v>
      </c>
      <c r="S1834">
        <v>23</v>
      </c>
      <c r="W1834" s="3">
        <v>2.3148148148148147E-5</v>
      </c>
      <c r="X1834" t="s">
        <v>49</v>
      </c>
      <c r="Y1834">
        <v>0</v>
      </c>
      <c r="Z1834">
        <v>0</v>
      </c>
      <c r="AA1834" t="s">
        <v>49</v>
      </c>
      <c r="AB1834">
        <v>0</v>
      </c>
      <c r="AC1834" t="s">
        <v>49</v>
      </c>
      <c r="AD1834">
        <v>0</v>
      </c>
      <c r="AE1834">
        <v>10608196</v>
      </c>
      <c r="AF1834" t="s">
        <v>63</v>
      </c>
      <c r="AG1834" t="s">
        <v>118</v>
      </c>
    </row>
    <row r="1835" spans="1:33" x14ac:dyDescent="0.35">
      <c r="A1835" s="1">
        <v>44858.423611111109</v>
      </c>
      <c r="B1835">
        <v>4183127</v>
      </c>
      <c r="C1835" t="s">
        <v>190</v>
      </c>
      <c r="D1835" t="s">
        <v>59</v>
      </c>
      <c r="E1835" s="2">
        <v>42310</v>
      </c>
      <c r="F1835" t="str">
        <f>"9783527684649"</f>
        <v>9783527684649</v>
      </c>
      <c r="G1835" t="str">
        <f>"9783527331659"</f>
        <v>9783527331659</v>
      </c>
      <c r="H1835" t="s">
        <v>191</v>
      </c>
      <c r="I1835" t="s">
        <v>192</v>
      </c>
      <c r="J1835" t="s">
        <v>193</v>
      </c>
      <c r="K1835" t="s">
        <v>44</v>
      </c>
      <c r="N1835" t="s">
        <v>45</v>
      </c>
      <c r="O1835" t="s">
        <v>46</v>
      </c>
      <c r="P1835" t="s">
        <v>45</v>
      </c>
      <c r="Q1835" t="s">
        <v>47</v>
      </c>
      <c r="R1835" t="s">
        <v>44</v>
      </c>
      <c r="S1835">
        <v>0</v>
      </c>
      <c r="W1835" s="3">
        <v>1.7939814814814815E-3</v>
      </c>
      <c r="X1835" t="s">
        <v>4048</v>
      </c>
      <c r="Y1835">
        <v>28</v>
      </c>
      <c r="Z1835">
        <v>0</v>
      </c>
      <c r="AA1835" t="s">
        <v>49</v>
      </c>
      <c r="AB1835">
        <v>0</v>
      </c>
      <c r="AC1835" t="s">
        <v>49</v>
      </c>
      <c r="AD1835">
        <v>0</v>
      </c>
      <c r="AE1835">
        <v>11125579</v>
      </c>
      <c r="AF1835" t="s">
        <v>50</v>
      </c>
      <c r="AG1835" t="s">
        <v>3528</v>
      </c>
    </row>
    <row r="1836" spans="1:33" x14ac:dyDescent="0.35">
      <c r="A1836" s="1">
        <v>44858.321527777778</v>
      </c>
      <c r="B1836">
        <v>6362112</v>
      </c>
      <c r="C1836" t="s">
        <v>4049</v>
      </c>
      <c r="D1836" t="s">
        <v>65</v>
      </c>
      <c r="E1836" s="2">
        <v>44110</v>
      </c>
      <c r="F1836" t="str">
        <f>"9780128208861"</f>
        <v>9780128208861</v>
      </c>
      <c r="G1836" t="str">
        <f>"9780128205600"</f>
        <v>9780128205600</v>
      </c>
      <c r="H1836" t="s">
        <v>116</v>
      </c>
      <c r="I1836">
        <v>661.34</v>
      </c>
      <c r="J1836" t="s">
        <v>4050</v>
      </c>
      <c r="K1836" t="s">
        <v>55</v>
      </c>
      <c r="N1836" t="s">
        <v>293</v>
      </c>
      <c r="P1836" t="s">
        <v>80</v>
      </c>
      <c r="Q1836" t="s">
        <v>47</v>
      </c>
      <c r="R1836" t="s">
        <v>44</v>
      </c>
      <c r="S1836">
        <v>0</v>
      </c>
      <c r="W1836" s="3">
        <v>0</v>
      </c>
      <c r="X1836" t="s">
        <v>49</v>
      </c>
      <c r="Y1836">
        <v>0</v>
      </c>
      <c r="Z1836">
        <v>1</v>
      </c>
      <c r="AA1836" t="s">
        <v>4051</v>
      </c>
      <c r="AB1836">
        <v>20</v>
      </c>
      <c r="AC1836" t="s">
        <v>49</v>
      </c>
      <c r="AD1836">
        <v>0</v>
      </c>
      <c r="AE1836">
        <v>-1</v>
      </c>
      <c r="AF1836" t="s">
        <v>50</v>
      </c>
      <c r="AG1836" t="s">
        <v>866</v>
      </c>
    </row>
    <row r="1837" spans="1:33" x14ac:dyDescent="0.35">
      <c r="A1837" s="1">
        <v>44857.974305555559</v>
      </c>
      <c r="B1837">
        <v>821992</v>
      </c>
      <c r="C1837" t="s">
        <v>4052</v>
      </c>
      <c r="D1837" t="s">
        <v>59</v>
      </c>
      <c r="E1837" s="2">
        <v>41253</v>
      </c>
      <c r="F1837" t="str">
        <f>"9781118285176"</f>
        <v>9781118285176</v>
      </c>
      <c r="G1837" t="str">
        <f>"9780470422021"</f>
        <v>9780470422021</v>
      </c>
      <c r="H1837" t="s">
        <v>244</v>
      </c>
      <c r="I1837">
        <v>150.28700000000001</v>
      </c>
      <c r="J1837" t="s">
        <v>4053</v>
      </c>
      <c r="K1837" t="s">
        <v>44</v>
      </c>
      <c r="N1837" t="s">
        <v>45</v>
      </c>
      <c r="O1837" t="s">
        <v>46</v>
      </c>
      <c r="P1837" t="s">
        <v>45</v>
      </c>
      <c r="Q1837" t="s">
        <v>47</v>
      </c>
      <c r="R1837" t="s">
        <v>44</v>
      </c>
      <c r="S1837">
        <v>0</v>
      </c>
      <c r="W1837" s="3">
        <v>1.8865740740740742E-3</v>
      </c>
      <c r="X1837" t="s">
        <v>4054</v>
      </c>
      <c r="Y1837">
        <v>11</v>
      </c>
      <c r="Z1837">
        <v>0</v>
      </c>
      <c r="AA1837" t="s">
        <v>49</v>
      </c>
      <c r="AB1837">
        <v>0</v>
      </c>
      <c r="AC1837" t="s">
        <v>49</v>
      </c>
      <c r="AD1837">
        <v>0</v>
      </c>
      <c r="AE1837">
        <v>10639302</v>
      </c>
      <c r="AF1837" t="s">
        <v>50</v>
      </c>
      <c r="AG1837" t="s">
        <v>3588</v>
      </c>
    </row>
    <row r="1838" spans="1:33" x14ac:dyDescent="0.35">
      <c r="A1838" s="1">
        <v>44857.904861111114</v>
      </c>
      <c r="B1838">
        <v>199806</v>
      </c>
      <c r="C1838" t="s">
        <v>4055</v>
      </c>
      <c r="D1838" t="s">
        <v>76</v>
      </c>
      <c r="E1838" s="2">
        <v>37407</v>
      </c>
      <c r="F1838" t="str">
        <f>"9780203307014"</f>
        <v>9780203307014</v>
      </c>
      <c r="G1838" t="str">
        <f>"9781841691886"</f>
        <v>9781841691886</v>
      </c>
      <c r="H1838" t="s">
        <v>147</v>
      </c>
      <c r="I1838">
        <v>616.79999999999995</v>
      </c>
      <c r="J1838" t="s">
        <v>4056</v>
      </c>
      <c r="K1838" t="s">
        <v>44</v>
      </c>
      <c r="N1838" t="s">
        <v>45</v>
      </c>
      <c r="O1838" t="s">
        <v>46</v>
      </c>
      <c r="P1838" t="s">
        <v>45</v>
      </c>
      <c r="Q1838" t="s">
        <v>47</v>
      </c>
      <c r="R1838" t="s">
        <v>44</v>
      </c>
      <c r="S1838">
        <v>0</v>
      </c>
      <c r="W1838" s="3">
        <v>7.6388888888888893E-4</v>
      </c>
      <c r="X1838" t="s">
        <v>4057</v>
      </c>
      <c r="Y1838">
        <v>5</v>
      </c>
      <c r="Z1838">
        <v>1</v>
      </c>
      <c r="AA1838" t="s">
        <v>4058</v>
      </c>
      <c r="AB1838">
        <v>53</v>
      </c>
      <c r="AC1838" t="s">
        <v>49</v>
      </c>
      <c r="AD1838">
        <v>0</v>
      </c>
      <c r="AE1838">
        <v>10872827</v>
      </c>
      <c r="AF1838" t="s">
        <v>50</v>
      </c>
      <c r="AG1838" t="s">
        <v>3588</v>
      </c>
    </row>
    <row r="1839" spans="1:33" x14ac:dyDescent="0.35">
      <c r="A1839" s="1">
        <v>44857.892361111109</v>
      </c>
      <c r="B1839">
        <v>5116604</v>
      </c>
      <c r="C1839" t="s">
        <v>4059</v>
      </c>
      <c r="D1839" t="s">
        <v>213</v>
      </c>
      <c r="E1839" s="2">
        <v>43039</v>
      </c>
      <c r="F1839" t="str">
        <f>"9780444640109"</f>
        <v>9780444640109</v>
      </c>
      <c r="G1839" t="str">
        <f>"9780444639035"</f>
        <v>9780444639035</v>
      </c>
      <c r="H1839" t="s">
        <v>1112</v>
      </c>
      <c r="I1839">
        <v>661.82399999999996</v>
      </c>
      <c r="J1839" t="s">
        <v>4060</v>
      </c>
      <c r="K1839" t="s">
        <v>44</v>
      </c>
      <c r="N1839" t="s">
        <v>45</v>
      </c>
      <c r="O1839" t="s">
        <v>46</v>
      </c>
      <c r="P1839" t="s">
        <v>45</v>
      </c>
      <c r="Q1839" t="s">
        <v>47</v>
      </c>
      <c r="R1839" t="s">
        <v>44</v>
      </c>
      <c r="S1839">
        <v>0</v>
      </c>
      <c r="W1839" s="3">
        <v>0</v>
      </c>
      <c r="X1839" t="s">
        <v>49</v>
      </c>
      <c r="Y1839">
        <v>0</v>
      </c>
      <c r="Z1839">
        <v>1</v>
      </c>
      <c r="AA1839" t="s">
        <v>4061</v>
      </c>
      <c r="AB1839">
        <v>24</v>
      </c>
      <c r="AC1839" t="s">
        <v>49</v>
      </c>
      <c r="AD1839">
        <v>0</v>
      </c>
      <c r="AE1839">
        <v>11462095</v>
      </c>
      <c r="AF1839" t="s">
        <v>50</v>
      </c>
      <c r="AG1839" t="s">
        <v>1536</v>
      </c>
    </row>
    <row r="1840" spans="1:33" x14ac:dyDescent="0.35">
      <c r="A1840" s="1">
        <v>44857.798611111109</v>
      </c>
      <c r="B1840">
        <v>6607710</v>
      </c>
      <c r="C1840" t="s">
        <v>3749</v>
      </c>
      <c r="D1840" t="s">
        <v>59</v>
      </c>
      <c r="E1840" s="2">
        <v>44334</v>
      </c>
      <c r="F1840" t="str">
        <f>"9781119414698"</f>
        <v>9781119414698</v>
      </c>
      <c r="G1840" t="str">
        <f>"9781119414667"</f>
        <v>9781119414667</v>
      </c>
      <c r="H1840" t="s">
        <v>1112</v>
      </c>
      <c r="I1840" t="s">
        <v>3750</v>
      </c>
      <c r="J1840" t="s">
        <v>3751</v>
      </c>
      <c r="K1840" t="s">
        <v>55</v>
      </c>
      <c r="Q1840" t="s">
        <v>47</v>
      </c>
      <c r="R1840" t="s">
        <v>44</v>
      </c>
      <c r="S1840">
        <v>0</v>
      </c>
      <c r="W1840" s="3">
        <v>5.6712962962962956E-4</v>
      </c>
      <c r="X1840" t="s">
        <v>4062</v>
      </c>
      <c r="Y1840">
        <v>10</v>
      </c>
      <c r="Z1840">
        <v>0</v>
      </c>
      <c r="AA1840" t="s">
        <v>49</v>
      </c>
      <c r="AB1840">
        <v>0</v>
      </c>
      <c r="AC1840" t="s">
        <v>49</v>
      </c>
      <c r="AD1840">
        <v>0</v>
      </c>
      <c r="AE1840">
        <v>-1</v>
      </c>
      <c r="AF1840" t="s">
        <v>50</v>
      </c>
      <c r="AG1840" t="s">
        <v>1536</v>
      </c>
    </row>
    <row r="1841" spans="1:33" x14ac:dyDescent="0.35">
      <c r="A1841" s="1">
        <v>44857.751388888886</v>
      </c>
      <c r="B1841">
        <v>199806</v>
      </c>
      <c r="C1841" t="s">
        <v>4055</v>
      </c>
      <c r="D1841" t="s">
        <v>76</v>
      </c>
      <c r="E1841" s="2">
        <v>37407</v>
      </c>
      <c r="F1841" t="str">
        <f>"9780203307014"</f>
        <v>9780203307014</v>
      </c>
      <c r="G1841" t="str">
        <f>"9781841691886"</f>
        <v>9781841691886</v>
      </c>
      <c r="H1841" t="s">
        <v>147</v>
      </c>
      <c r="I1841">
        <v>616.79999999999995</v>
      </c>
      <c r="J1841" t="s">
        <v>4056</v>
      </c>
      <c r="K1841" t="s">
        <v>44</v>
      </c>
      <c r="N1841" t="s">
        <v>45</v>
      </c>
      <c r="O1841" t="s">
        <v>46</v>
      </c>
      <c r="P1841" t="s">
        <v>45</v>
      </c>
      <c r="Q1841" t="s">
        <v>47</v>
      </c>
      <c r="R1841" t="s">
        <v>44</v>
      </c>
      <c r="S1841">
        <v>0</v>
      </c>
      <c r="W1841" s="3">
        <v>1.329861111111111E-2</v>
      </c>
      <c r="X1841" t="s">
        <v>4063</v>
      </c>
      <c r="Y1841">
        <v>61</v>
      </c>
      <c r="Z1841">
        <v>1</v>
      </c>
      <c r="AA1841" t="s">
        <v>4064</v>
      </c>
      <c r="AB1841">
        <v>42</v>
      </c>
      <c r="AC1841" t="s">
        <v>49</v>
      </c>
      <c r="AD1841">
        <v>0</v>
      </c>
      <c r="AE1841">
        <v>10872827</v>
      </c>
      <c r="AF1841" t="s">
        <v>50</v>
      </c>
      <c r="AG1841" t="s">
        <v>3588</v>
      </c>
    </row>
    <row r="1842" spans="1:33" x14ac:dyDescent="0.35">
      <c r="A1842" s="1">
        <v>44857.724999999999</v>
      </c>
      <c r="B1842">
        <v>6891247</v>
      </c>
      <c r="C1842" t="s">
        <v>4065</v>
      </c>
      <c r="D1842" t="s">
        <v>213</v>
      </c>
      <c r="E1842" s="2">
        <v>44609</v>
      </c>
      <c r="F1842" t="str">
        <f>"9780323886314"</f>
        <v>9780323886314</v>
      </c>
      <c r="G1842" t="str">
        <f>"9780323899789"</f>
        <v>9780323899789</v>
      </c>
      <c r="H1842" t="s">
        <v>4066</v>
      </c>
      <c r="I1842">
        <v>660.28420000000006</v>
      </c>
      <c r="J1842" t="s">
        <v>4067</v>
      </c>
      <c r="K1842" t="s">
        <v>55</v>
      </c>
      <c r="Q1842" t="s">
        <v>47</v>
      </c>
      <c r="R1842" t="s">
        <v>44</v>
      </c>
      <c r="S1842">
        <v>0</v>
      </c>
      <c r="W1842" s="3">
        <v>1.1539351851851851E-2</v>
      </c>
      <c r="X1842" t="s">
        <v>4068</v>
      </c>
      <c r="Y1842">
        <v>34</v>
      </c>
      <c r="Z1842">
        <v>0</v>
      </c>
      <c r="AA1842" t="s">
        <v>49</v>
      </c>
      <c r="AB1842">
        <v>0</v>
      </c>
      <c r="AC1842" t="s">
        <v>49</v>
      </c>
      <c r="AD1842">
        <v>0</v>
      </c>
      <c r="AE1842">
        <v>-1</v>
      </c>
      <c r="AF1842" t="s">
        <v>63</v>
      </c>
      <c r="AG1842" t="s">
        <v>1536</v>
      </c>
    </row>
    <row r="1843" spans="1:33" x14ac:dyDescent="0.35">
      <c r="A1843" s="1">
        <v>44857.645138888889</v>
      </c>
      <c r="B1843">
        <v>682728</v>
      </c>
      <c r="C1843" t="s">
        <v>4004</v>
      </c>
      <c r="D1843" t="s">
        <v>633</v>
      </c>
      <c r="E1843" s="2">
        <v>40589</v>
      </c>
      <c r="F1843" t="str">
        <f>"9781607506843"</f>
        <v>9781607506843</v>
      </c>
      <c r="G1843" t="str">
        <f>"9781607506836"</f>
        <v>9781607506836</v>
      </c>
      <c r="H1843" t="s">
        <v>1540</v>
      </c>
      <c r="K1843" t="s">
        <v>44</v>
      </c>
      <c r="N1843" t="s">
        <v>45</v>
      </c>
      <c r="O1843" t="s">
        <v>46</v>
      </c>
      <c r="P1843" t="s">
        <v>177</v>
      </c>
      <c r="Q1843" t="s">
        <v>47</v>
      </c>
      <c r="R1843" t="s">
        <v>55</v>
      </c>
      <c r="S1843">
        <v>0</v>
      </c>
      <c r="W1843" s="3">
        <v>1.25E-3</v>
      </c>
      <c r="X1843" t="s">
        <v>4069</v>
      </c>
      <c r="Y1843">
        <v>10</v>
      </c>
      <c r="Z1843">
        <v>0</v>
      </c>
      <c r="AA1843" t="s">
        <v>49</v>
      </c>
      <c r="AB1843">
        <v>0</v>
      </c>
      <c r="AC1843" t="s">
        <v>49</v>
      </c>
      <c r="AD1843">
        <v>0</v>
      </c>
      <c r="AE1843">
        <v>10460208</v>
      </c>
      <c r="AF1843" t="s">
        <v>50</v>
      </c>
      <c r="AG1843" t="s">
        <v>866</v>
      </c>
    </row>
    <row r="1844" spans="1:33" x14ac:dyDescent="0.35">
      <c r="A1844" s="1">
        <v>44857.615972222222</v>
      </c>
      <c r="B1844">
        <v>6730602</v>
      </c>
      <c r="C1844" t="s">
        <v>4070</v>
      </c>
      <c r="D1844" t="s">
        <v>65</v>
      </c>
      <c r="E1844" s="2">
        <v>44462</v>
      </c>
      <c r="F1844" t="str">
        <f>"9780128222829"</f>
        <v>9780128222829</v>
      </c>
      <c r="G1844" t="str">
        <f>"9780128222812"</f>
        <v>9780128222812</v>
      </c>
      <c r="H1844" t="s">
        <v>4071</v>
      </c>
      <c r="I1844">
        <v>616.07539999999995</v>
      </c>
      <c r="J1844" t="s">
        <v>4072</v>
      </c>
      <c r="K1844" t="s">
        <v>55</v>
      </c>
      <c r="Q1844" t="s">
        <v>47</v>
      </c>
      <c r="R1844" t="s">
        <v>44</v>
      </c>
      <c r="S1844">
        <v>0</v>
      </c>
      <c r="W1844" s="3">
        <v>1.9814814814814816E-2</v>
      </c>
      <c r="X1844" t="s">
        <v>4073</v>
      </c>
      <c r="Y1844">
        <v>5</v>
      </c>
      <c r="Z1844">
        <v>0</v>
      </c>
      <c r="AA1844" t="s">
        <v>49</v>
      </c>
      <c r="AB1844">
        <v>0</v>
      </c>
      <c r="AC1844" t="s">
        <v>49</v>
      </c>
      <c r="AD1844">
        <v>0</v>
      </c>
      <c r="AE1844">
        <v>-1</v>
      </c>
      <c r="AF1844" t="s">
        <v>50</v>
      </c>
      <c r="AG1844" t="s">
        <v>4074</v>
      </c>
    </row>
    <row r="1845" spans="1:33" x14ac:dyDescent="0.35">
      <c r="A1845" s="1">
        <v>44857.606944444444</v>
      </c>
      <c r="B1845">
        <v>1886888</v>
      </c>
      <c r="C1845" t="s">
        <v>4075</v>
      </c>
      <c r="D1845" t="s">
        <v>76</v>
      </c>
      <c r="E1845" s="2">
        <v>41865</v>
      </c>
      <c r="F1845" t="str">
        <f>"9781317492269"</f>
        <v>9781317492269</v>
      </c>
      <c r="G1845" t="str">
        <f>"9781844651986"</f>
        <v>9781844651986</v>
      </c>
      <c r="H1845" t="s">
        <v>498</v>
      </c>
      <c r="I1845">
        <v>193</v>
      </c>
      <c r="J1845" t="s">
        <v>4076</v>
      </c>
      <c r="K1845" t="s">
        <v>44</v>
      </c>
      <c r="N1845" t="s">
        <v>45</v>
      </c>
      <c r="O1845" t="s">
        <v>46</v>
      </c>
      <c r="P1845" t="s">
        <v>45</v>
      </c>
      <c r="Q1845" t="s">
        <v>47</v>
      </c>
      <c r="R1845" t="s">
        <v>44</v>
      </c>
      <c r="S1845">
        <v>0</v>
      </c>
      <c r="W1845" s="3">
        <v>1.6203703703703703E-4</v>
      </c>
      <c r="X1845" t="s">
        <v>320</v>
      </c>
      <c r="Y1845">
        <v>3</v>
      </c>
      <c r="Z1845">
        <v>0</v>
      </c>
      <c r="AA1845" t="s">
        <v>49</v>
      </c>
      <c r="AB1845">
        <v>0</v>
      </c>
      <c r="AC1845" t="s">
        <v>49</v>
      </c>
      <c r="AD1845">
        <v>0</v>
      </c>
      <c r="AE1845">
        <v>10553844</v>
      </c>
      <c r="AF1845" t="s">
        <v>50</v>
      </c>
      <c r="AG1845" t="s">
        <v>3588</v>
      </c>
    </row>
    <row r="1846" spans="1:33" x14ac:dyDescent="0.35">
      <c r="A1846" s="1">
        <v>44857.588888888888</v>
      </c>
      <c r="B1846">
        <v>6730602</v>
      </c>
      <c r="C1846" t="s">
        <v>4070</v>
      </c>
      <c r="D1846" t="s">
        <v>65</v>
      </c>
      <c r="E1846" s="2">
        <v>44462</v>
      </c>
      <c r="F1846" t="str">
        <f>"9780128222829"</f>
        <v>9780128222829</v>
      </c>
      <c r="G1846" t="str">
        <f>"9780128222812"</f>
        <v>9780128222812</v>
      </c>
      <c r="H1846" t="s">
        <v>4071</v>
      </c>
      <c r="I1846">
        <v>616.07539999999995</v>
      </c>
      <c r="J1846" t="s">
        <v>4072</v>
      </c>
      <c r="K1846" t="s">
        <v>55</v>
      </c>
      <c r="Q1846" t="s">
        <v>47</v>
      </c>
      <c r="R1846" t="s">
        <v>44</v>
      </c>
      <c r="S1846">
        <v>0</v>
      </c>
      <c r="W1846" s="3">
        <v>9.4907407407407408E-4</v>
      </c>
      <c r="X1846" t="s">
        <v>4077</v>
      </c>
      <c r="Y1846">
        <v>18</v>
      </c>
      <c r="Z1846">
        <v>0</v>
      </c>
      <c r="AA1846" t="s">
        <v>49</v>
      </c>
      <c r="AB1846">
        <v>0</v>
      </c>
      <c r="AC1846" t="s">
        <v>49</v>
      </c>
      <c r="AD1846">
        <v>0</v>
      </c>
      <c r="AE1846">
        <v>-1</v>
      </c>
      <c r="AF1846" t="s">
        <v>50</v>
      </c>
      <c r="AG1846" t="s">
        <v>4074</v>
      </c>
    </row>
    <row r="1847" spans="1:33" x14ac:dyDescent="0.35">
      <c r="A1847" s="1">
        <v>44857.54583333333</v>
      </c>
      <c r="B1847">
        <v>1701378</v>
      </c>
      <c r="C1847" t="s">
        <v>4078</v>
      </c>
      <c r="D1847" t="s">
        <v>76</v>
      </c>
      <c r="E1847" s="2">
        <v>41992</v>
      </c>
      <c r="F1847" t="str">
        <f>"9781466587380"</f>
        <v>9781466587380</v>
      </c>
      <c r="G1847" t="str">
        <f>"9781466587373"</f>
        <v>9781466587373</v>
      </c>
      <c r="H1847" t="s">
        <v>789</v>
      </c>
      <c r="I1847">
        <v>631.52329999999995</v>
      </c>
      <c r="J1847" t="s">
        <v>4079</v>
      </c>
      <c r="K1847" t="s">
        <v>44</v>
      </c>
      <c r="N1847" t="s">
        <v>45</v>
      </c>
      <c r="O1847" t="s">
        <v>46</v>
      </c>
      <c r="P1847" t="s">
        <v>45</v>
      </c>
      <c r="Q1847" t="s">
        <v>47</v>
      </c>
      <c r="R1847" t="s">
        <v>44</v>
      </c>
      <c r="S1847">
        <v>0</v>
      </c>
      <c r="W1847" s="3">
        <v>2.7777777777777778E-4</v>
      </c>
      <c r="X1847" t="s">
        <v>4080</v>
      </c>
      <c r="Y1847">
        <v>6</v>
      </c>
      <c r="Z1847">
        <v>0</v>
      </c>
      <c r="AA1847" t="s">
        <v>49</v>
      </c>
      <c r="AB1847">
        <v>0</v>
      </c>
      <c r="AC1847" t="s">
        <v>49</v>
      </c>
      <c r="AD1847">
        <v>0</v>
      </c>
      <c r="AE1847">
        <v>10991593</v>
      </c>
      <c r="AF1847" t="s">
        <v>50</v>
      </c>
      <c r="AG1847" t="s">
        <v>866</v>
      </c>
    </row>
    <row r="1848" spans="1:33" x14ac:dyDescent="0.35">
      <c r="A1848" s="1">
        <v>44857.301388888889</v>
      </c>
      <c r="B1848">
        <v>5847327</v>
      </c>
      <c r="C1848" t="s">
        <v>3989</v>
      </c>
      <c r="D1848" t="s">
        <v>76</v>
      </c>
      <c r="E1848" s="2">
        <v>43698</v>
      </c>
      <c r="F1848" t="str">
        <f>"9780429583421"</f>
        <v>9780429583421</v>
      </c>
      <c r="G1848" t="str">
        <f>"9780367188504"</f>
        <v>9780367188504</v>
      </c>
      <c r="H1848" t="s">
        <v>208</v>
      </c>
      <c r="I1848">
        <v>621.04200000000003</v>
      </c>
      <c r="J1848" t="s">
        <v>3990</v>
      </c>
      <c r="K1848" t="s">
        <v>55</v>
      </c>
      <c r="Q1848" t="s">
        <v>47</v>
      </c>
      <c r="R1848" t="s">
        <v>44</v>
      </c>
      <c r="S1848">
        <v>0</v>
      </c>
      <c r="W1848" s="3">
        <v>0</v>
      </c>
      <c r="X1848" t="s">
        <v>49</v>
      </c>
      <c r="Y1848">
        <v>0</v>
      </c>
      <c r="Z1848">
        <v>0</v>
      </c>
      <c r="AA1848" t="s">
        <v>49</v>
      </c>
      <c r="AB1848">
        <v>0</v>
      </c>
      <c r="AC1848" t="s">
        <v>49</v>
      </c>
      <c r="AD1848">
        <v>0</v>
      </c>
      <c r="AE1848">
        <v>-1</v>
      </c>
      <c r="AF1848" t="s">
        <v>63</v>
      </c>
      <c r="AG1848" t="s">
        <v>2433</v>
      </c>
    </row>
    <row r="1849" spans="1:33" x14ac:dyDescent="0.35">
      <c r="A1849" s="1">
        <v>44857.3</v>
      </c>
      <c r="B1849">
        <v>3339517</v>
      </c>
      <c r="C1849" t="s">
        <v>2222</v>
      </c>
      <c r="D1849" t="s">
        <v>303</v>
      </c>
      <c r="E1849" s="2">
        <v>41180</v>
      </c>
      <c r="F1849" t="str">
        <f>"9780262305563"</f>
        <v>9780262305563</v>
      </c>
      <c r="G1849" t="str">
        <f>"9780262017473"</f>
        <v>9780262017473</v>
      </c>
      <c r="H1849" t="s">
        <v>2223</v>
      </c>
      <c r="I1849" t="s">
        <v>2224</v>
      </c>
      <c r="J1849" t="s">
        <v>2225</v>
      </c>
      <c r="K1849" t="s">
        <v>44</v>
      </c>
      <c r="N1849" t="s">
        <v>45</v>
      </c>
      <c r="O1849" t="s">
        <v>46</v>
      </c>
      <c r="P1849" t="s">
        <v>45</v>
      </c>
      <c r="Q1849" t="s">
        <v>47</v>
      </c>
      <c r="R1849" t="s">
        <v>44</v>
      </c>
      <c r="S1849">
        <v>1</v>
      </c>
      <c r="W1849" s="3">
        <v>0</v>
      </c>
      <c r="X1849" t="s">
        <v>49</v>
      </c>
      <c r="Y1849">
        <v>0</v>
      </c>
      <c r="Z1849">
        <v>0</v>
      </c>
      <c r="AA1849" t="s">
        <v>49</v>
      </c>
      <c r="AB1849">
        <v>0</v>
      </c>
      <c r="AC1849" t="s">
        <v>49</v>
      </c>
      <c r="AD1849">
        <v>0</v>
      </c>
      <c r="AE1849">
        <v>10608196</v>
      </c>
      <c r="AF1849" t="s">
        <v>63</v>
      </c>
      <c r="AG1849" t="s">
        <v>2433</v>
      </c>
    </row>
    <row r="1850" spans="1:33" x14ac:dyDescent="0.35">
      <c r="A1850" s="1">
        <v>44857.09097222222</v>
      </c>
      <c r="B1850">
        <v>3339490</v>
      </c>
      <c r="C1850" t="s">
        <v>4081</v>
      </c>
      <c r="D1850" t="s">
        <v>303</v>
      </c>
      <c r="E1850" s="2">
        <v>41145</v>
      </c>
      <c r="F1850" t="str">
        <f>"9780262305242"</f>
        <v>9780262305242</v>
      </c>
      <c r="G1850" t="str">
        <f>"9780262018029"</f>
        <v>9780262018029</v>
      </c>
      <c r="H1850" t="s">
        <v>106</v>
      </c>
      <c r="I1850" t="s">
        <v>1049</v>
      </c>
      <c r="J1850" t="s">
        <v>4082</v>
      </c>
      <c r="K1850" t="s">
        <v>44</v>
      </c>
      <c r="N1850" t="s">
        <v>45</v>
      </c>
      <c r="O1850" t="s">
        <v>46</v>
      </c>
      <c r="P1850" t="s">
        <v>45</v>
      </c>
      <c r="Q1850" t="s">
        <v>47</v>
      </c>
      <c r="R1850" t="s">
        <v>44</v>
      </c>
      <c r="S1850">
        <v>0</v>
      </c>
      <c r="W1850" s="3">
        <v>8.1018518518518516E-5</v>
      </c>
      <c r="X1850" t="s">
        <v>648</v>
      </c>
      <c r="Y1850">
        <v>2</v>
      </c>
      <c r="Z1850">
        <v>0</v>
      </c>
      <c r="AA1850" t="s">
        <v>49</v>
      </c>
      <c r="AB1850">
        <v>0</v>
      </c>
      <c r="AC1850" t="s">
        <v>49</v>
      </c>
      <c r="AD1850">
        <v>0</v>
      </c>
      <c r="AE1850">
        <v>10597102</v>
      </c>
      <c r="AF1850" t="s">
        <v>50</v>
      </c>
      <c r="AG1850" t="s">
        <v>840</v>
      </c>
    </row>
    <row r="1851" spans="1:33" x14ac:dyDescent="0.35">
      <c r="A1851" s="1">
        <v>44857.05972222222</v>
      </c>
      <c r="B1851">
        <v>6745262</v>
      </c>
      <c r="C1851" t="s">
        <v>4083</v>
      </c>
      <c r="D1851" t="s">
        <v>3042</v>
      </c>
      <c r="E1851" s="2">
        <v>44481</v>
      </c>
      <c r="F1851" t="str">
        <f>"9781638356677"</f>
        <v>9781638356677</v>
      </c>
      <c r="G1851" t="str">
        <f>""</f>
        <v/>
      </c>
      <c r="H1851" t="s">
        <v>106</v>
      </c>
      <c r="I1851">
        <v>6.31</v>
      </c>
      <c r="J1851" t="s">
        <v>4084</v>
      </c>
      <c r="K1851" t="s">
        <v>55</v>
      </c>
      <c r="Q1851" t="s">
        <v>47</v>
      </c>
      <c r="R1851" t="s">
        <v>44</v>
      </c>
      <c r="S1851">
        <v>0</v>
      </c>
      <c r="W1851" s="3">
        <v>1.0995370370370371E-3</v>
      </c>
      <c r="X1851" t="s">
        <v>4085</v>
      </c>
      <c r="Y1851">
        <v>13</v>
      </c>
      <c r="Z1851">
        <v>0</v>
      </c>
      <c r="AA1851" t="s">
        <v>49</v>
      </c>
      <c r="AB1851">
        <v>0</v>
      </c>
      <c r="AC1851" t="s">
        <v>49</v>
      </c>
      <c r="AD1851">
        <v>0</v>
      </c>
      <c r="AE1851">
        <v>-1</v>
      </c>
      <c r="AF1851" t="s">
        <v>50</v>
      </c>
      <c r="AG1851" t="s">
        <v>840</v>
      </c>
    </row>
    <row r="1852" spans="1:33" x14ac:dyDescent="0.35">
      <c r="A1852" s="1">
        <v>44857.018750000003</v>
      </c>
      <c r="B1852">
        <v>5751857</v>
      </c>
      <c r="C1852" t="s">
        <v>4086</v>
      </c>
      <c r="D1852" t="s">
        <v>59</v>
      </c>
      <c r="E1852" s="2">
        <v>43599</v>
      </c>
      <c r="F1852" t="str">
        <f>"9781119543022"</f>
        <v>9781119543022</v>
      </c>
      <c r="G1852" t="str">
        <f>"9781119543046"</f>
        <v>9781119543046</v>
      </c>
      <c r="H1852" t="s">
        <v>106</v>
      </c>
      <c r="I1852">
        <v>6.31</v>
      </c>
      <c r="J1852" t="s">
        <v>4087</v>
      </c>
      <c r="K1852" t="s">
        <v>55</v>
      </c>
      <c r="Q1852" t="s">
        <v>47</v>
      </c>
      <c r="R1852" t="s">
        <v>44</v>
      </c>
      <c r="S1852">
        <v>0</v>
      </c>
      <c r="W1852" s="3">
        <v>8.3333333333333339E-4</v>
      </c>
      <c r="X1852" t="s">
        <v>4088</v>
      </c>
      <c r="Y1852">
        <v>9</v>
      </c>
      <c r="Z1852">
        <v>0</v>
      </c>
      <c r="AA1852" t="s">
        <v>49</v>
      </c>
      <c r="AB1852">
        <v>0</v>
      </c>
      <c r="AC1852" t="s">
        <v>49</v>
      </c>
      <c r="AD1852">
        <v>0</v>
      </c>
      <c r="AE1852">
        <v>-1</v>
      </c>
      <c r="AF1852" t="s">
        <v>50</v>
      </c>
      <c r="AG1852" t="s">
        <v>840</v>
      </c>
    </row>
    <row r="1853" spans="1:33" x14ac:dyDescent="0.35">
      <c r="A1853" s="1">
        <v>44856.888888888891</v>
      </c>
      <c r="B1853">
        <v>601752</v>
      </c>
      <c r="C1853" t="s">
        <v>4089</v>
      </c>
      <c r="D1853" t="s">
        <v>497</v>
      </c>
      <c r="E1853" s="2">
        <v>40328</v>
      </c>
      <c r="F1853" t="str">
        <f>"9781441131256"</f>
        <v>9781441131256</v>
      </c>
      <c r="G1853" t="str">
        <f>"9781847061393"</f>
        <v>9781847061393</v>
      </c>
      <c r="H1853" t="s">
        <v>498</v>
      </c>
      <c r="I1853">
        <v>193</v>
      </c>
      <c r="J1853" t="s">
        <v>4090</v>
      </c>
      <c r="K1853" t="s">
        <v>44</v>
      </c>
      <c r="N1853" t="s">
        <v>45</v>
      </c>
      <c r="O1853" t="s">
        <v>46</v>
      </c>
      <c r="P1853" t="s">
        <v>45</v>
      </c>
      <c r="Q1853" t="s">
        <v>47</v>
      </c>
      <c r="R1853" t="s">
        <v>44</v>
      </c>
      <c r="S1853">
        <v>0</v>
      </c>
      <c r="W1853" s="3">
        <v>3.0092592592592588E-3</v>
      </c>
      <c r="X1853" t="s">
        <v>4091</v>
      </c>
      <c r="Y1853">
        <v>15</v>
      </c>
      <c r="Z1853">
        <v>1</v>
      </c>
      <c r="AA1853" t="s">
        <v>4092</v>
      </c>
      <c r="AB1853">
        <v>13</v>
      </c>
      <c r="AC1853" t="s">
        <v>49</v>
      </c>
      <c r="AD1853">
        <v>0</v>
      </c>
      <c r="AE1853">
        <v>10427635</v>
      </c>
      <c r="AF1853" t="s">
        <v>50</v>
      </c>
      <c r="AG1853" t="s">
        <v>3588</v>
      </c>
    </row>
    <row r="1854" spans="1:33" x14ac:dyDescent="0.35">
      <c r="A1854" s="1">
        <v>44856.888194444444</v>
      </c>
      <c r="B1854">
        <v>283660</v>
      </c>
      <c r="C1854" t="s">
        <v>4093</v>
      </c>
      <c r="D1854" t="s">
        <v>156</v>
      </c>
      <c r="E1854" s="2">
        <v>38858</v>
      </c>
      <c r="F1854" t="str">
        <f>"9780253111975"</f>
        <v>9780253111975</v>
      </c>
      <c r="G1854" t="str">
        <f>"9780253347060"</f>
        <v>9780253347060</v>
      </c>
      <c r="H1854" t="s">
        <v>498</v>
      </c>
      <c r="I1854">
        <v>193</v>
      </c>
      <c r="J1854" t="s">
        <v>4094</v>
      </c>
      <c r="K1854" t="s">
        <v>44</v>
      </c>
      <c r="N1854" t="s">
        <v>45</v>
      </c>
      <c r="O1854" t="s">
        <v>46</v>
      </c>
      <c r="P1854" t="s">
        <v>45</v>
      </c>
      <c r="Q1854" t="s">
        <v>47</v>
      </c>
      <c r="R1854" t="s">
        <v>44</v>
      </c>
      <c r="S1854">
        <v>0</v>
      </c>
      <c r="W1854" s="3">
        <v>7.7546296296296304E-4</v>
      </c>
      <c r="X1854" t="s">
        <v>4095</v>
      </c>
      <c r="Y1854">
        <v>6</v>
      </c>
      <c r="Z1854">
        <v>0</v>
      </c>
      <c r="AA1854" t="s">
        <v>49</v>
      </c>
      <c r="AB1854">
        <v>0</v>
      </c>
      <c r="AC1854" t="s">
        <v>49</v>
      </c>
      <c r="AD1854">
        <v>0</v>
      </c>
      <c r="AE1854">
        <v>10158071</v>
      </c>
      <c r="AF1854" t="s">
        <v>50</v>
      </c>
      <c r="AG1854" t="s">
        <v>3588</v>
      </c>
    </row>
    <row r="1855" spans="1:33" x14ac:dyDescent="0.35">
      <c r="A1855" s="1">
        <v>44856.886111111111</v>
      </c>
      <c r="B1855">
        <v>6119413</v>
      </c>
      <c r="C1855" t="s">
        <v>4096</v>
      </c>
      <c r="D1855" t="s">
        <v>59</v>
      </c>
      <c r="E1855" s="2">
        <v>43941</v>
      </c>
      <c r="F1855" t="str">
        <f>"9781119469407"</f>
        <v>9781119469407</v>
      </c>
      <c r="G1855" t="str">
        <f>"9781119469346"</f>
        <v>9781119469346</v>
      </c>
      <c r="H1855" t="s">
        <v>126</v>
      </c>
      <c r="I1855">
        <v>629.79999999999995</v>
      </c>
      <c r="J1855" t="s">
        <v>4097</v>
      </c>
      <c r="K1855" t="s">
        <v>55</v>
      </c>
      <c r="N1855" t="s">
        <v>45</v>
      </c>
      <c r="O1855" t="s">
        <v>46</v>
      </c>
      <c r="P1855" t="s">
        <v>45</v>
      </c>
      <c r="Q1855" t="s">
        <v>47</v>
      </c>
      <c r="R1855" t="s">
        <v>44</v>
      </c>
      <c r="S1855">
        <v>0</v>
      </c>
      <c r="W1855" s="3">
        <v>5.9027777777777778E-4</v>
      </c>
      <c r="X1855" t="s">
        <v>4098</v>
      </c>
      <c r="Y1855">
        <v>11</v>
      </c>
      <c r="Z1855">
        <v>0</v>
      </c>
      <c r="AA1855" t="s">
        <v>49</v>
      </c>
      <c r="AB1855">
        <v>0</v>
      </c>
      <c r="AC1855" t="s">
        <v>49</v>
      </c>
      <c r="AD1855">
        <v>0</v>
      </c>
      <c r="AE1855">
        <v>-1</v>
      </c>
      <c r="AF1855" t="s">
        <v>50</v>
      </c>
      <c r="AG1855" t="s">
        <v>264</v>
      </c>
    </row>
    <row r="1856" spans="1:33" x14ac:dyDescent="0.35">
      <c r="A1856" s="1">
        <v>44856.884722222225</v>
      </c>
      <c r="B1856">
        <v>1886888</v>
      </c>
      <c r="C1856" t="s">
        <v>4075</v>
      </c>
      <c r="D1856" t="s">
        <v>76</v>
      </c>
      <c r="E1856" s="2">
        <v>41865</v>
      </c>
      <c r="F1856" t="str">
        <f>"9781317492269"</f>
        <v>9781317492269</v>
      </c>
      <c r="G1856" t="str">
        <f>"9781844651986"</f>
        <v>9781844651986</v>
      </c>
      <c r="H1856" t="s">
        <v>498</v>
      </c>
      <c r="I1856">
        <v>193</v>
      </c>
      <c r="J1856" t="s">
        <v>4076</v>
      </c>
      <c r="K1856" t="s">
        <v>44</v>
      </c>
      <c r="N1856" t="s">
        <v>45</v>
      </c>
      <c r="O1856" t="s">
        <v>46</v>
      </c>
      <c r="P1856" t="s">
        <v>45</v>
      </c>
      <c r="Q1856" t="s">
        <v>47</v>
      </c>
      <c r="R1856" t="s">
        <v>44</v>
      </c>
      <c r="S1856">
        <v>0</v>
      </c>
      <c r="W1856" s="3">
        <v>2.6504629629629625E-3</v>
      </c>
      <c r="X1856" t="s">
        <v>4099</v>
      </c>
      <c r="Y1856">
        <v>6</v>
      </c>
      <c r="Z1856">
        <v>0</v>
      </c>
      <c r="AA1856" t="s">
        <v>49</v>
      </c>
      <c r="AB1856">
        <v>0</v>
      </c>
      <c r="AC1856" t="s">
        <v>49</v>
      </c>
      <c r="AD1856">
        <v>0</v>
      </c>
      <c r="AE1856">
        <v>10553844</v>
      </c>
      <c r="AF1856" t="s">
        <v>50</v>
      </c>
      <c r="AG1856" t="s">
        <v>3588</v>
      </c>
    </row>
    <row r="1857" spans="1:33" x14ac:dyDescent="0.35">
      <c r="A1857" s="1">
        <v>44856.854166666664</v>
      </c>
      <c r="B1857">
        <v>1821339</v>
      </c>
      <c r="C1857" t="s">
        <v>4100</v>
      </c>
      <c r="D1857" t="s">
        <v>76</v>
      </c>
      <c r="E1857" s="2">
        <v>41859</v>
      </c>
      <c r="F1857" t="str">
        <f>"9781317544838"</f>
        <v>9781317544838</v>
      </c>
      <c r="G1857" t="str">
        <f>"9781844655595"</f>
        <v>9781844655595</v>
      </c>
      <c r="H1857" t="s">
        <v>498</v>
      </c>
      <c r="I1857">
        <v>193</v>
      </c>
      <c r="J1857" t="s">
        <v>4101</v>
      </c>
      <c r="K1857" t="s">
        <v>44</v>
      </c>
      <c r="N1857" t="s">
        <v>45</v>
      </c>
      <c r="O1857" t="s">
        <v>46</v>
      </c>
      <c r="P1857" t="s">
        <v>45</v>
      </c>
      <c r="Q1857" t="s">
        <v>47</v>
      </c>
      <c r="R1857" t="s">
        <v>44</v>
      </c>
      <c r="S1857">
        <v>0</v>
      </c>
      <c r="W1857" s="3">
        <v>2.5578703703703705E-3</v>
      </c>
      <c r="X1857" t="s">
        <v>4102</v>
      </c>
      <c r="Y1857">
        <v>9</v>
      </c>
      <c r="Z1857">
        <v>0</v>
      </c>
      <c r="AA1857" t="s">
        <v>49</v>
      </c>
      <c r="AB1857">
        <v>0</v>
      </c>
      <c r="AC1857" t="s">
        <v>49</v>
      </c>
      <c r="AD1857">
        <v>0</v>
      </c>
      <c r="AE1857">
        <v>10756426</v>
      </c>
      <c r="AF1857" t="s">
        <v>50</v>
      </c>
      <c r="AG1857" t="s">
        <v>3588</v>
      </c>
    </row>
    <row r="1858" spans="1:33" x14ac:dyDescent="0.35">
      <c r="A1858" s="1">
        <v>44856.847222222219</v>
      </c>
      <c r="B1858">
        <v>1886888</v>
      </c>
      <c r="C1858" t="s">
        <v>4075</v>
      </c>
      <c r="D1858" t="s">
        <v>76</v>
      </c>
      <c r="E1858" s="2">
        <v>41865</v>
      </c>
      <c r="F1858" t="str">
        <f>"9781317492269"</f>
        <v>9781317492269</v>
      </c>
      <c r="G1858" t="str">
        <f>"9781844651986"</f>
        <v>9781844651986</v>
      </c>
      <c r="H1858" t="s">
        <v>498</v>
      </c>
      <c r="I1858">
        <v>193</v>
      </c>
      <c r="J1858" t="s">
        <v>4076</v>
      </c>
      <c r="K1858" t="s">
        <v>44</v>
      </c>
      <c r="N1858" t="s">
        <v>45</v>
      </c>
      <c r="O1858" t="s">
        <v>46</v>
      </c>
      <c r="P1858" t="s">
        <v>45</v>
      </c>
      <c r="Q1858" t="s">
        <v>47</v>
      </c>
      <c r="R1858" t="s">
        <v>44</v>
      </c>
      <c r="S1858">
        <v>0</v>
      </c>
      <c r="W1858" s="3">
        <v>1.0763888888888889E-3</v>
      </c>
      <c r="X1858" t="s">
        <v>4103</v>
      </c>
      <c r="Y1858">
        <v>10</v>
      </c>
      <c r="Z1858">
        <v>0</v>
      </c>
      <c r="AA1858" t="s">
        <v>49</v>
      </c>
      <c r="AB1858">
        <v>0</v>
      </c>
      <c r="AC1858" t="s">
        <v>49</v>
      </c>
      <c r="AD1858">
        <v>0</v>
      </c>
      <c r="AE1858">
        <v>10553844</v>
      </c>
      <c r="AF1858" t="s">
        <v>50</v>
      </c>
      <c r="AG1858" t="s">
        <v>3588</v>
      </c>
    </row>
    <row r="1859" spans="1:33" x14ac:dyDescent="0.35">
      <c r="A1859" s="1">
        <v>44856.839583333334</v>
      </c>
      <c r="B1859">
        <v>7104670</v>
      </c>
      <c r="C1859" t="s">
        <v>638</v>
      </c>
      <c r="D1859" t="s">
        <v>59</v>
      </c>
      <c r="E1859" s="2">
        <v>41575</v>
      </c>
      <c r="F1859" t="str">
        <f>"9783527670802"</f>
        <v>9783527670802</v>
      </c>
      <c r="G1859" t="str">
        <f>"9783527334636"</f>
        <v>9783527334636</v>
      </c>
      <c r="H1859" t="s">
        <v>639</v>
      </c>
      <c r="K1859" t="s">
        <v>44</v>
      </c>
      <c r="N1859" t="s">
        <v>45</v>
      </c>
      <c r="O1859" t="s">
        <v>46</v>
      </c>
      <c r="P1859" t="s">
        <v>45</v>
      </c>
      <c r="Q1859" t="s">
        <v>47</v>
      </c>
      <c r="R1859" t="s">
        <v>44</v>
      </c>
      <c r="S1859">
        <v>0</v>
      </c>
      <c r="W1859" s="3">
        <v>3.3564814814814811E-3</v>
      </c>
      <c r="X1859" t="s">
        <v>4104</v>
      </c>
      <c r="Y1859">
        <v>12</v>
      </c>
      <c r="Z1859">
        <v>3</v>
      </c>
      <c r="AA1859" t="s">
        <v>4105</v>
      </c>
      <c r="AB1859">
        <v>127</v>
      </c>
      <c r="AC1859" t="s">
        <v>49</v>
      </c>
      <c r="AD1859">
        <v>0</v>
      </c>
      <c r="AE1859">
        <v>-1</v>
      </c>
      <c r="AF1859" t="s">
        <v>63</v>
      </c>
      <c r="AG1859" t="s">
        <v>1536</v>
      </c>
    </row>
    <row r="1860" spans="1:33" x14ac:dyDescent="0.35">
      <c r="A1860" s="1">
        <v>44856.806250000001</v>
      </c>
      <c r="B1860">
        <v>6420775</v>
      </c>
      <c r="C1860" t="s">
        <v>236</v>
      </c>
      <c r="D1860" t="s">
        <v>213</v>
      </c>
      <c r="E1860" s="2">
        <v>44147</v>
      </c>
      <c r="F1860" t="str">
        <f>"9780128243619"</f>
        <v>9780128243619</v>
      </c>
      <c r="G1860" t="str">
        <f>"9780128243602"</f>
        <v>9780128243602</v>
      </c>
      <c r="H1860" t="s">
        <v>237</v>
      </c>
      <c r="I1860">
        <v>551.70100000000002</v>
      </c>
      <c r="J1860" t="s">
        <v>238</v>
      </c>
      <c r="K1860" t="s">
        <v>55</v>
      </c>
      <c r="N1860" t="s">
        <v>79</v>
      </c>
      <c r="P1860" t="s">
        <v>80</v>
      </c>
      <c r="Q1860" t="s">
        <v>47</v>
      </c>
      <c r="R1860" t="s">
        <v>44</v>
      </c>
      <c r="S1860">
        <v>0</v>
      </c>
      <c r="W1860" s="3">
        <v>2.0370370370370373E-3</v>
      </c>
      <c r="X1860" t="s">
        <v>4106</v>
      </c>
      <c r="Y1860">
        <v>17</v>
      </c>
      <c r="Z1860">
        <v>0</v>
      </c>
      <c r="AA1860" t="s">
        <v>49</v>
      </c>
      <c r="AB1860">
        <v>0</v>
      </c>
      <c r="AC1860" t="s">
        <v>49</v>
      </c>
      <c r="AD1860">
        <v>0</v>
      </c>
      <c r="AE1860">
        <v>-1</v>
      </c>
      <c r="AF1860" t="s">
        <v>50</v>
      </c>
      <c r="AG1860" t="s">
        <v>1536</v>
      </c>
    </row>
    <row r="1861" spans="1:33" x14ac:dyDescent="0.35">
      <c r="A1861" s="1">
        <v>44856.625</v>
      </c>
      <c r="B1861">
        <v>1643810</v>
      </c>
      <c r="C1861" t="s">
        <v>3487</v>
      </c>
      <c r="D1861" t="s">
        <v>59</v>
      </c>
      <c r="E1861" s="2">
        <v>41743</v>
      </c>
      <c r="F1861" t="str">
        <f>"9781118653890"</f>
        <v>9781118653890</v>
      </c>
      <c r="G1861" t="str">
        <f>"9781119968603"</f>
        <v>9781119968603</v>
      </c>
      <c r="H1861" t="s">
        <v>151</v>
      </c>
      <c r="I1861">
        <v>616.85220000000004</v>
      </c>
      <c r="J1861" t="s">
        <v>3488</v>
      </c>
      <c r="K1861" t="s">
        <v>44</v>
      </c>
      <c r="N1861" t="s">
        <v>45</v>
      </c>
      <c r="O1861" t="s">
        <v>46</v>
      </c>
      <c r="P1861" t="s">
        <v>45</v>
      </c>
      <c r="Q1861" t="s">
        <v>47</v>
      </c>
      <c r="R1861" t="s">
        <v>44</v>
      </c>
      <c r="S1861">
        <v>0</v>
      </c>
      <c r="W1861" s="3">
        <v>1.1111111111111111E-3</v>
      </c>
      <c r="X1861" t="s">
        <v>4107</v>
      </c>
      <c r="Y1861">
        <v>12</v>
      </c>
      <c r="Z1861">
        <v>0</v>
      </c>
      <c r="AA1861" t="s">
        <v>49</v>
      </c>
      <c r="AB1861">
        <v>0</v>
      </c>
      <c r="AC1861" t="s">
        <v>4108</v>
      </c>
      <c r="AD1861">
        <v>1</v>
      </c>
      <c r="AE1861">
        <v>10856787</v>
      </c>
      <c r="AF1861" t="s">
        <v>50</v>
      </c>
      <c r="AG1861" t="s">
        <v>300</v>
      </c>
    </row>
    <row r="1862" spans="1:33" x14ac:dyDescent="0.35">
      <c r="A1862" s="1">
        <v>44856.613888888889</v>
      </c>
      <c r="B1862">
        <v>279494</v>
      </c>
      <c r="C1862" t="s">
        <v>1333</v>
      </c>
      <c r="D1862" t="s">
        <v>125</v>
      </c>
      <c r="E1862" s="2">
        <v>37280</v>
      </c>
      <c r="F1862" t="str">
        <f>"9780198032953"</f>
        <v>9780198032953</v>
      </c>
      <c r="G1862" t="str">
        <f>"9780195144208"</f>
        <v>9780195144208</v>
      </c>
      <c r="H1862" t="s">
        <v>667</v>
      </c>
      <c r="I1862" t="s">
        <v>1334</v>
      </c>
      <c r="J1862" t="s">
        <v>1335</v>
      </c>
      <c r="K1862" t="s">
        <v>44</v>
      </c>
      <c r="N1862" t="s">
        <v>45</v>
      </c>
      <c r="O1862" t="s">
        <v>46</v>
      </c>
      <c r="P1862" t="s">
        <v>45</v>
      </c>
      <c r="Q1862" t="s">
        <v>47</v>
      </c>
      <c r="R1862" t="s">
        <v>44</v>
      </c>
      <c r="S1862">
        <v>0</v>
      </c>
      <c r="W1862" s="3">
        <v>7.6932870370370374E-2</v>
      </c>
      <c r="X1862" t="s">
        <v>4109</v>
      </c>
      <c r="Y1862">
        <v>46</v>
      </c>
      <c r="Z1862">
        <v>0</v>
      </c>
      <c r="AA1862" t="s">
        <v>49</v>
      </c>
      <c r="AB1862">
        <v>0</v>
      </c>
      <c r="AC1862" t="s">
        <v>49</v>
      </c>
      <c r="AD1862">
        <v>0</v>
      </c>
      <c r="AE1862">
        <v>11303309</v>
      </c>
      <c r="AF1862" t="s">
        <v>50</v>
      </c>
      <c r="AG1862" t="s">
        <v>866</v>
      </c>
    </row>
    <row r="1863" spans="1:33" x14ac:dyDescent="0.35">
      <c r="A1863" s="1">
        <v>44856.505555555559</v>
      </c>
      <c r="B1863">
        <v>1014261</v>
      </c>
      <c r="C1863" t="s">
        <v>4110</v>
      </c>
      <c r="D1863" t="s">
        <v>329</v>
      </c>
      <c r="E1863" s="2">
        <v>41177</v>
      </c>
      <c r="F1863" t="str">
        <f>"9781455730032"</f>
        <v>9781455730032</v>
      </c>
      <c r="G1863" t="str">
        <f>"9781455728343"</f>
        <v>9781455728343</v>
      </c>
      <c r="H1863" t="s">
        <v>1112</v>
      </c>
      <c r="I1863">
        <v>668.9</v>
      </c>
      <c r="J1863" t="s">
        <v>4111</v>
      </c>
      <c r="K1863" t="s">
        <v>44</v>
      </c>
      <c r="N1863" t="s">
        <v>45</v>
      </c>
      <c r="O1863" t="s">
        <v>46</v>
      </c>
      <c r="P1863" t="s">
        <v>45</v>
      </c>
      <c r="Q1863" t="s">
        <v>47</v>
      </c>
      <c r="R1863" t="s">
        <v>44</v>
      </c>
      <c r="S1863">
        <v>0</v>
      </c>
      <c r="W1863" s="3">
        <v>1.3472222222222221E-2</v>
      </c>
      <c r="X1863" t="s">
        <v>4112</v>
      </c>
      <c r="Y1863">
        <v>12</v>
      </c>
      <c r="Z1863">
        <v>0</v>
      </c>
      <c r="AA1863" t="s">
        <v>49</v>
      </c>
      <c r="AB1863">
        <v>0</v>
      </c>
      <c r="AC1863" t="s">
        <v>49</v>
      </c>
      <c r="AD1863">
        <v>0</v>
      </c>
      <c r="AE1863">
        <v>10595530</v>
      </c>
      <c r="AF1863" t="s">
        <v>50</v>
      </c>
      <c r="AG1863" t="s">
        <v>866</v>
      </c>
    </row>
    <row r="1864" spans="1:33" x14ac:dyDescent="0.35">
      <c r="A1864" s="1">
        <v>44856.395138888889</v>
      </c>
      <c r="B1864">
        <v>564422</v>
      </c>
      <c r="C1864" t="s">
        <v>4113</v>
      </c>
      <c r="D1864" t="s">
        <v>502</v>
      </c>
      <c r="E1864" s="2">
        <v>40430</v>
      </c>
      <c r="F1864" t="str">
        <f>"9780511799129"</f>
        <v>9780511799129</v>
      </c>
      <c r="G1864" t="str">
        <f>"9780521884426"</f>
        <v>9780521884426</v>
      </c>
      <c r="H1864" t="s">
        <v>3944</v>
      </c>
      <c r="I1864" t="s">
        <v>4114</v>
      </c>
      <c r="J1864" t="s">
        <v>4115</v>
      </c>
      <c r="K1864" t="s">
        <v>44</v>
      </c>
      <c r="N1864" t="s">
        <v>45</v>
      </c>
      <c r="O1864" t="s">
        <v>46</v>
      </c>
      <c r="P1864" t="s">
        <v>45</v>
      </c>
      <c r="Q1864" t="s">
        <v>47</v>
      </c>
      <c r="R1864" t="s">
        <v>44</v>
      </c>
      <c r="S1864">
        <v>1</v>
      </c>
      <c r="W1864" s="3">
        <v>7.175925925925927E-4</v>
      </c>
      <c r="X1864" t="s">
        <v>4116</v>
      </c>
      <c r="Y1864">
        <v>6</v>
      </c>
      <c r="Z1864">
        <v>0</v>
      </c>
      <c r="AA1864" t="s">
        <v>49</v>
      </c>
      <c r="AB1864">
        <v>0</v>
      </c>
      <c r="AC1864" t="s">
        <v>49</v>
      </c>
      <c r="AD1864">
        <v>0</v>
      </c>
      <c r="AE1864">
        <v>10412955</v>
      </c>
      <c r="AF1864" t="s">
        <v>63</v>
      </c>
      <c r="AG1864" t="s">
        <v>1536</v>
      </c>
    </row>
    <row r="1865" spans="1:33" x14ac:dyDescent="0.35">
      <c r="A1865" s="1">
        <v>44855.73333333333</v>
      </c>
      <c r="B1865">
        <v>279494</v>
      </c>
      <c r="C1865" t="s">
        <v>1333</v>
      </c>
      <c r="D1865" t="s">
        <v>125</v>
      </c>
      <c r="E1865" s="2">
        <v>37280</v>
      </c>
      <c r="F1865" t="str">
        <f>"9780198032953"</f>
        <v>9780198032953</v>
      </c>
      <c r="G1865" t="str">
        <f>"9780195144208"</f>
        <v>9780195144208</v>
      </c>
      <c r="H1865" t="s">
        <v>667</v>
      </c>
      <c r="I1865" t="s">
        <v>1334</v>
      </c>
      <c r="J1865" t="s">
        <v>1335</v>
      </c>
      <c r="K1865" t="s">
        <v>44</v>
      </c>
      <c r="N1865" t="s">
        <v>45</v>
      </c>
      <c r="O1865" t="s">
        <v>46</v>
      </c>
      <c r="P1865" t="s">
        <v>45</v>
      </c>
      <c r="Q1865" t="s">
        <v>47</v>
      </c>
      <c r="R1865" t="s">
        <v>44</v>
      </c>
      <c r="S1865">
        <v>0</v>
      </c>
      <c r="W1865" s="3">
        <v>4.5138888888888892E-4</v>
      </c>
      <c r="X1865" t="s">
        <v>4117</v>
      </c>
      <c r="Y1865">
        <v>7</v>
      </c>
      <c r="Z1865">
        <v>0</v>
      </c>
      <c r="AA1865" t="s">
        <v>49</v>
      </c>
      <c r="AB1865">
        <v>0</v>
      </c>
      <c r="AC1865" t="s">
        <v>49</v>
      </c>
      <c r="AD1865">
        <v>0</v>
      </c>
      <c r="AE1865">
        <v>11303309</v>
      </c>
      <c r="AF1865" t="s">
        <v>50</v>
      </c>
      <c r="AG1865" t="s">
        <v>1309</v>
      </c>
    </row>
    <row r="1866" spans="1:33" x14ac:dyDescent="0.35">
      <c r="A1866" s="1">
        <v>44855.727777777778</v>
      </c>
      <c r="B1866">
        <v>5538949</v>
      </c>
      <c r="C1866" t="s">
        <v>4118</v>
      </c>
      <c r="D1866" t="s">
        <v>76</v>
      </c>
      <c r="E1866" s="2">
        <v>43377</v>
      </c>
      <c r="F1866" t="str">
        <f>"9780429766763"</f>
        <v>9780429766763</v>
      </c>
      <c r="G1866" t="str">
        <f>"9781138369887"</f>
        <v>9781138369887</v>
      </c>
      <c r="H1866" t="s">
        <v>538</v>
      </c>
      <c r="I1866" t="s">
        <v>4119</v>
      </c>
      <c r="J1866" t="s">
        <v>4120</v>
      </c>
      <c r="K1866" t="s">
        <v>55</v>
      </c>
      <c r="Q1866" t="s">
        <v>47</v>
      </c>
      <c r="R1866" t="s">
        <v>44</v>
      </c>
      <c r="S1866">
        <v>0</v>
      </c>
      <c r="W1866" s="3">
        <v>4.6296296296296294E-5</v>
      </c>
      <c r="X1866" t="s">
        <v>3020</v>
      </c>
      <c r="Y1866">
        <v>1</v>
      </c>
      <c r="Z1866">
        <v>0</v>
      </c>
      <c r="AA1866" t="s">
        <v>49</v>
      </c>
      <c r="AB1866">
        <v>0</v>
      </c>
      <c r="AC1866" t="s">
        <v>49</v>
      </c>
      <c r="AD1866">
        <v>0</v>
      </c>
      <c r="AE1866">
        <v>11617824</v>
      </c>
      <c r="AF1866" t="s">
        <v>50</v>
      </c>
      <c r="AG1866" t="s">
        <v>1536</v>
      </c>
    </row>
    <row r="1867" spans="1:33" x14ac:dyDescent="0.35">
      <c r="A1867" s="1">
        <v>44855.726388888892</v>
      </c>
      <c r="B1867">
        <v>6357206</v>
      </c>
      <c r="C1867" t="s">
        <v>4121</v>
      </c>
      <c r="D1867" t="s">
        <v>2193</v>
      </c>
      <c r="E1867" s="2">
        <v>44110</v>
      </c>
      <c r="F1867" t="str">
        <f>"9781440857355"</f>
        <v>9781440857355</v>
      </c>
      <c r="G1867" t="str">
        <f>"9781440857348"</f>
        <v>9781440857348</v>
      </c>
      <c r="H1867" t="s">
        <v>1046</v>
      </c>
      <c r="I1867">
        <v>364.16800000000001</v>
      </c>
      <c r="J1867" t="s">
        <v>4122</v>
      </c>
      <c r="K1867" t="s">
        <v>55</v>
      </c>
      <c r="Q1867" t="s">
        <v>47</v>
      </c>
      <c r="R1867" t="s">
        <v>44</v>
      </c>
      <c r="S1867">
        <v>0</v>
      </c>
      <c r="W1867" s="3">
        <v>5.7870370370370366E-5</v>
      </c>
      <c r="X1867" t="s">
        <v>4123</v>
      </c>
      <c r="Y1867">
        <v>1</v>
      </c>
      <c r="Z1867">
        <v>0</v>
      </c>
      <c r="AA1867" t="s">
        <v>49</v>
      </c>
      <c r="AB1867">
        <v>0</v>
      </c>
      <c r="AC1867" t="s">
        <v>49</v>
      </c>
      <c r="AD1867">
        <v>0</v>
      </c>
      <c r="AE1867">
        <v>-1</v>
      </c>
      <c r="AF1867" t="s">
        <v>50</v>
      </c>
      <c r="AG1867" t="s">
        <v>1536</v>
      </c>
    </row>
    <row r="1868" spans="1:33" x14ac:dyDescent="0.35">
      <c r="A1868" s="1">
        <v>44855.726388888892</v>
      </c>
      <c r="B1868">
        <v>5538949</v>
      </c>
      <c r="C1868" t="s">
        <v>4118</v>
      </c>
      <c r="D1868" t="s">
        <v>76</v>
      </c>
      <c r="E1868" s="2">
        <v>43377</v>
      </c>
      <c r="F1868" t="str">
        <f>"9780429766763"</f>
        <v>9780429766763</v>
      </c>
      <c r="G1868" t="str">
        <f>"9781138369887"</f>
        <v>9781138369887</v>
      </c>
      <c r="H1868" t="s">
        <v>538</v>
      </c>
      <c r="I1868" t="s">
        <v>4119</v>
      </c>
      <c r="J1868" t="s">
        <v>4120</v>
      </c>
      <c r="K1868" t="s">
        <v>55</v>
      </c>
      <c r="Q1868" t="s">
        <v>47</v>
      </c>
      <c r="R1868" t="s">
        <v>44</v>
      </c>
      <c r="S1868">
        <v>0</v>
      </c>
      <c r="W1868" s="3">
        <v>1.0069444444444444E-3</v>
      </c>
      <c r="X1868" t="s">
        <v>4124</v>
      </c>
      <c r="Y1868">
        <v>3</v>
      </c>
      <c r="Z1868">
        <v>0</v>
      </c>
      <c r="AA1868" t="s">
        <v>49</v>
      </c>
      <c r="AB1868">
        <v>0</v>
      </c>
      <c r="AC1868" t="s">
        <v>49</v>
      </c>
      <c r="AD1868">
        <v>0</v>
      </c>
      <c r="AE1868">
        <v>11617824</v>
      </c>
      <c r="AF1868" t="s">
        <v>63</v>
      </c>
      <c r="AG1868" t="s">
        <v>1536</v>
      </c>
    </row>
    <row r="1869" spans="1:33" x14ac:dyDescent="0.35">
      <c r="A1869" s="1">
        <v>44855.681944444441</v>
      </c>
      <c r="B1869">
        <v>817383</v>
      </c>
      <c r="C1869" t="s">
        <v>3756</v>
      </c>
      <c r="D1869" t="s">
        <v>59</v>
      </c>
      <c r="E1869" s="2">
        <v>40967</v>
      </c>
      <c r="F1869" t="str">
        <f>"9781118159828"</f>
        <v>9781118159828</v>
      </c>
      <c r="G1869" t="str">
        <f>"9780470889084"</f>
        <v>9780470889084</v>
      </c>
      <c r="H1869" t="s">
        <v>252</v>
      </c>
      <c r="I1869" t="s">
        <v>3757</v>
      </c>
      <c r="J1869" t="s">
        <v>3758</v>
      </c>
      <c r="K1869" t="s">
        <v>44</v>
      </c>
      <c r="N1869" t="s">
        <v>45</v>
      </c>
      <c r="O1869" t="s">
        <v>46</v>
      </c>
      <c r="P1869" t="s">
        <v>45</v>
      </c>
      <c r="Q1869" t="s">
        <v>47</v>
      </c>
      <c r="R1869" t="s">
        <v>44</v>
      </c>
      <c r="S1869">
        <v>0</v>
      </c>
      <c r="W1869" s="3">
        <v>1.2268518518518518E-3</v>
      </c>
      <c r="X1869" t="s">
        <v>4125</v>
      </c>
      <c r="Y1869">
        <v>24</v>
      </c>
      <c r="Z1869">
        <v>0</v>
      </c>
      <c r="AA1869" t="s">
        <v>49</v>
      </c>
      <c r="AB1869">
        <v>0</v>
      </c>
      <c r="AC1869" t="s">
        <v>49</v>
      </c>
      <c r="AD1869">
        <v>0</v>
      </c>
      <c r="AE1869">
        <v>10529338</v>
      </c>
      <c r="AF1869" t="s">
        <v>50</v>
      </c>
      <c r="AG1869" t="s">
        <v>3836</v>
      </c>
    </row>
    <row r="1870" spans="1:33" x14ac:dyDescent="0.35">
      <c r="A1870" s="1">
        <v>44855.643055555556</v>
      </c>
      <c r="B1870">
        <v>6648066</v>
      </c>
      <c r="C1870" t="s">
        <v>4126</v>
      </c>
      <c r="D1870" t="s">
        <v>76</v>
      </c>
      <c r="E1870" s="2">
        <v>44378</v>
      </c>
      <c r="F1870" t="str">
        <f>"9781000410693"</f>
        <v>9781000410693</v>
      </c>
      <c r="G1870" t="str">
        <f>"9780367565534"</f>
        <v>9780367565534</v>
      </c>
      <c r="H1870" t="s">
        <v>90</v>
      </c>
      <c r="I1870">
        <v>370.1</v>
      </c>
      <c r="J1870" t="s">
        <v>4127</v>
      </c>
      <c r="K1870" t="s">
        <v>55</v>
      </c>
      <c r="N1870" t="s">
        <v>293</v>
      </c>
      <c r="P1870" t="s">
        <v>80</v>
      </c>
      <c r="Q1870" t="s">
        <v>47</v>
      </c>
      <c r="R1870" t="s">
        <v>44</v>
      </c>
      <c r="S1870">
        <v>0</v>
      </c>
      <c r="W1870" s="3">
        <v>2.0243055555555552E-2</v>
      </c>
      <c r="X1870" t="s">
        <v>4128</v>
      </c>
      <c r="Y1870">
        <v>22</v>
      </c>
      <c r="Z1870">
        <v>0</v>
      </c>
      <c r="AA1870" t="s">
        <v>49</v>
      </c>
      <c r="AB1870">
        <v>0</v>
      </c>
      <c r="AC1870" t="s">
        <v>49</v>
      </c>
      <c r="AD1870">
        <v>0</v>
      </c>
      <c r="AE1870">
        <v>-1</v>
      </c>
      <c r="AF1870" t="s">
        <v>50</v>
      </c>
      <c r="AG1870" t="s">
        <v>1536</v>
      </c>
    </row>
    <row r="1871" spans="1:33" x14ac:dyDescent="0.35">
      <c r="A1871" s="1">
        <v>44855.549305555556</v>
      </c>
      <c r="B1871">
        <v>279494</v>
      </c>
      <c r="C1871" t="s">
        <v>1333</v>
      </c>
      <c r="D1871" t="s">
        <v>125</v>
      </c>
      <c r="E1871" s="2">
        <v>37280</v>
      </c>
      <c r="F1871" t="str">
        <f>"9780198032953"</f>
        <v>9780198032953</v>
      </c>
      <c r="G1871" t="str">
        <f>"9780195144208"</f>
        <v>9780195144208</v>
      </c>
      <c r="H1871" t="s">
        <v>667</v>
      </c>
      <c r="I1871" t="s">
        <v>1334</v>
      </c>
      <c r="J1871" t="s">
        <v>1335</v>
      </c>
      <c r="K1871" t="s">
        <v>44</v>
      </c>
      <c r="N1871" t="s">
        <v>45</v>
      </c>
      <c r="O1871" t="s">
        <v>46</v>
      </c>
      <c r="P1871" t="s">
        <v>45</v>
      </c>
      <c r="Q1871" t="s">
        <v>47</v>
      </c>
      <c r="R1871" t="s">
        <v>44</v>
      </c>
      <c r="S1871">
        <v>0</v>
      </c>
      <c r="W1871" s="3">
        <v>9.7337962962962977E-3</v>
      </c>
      <c r="X1871" t="s">
        <v>4129</v>
      </c>
      <c r="Y1871">
        <v>32</v>
      </c>
      <c r="Z1871">
        <v>0</v>
      </c>
      <c r="AA1871" t="s">
        <v>49</v>
      </c>
      <c r="AB1871">
        <v>0</v>
      </c>
      <c r="AC1871" t="s">
        <v>49</v>
      </c>
      <c r="AD1871">
        <v>0</v>
      </c>
      <c r="AE1871">
        <v>11303309</v>
      </c>
      <c r="AF1871" t="s">
        <v>63</v>
      </c>
      <c r="AG1871" t="s">
        <v>866</v>
      </c>
    </row>
    <row r="1872" spans="1:33" x14ac:dyDescent="0.35">
      <c r="A1872" s="1">
        <v>44855.510416666664</v>
      </c>
      <c r="B1872">
        <v>1343653</v>
      </c>
      <c r="C1872" t="s">
        <v>1030</v>
      </c>
      <c r="D1872" t="s">
        <v>141</v>
      </c>
      <c r="E1872" s="2">
        <v>41572</v>
      </c>
      <c r="F1872" t="str">
        <f>"9781782162155"</f>
        <v>9781782162155</v>
      </c>
      <c r="G1872" t="str">
        <f>"9781782162148"</f>
        <v>9781782162148</v>
      </c>
      <c r="H1872" t="s">
        <v>106</v>
      </c>
      <c r="I1872">
        <v>6.31</v>
      </c>
      <c r="J1872" t="s">
        <v>1031</v>
      </c>
      <c r="K1872" t="s">
        <v>44</v>
      </c>
      <c r="N1872" t="s">
        <v>45</v>
      </c>
      <c r="O1872" t="s">
        <v>46</v>
      </c>
      <c r="P1872" t="s">
        <v>177</v>
      </c>
      <c r="Q1872" t="s">
        <v>47</v>
      </c>
      <c r="R1872" t="s">
        <v>55</v>
      </c>
      <c r="S1872">
        <v>0</v>
      </c>
      <c r="W1872" s="3">
        <v>1.9675925925925928E-3</v>
      </c>
      <c r="X1872" t="s">
        <v>4130</v>
      </c>
      <c r="Y1872">
        <v>13</v>
      </c>
      <c r="Z1872">
        <v>0</v>
      </c>
      <c r="AA1872" t="s">
        <v>49</v>
      </c>
      <c r="AB1872">
        <v>0</v>
      </c>
      <c r="AC1872" t="s">
        <v>49</v>
      </c>
      <c r="AD1872">
        <v>0</v>
      </c>
      <c r="AE1872">
        <v>10794279</v>
      </c>
      <c r="AF1872" t="s">
        <v>50</v>
      </c>
      <c r="AG1872" t="s">
        <v>1536</v>
      </c>
    </row>
    <row r="1873" spans="1:33" x14ac:dyDescent="0.35">
      <c r="A1873" s="1">
        <v>44855.49722222222</v>
      </c>
      <c r="B1873">
        <v>7103875</v>
      </c>
      <c r="C1873" t="s">
        <v>4131</v>
      </c>
      <c r="D1873" t="s">
        <v>59</v>
      </c>
      <c r="E1873" s="2">
        <v>41442</v>
      </c>
      <c r="F1873" t="str">
        <f>"9781118612507"</f>
        <v>9781118612507</v>
      </c>
      <c r="G1873" t="str">
        <f>"9780470536742"</f>
        <v>9780470536742</v>
      </c>
      <c r="H1873" t="s">
        <v>4132</v>
      </c>
      <c r="K1873" t="s">
        <v>44</v>
      </c>
      <c r="N1873" t="s">
        <v>45</v>
      </c>
      <c r="O1873" t="s">
        <v>46</v>
      </c>
      <c r="P1873" t="s">
        <v>45</v>
      </c>
      <c r="Q1873" t="s">
        <v>47</v>
      </c>
      <c r="R1873" t="s">
        <v>44</v>
      </c>
      <c r="S1873">
        <v>0</v>
      </c>
      <c r="W1873" s="3">
        <v>4.31712962962963E-3</v>
      </c>
      <c r="X1873" t="s">
        <v>4133</v>
      </c>
      <c r="Y1873">
        <v>10</v>
      </c>
      <c r="Z1873">
        <v>0</v>
      </c>
      <c r="AA1873" t="s">
        <v>49</v>
      </c>
      <c r="AB1873">
        <v>0</v>
      </c>
      <c r="AC1873" t="s">
        <v>49</v>
      </c>
      <c r="AD1873">
        <v>0</v>
      </c>
      <c r="AE1873">
        <v>-1</v>
      </c>
      <c r="AF1873" t="s">
        <v>50</v>
      </c>
      <c r="AG1873" t="s">
        <v>4134</v>
      </c>
    </row>
    <row r="1874" spans="1:33" x14ac:dyDescent="0.35">
      <c r="A1874" s="1">
        <v>44855.488194444442</v>
      </c>
      <c r="B1874">
        <v>1477522</v>
      </c>
      <c r="C1874" t="s">
        <v>3625</v>
      </c>
      <c r="D1874" t="s">
        <v>2022</v>
      </c>
      <c r="E1874" s="2">
        <v>41542</v>
      </c>
      <c r="F1874" t="str">
        <f>"9781443852760"</f>
        <v>9781443852760</v>
      </c>
      <c r="G1874" t="str">
        <f>"9781443848275"</f>
        <v>9781443848275</v>
      </c>
      <c r="H1874" t="s">
        <v>474</v>
      </c>
      <c r="I1874">
        <v>197</v>
      </c>
      <c r="J1874" t="s">
        <v>3626</v>
      </c>
      <c r="K1874" t="s">
        <v>44</v>
      </c>
      <c r="N1874" t="s">
        <v>45</v>
      </c>
      <c r="O1874" t="s">
        <v>46</v>
      </c>
      <c r="P1874" t="s">
        <v>45</v>
      </c>
      <c r="Q1874" t="s">
        <v>47</v>
      </c>
      <c r="R1874" t="s">
        <v>44</v>
      </c>
      <c r="S1874">
        <v>1</v>
      </c>
      <c r="W1874" s="3">
        <v>5.3240740740740744E-4</v>
      </c>
      <c r="X1874" t="s">
        <v>4135</v>
      </c>
      <c r="Y1874">
        <v>4</v>
      </c>
      <c r="Z1874">
        <v>0</v>
      </c>
      <c r="AA1874" t="s">
        <v>49</v>
      </c>
      <c r="AB1874">
        <v>0</v>
      </c>
      <c r="AC1874" t="s">
        <v>49</v>
      </c>
      <c r="AD1874">
        <v>0</v>
      </c>
      <c r="AE1874">
        <v>10778085</v>
      </c>
      <c r="AF1874" t="s">
        <v>63</v>
      </c>
      <c r="AG1874" t="s">
        <v>1536</v>
      </c>
    </row>
    <row r="1875" spans="1:33" x14ac:dyDescent="0.35">
      <c r="A1875" s="1">
        <v>44855.445833333331</v>
      </c>
      <c r="B1875">
        <v>4512051</v>
      </c>
      <c r="C1875" t="s">
        <v>4136</v>
      </c>
      <c r="D1875" t="s">
        <v>497</v>
      </c>
      <c r="E1875" s="2">
        <v>42551</v>
      </c>
      <c r="F1875" t="str">
        <f>"9781474237536"</f>
        <v>9781474237536</v>
      </c>
      <c r="G1875" t="str">
        <f>"9781474237543"</f>
        <v>9781474237543</v>
      </c>
      <c r="H1875" t="s">
        <v>2717</v>
      </c>
      <c r="I1875">
        <v>1.3</v>
      </c>
      <c r="J1875" t="s">
        <v>4137</v>
      </c>
      <c r="K1875" t="s">
        <v>44</v>
      </c>
      <c r="N1875" t="s">
        <v>45</v>
      </c>
      <c r="O1875" t="s">
        <v>46</v>
      </c>
      <c r="P1875" t="s">
        <v>45</v>
      </c>
      <c r="Q1875" t="s">
        <v>47</v>
      </c>
      <c r="R1875" t="s">
        <v>44</v>
      </c>
      <c r="S1875">
        <v>0</v>
      </c>
      <c r="W1875" s="3">
        <v>4.8611111111111104E-4</v>
      </c>
      <c r="X1875" t="s">
        <v>4138</v>
      </c>
      <c r="Y1875">
        <v>4</v>
      </c>
      <c r="Z1875">
        <v>0</v>
      </c>
      <c r="AA1875" t="s">
        <v>49</v>
      </c>
      <c r="AB1875">
        <v>0</v>
      </c>
      <c r="AC1875" t="s">
        <v>49</v>
      </c>
      <c r="AD1875">
        <v>0</v>
      </c>
      <c r="AE1875">
        <v>11208011</v>
      </c>
      <c r="AF1875" t="s">
        <v>50</v>
      </c>
      <c r="AG1875" t="s">
        <v>1536</v>
      </c>
    </row>
    <row r="1876" spans="1:33" x14ac:dyDescent="0.35">
      <c r="A1876" s="1">
        <v>44855.429861111108</v>
      </c>
      <c r="B1876">
        <v>3339517</v>
      </c>
      <c r="C1876" t="s">
        <v>2222</v>
      </c>
      <c r="D1876" t="s">
        <v>303</v>
      </c>
      <c r="E1876" s="2">
        <v>41180</v>
      </c>
      <c r="F1876" t="str">
        <f>"9780262305563"</f>
        <v>9780262305563</v>
      </c>
      <c r="G1876" t="str">
        <f>"9780262017473"</f>
        <v>9780262017473</v>
      </c>
      <c r="H1876" t="s">
        <v>2223</v>
      </c>
      <c r="I1876" t="s">
        <v>2224</v>
      </c>
      <c r="J1876" t="s">
        <v>2225</v>
      </c>
      <c r="K1876" t="s">
        <v>44</v>
      </c>
      <c r="N1876" t="s">
        <v>45</v>
      </c>
      <c r="O1876" t="s">
        <v>46</v>
      </c>
      <c r="P1876" t="s">
        <v>45</v>
      </c>
      <c r="Q1876" t="s">
        <v>47</v>
      </c>
      <c r="R1876" t="s">
        <v>44</v>
      </c>
      <c r="S1876">
        <v>1</v>
      </c>
      <c r="W1876" s="3">
        <v>0</v>
      </c>
      <c r="X1876" t="s">
        <v>49</v>
      </c>
      <c r="Y1876">
        <v>0</v>
      </c>
      <c r="Z1876">
        <v>0</v>
      </c>
      <c r="AA1876" t="s">
        <v>49</v>
      </c>
      <c r="AB1876">
        <v>0</v>
      </c>
      <c r="AC1876" t="s">
        <v>49</v>
      </c>
      <c r="AD1876">
        <v>0</v>
      </c>
      <c r="AE1876">
        <v>10608196</v>
      </c>
      <c r="AF1876" t="s">
        <v>63</v>
      </c>
      <c r="AG1876" t="s">
        <v>1536</v>
      </c>
    </row>
    <row r="1877" spans="1:33" x14ac:dyDescent="0.35">
      <c r="A1877" s="1">
        <v>44855.417361111111</v>
      </c>
      <c r="B1877">
        <v>5628749</v>
      </c>
      <c r="C1877" t="s">
        <v>4139</v>
      </c>
      <c r="D1877" t="s">
        <v>65</v>
      </c>
      <c r="E1877" s="2">
        <v>43474</v>
      </c>
      <c r="F1877" t="str">
        <f>"9780128117507"</f>
        <v>9780128117507</v>
      </c>
      <c r="G1877" t="str">
        <f>"9780128117491"</f>
        <v>9780128117491</v>
      </c>
      <c r="H1877" t="s">
        <v>84</v>
      </c>
      <c r="I1877">
        <v>690.02859999999998</v>
      </c>
      <c r="J1877" t="s">
        <v>4140</v>
      </c>
      <c r="K1877" t="s">
        <v>55</v>
      </c>
      <c r="Q1877" t="s">
        <v>47</v>
      </c>
      <c r="R1877" t="s">
        <v>44</v>
      </c>
      <c r="S1877">
        <v>0</v>
      </c>
      <c r="W1877" s="3">
        <v>4.5138888888888892E-4</v>
      </c>
      <c r="X1877" t="s">
        <v>4141</v>
      </c>
      <c r="Y1877">
        <v>4</v>
      </c>
      <c r="Z1877">
        <v>0</v>
      </c>
      <c r="AA1877" t="s">
        <v>49</v>
      </c>
      <c r="AB1877">
        <v>0</v>
      </c>
      <c r="AC1877" t="s">
        <v>49</v>
      </c>
      <c r="AD1877">
        <v>0</v>
      </c>
      <c r="AE1877">
        <v>-1</v>
      </c>
      <c r="AF1877" t="s">
        <v>50</v>
      </c>
      <c r="AG1877" t="s">
        <v>3936</v>
      </c>
    </row>
    <row r="1878" spans="1:33" x14ac:dyDescent="0.35">
      <c r="A1878" s="1">
        <v>44855.018750000003</v>
      </c>
      <c r="B1878">
        <v>279494</v>
      </c>
      <c r="C1878" t="s">
        <v>1333</v>
      </c>
      <c r="D1878" t="s">
        <v>125</v>
      </c>
      <c r="E1878" s="2">
        <v>37280</v>
      </c>
      <c r="F1878" t="str">
        <f>"9780198032953"</f>
        <v>9780198032953</v>
      </c>
      <c r="G1878" t="str">
        <f>"9780195144208"</f>
        <v>9780195144208</v>
      </c>
      <c r="H1878" t="s">
        <v>667</v>
      </c>
      <c r="I1878" t="s">
        <v>1334</v>
      </c>
      <c r="J1878" t="s">
        <v>1335</v>
      </c>
      <c r="K1878" t="s">
        <v>44</v>
      </c>
      <c r="N1878" t="s">
        <v>45</v>
      </c>
      <c r="O1878" t="s">
        <v>46</v>
      </c>
      <c r="P1878" t="s">
        <v>45</v>
      </c>
      <c r="Q1878" t="s">
        <v>47</v>
      </c>
      <c r="R1878" t="s">
        <v>44</v>
      </c>
      <c r="S1878">
        <v>0</v>
      </c>
      <c r="W1878" s="3">
        <v>9.4907407407407408E-4</v>
      </c>
      <c r="X1878" t="s">
        <v>4142</v>
      </c>
      <c r="Y1878">
        <v>3</v>
      </c>
      <c r="Z1878">
        <v>0</v>
      </c>
      <c r="AA1878" t="s">
        <v>49</v>
      </c>
      <c r="AB1878">
        <v>0</v>
      </c>
      <c r="AC1878" t="s">
        <v>49</v>
      </c>
      <c r="AD1878">
        <v>0</v>
      </c>
      <c r="AE1878">
        <v>11303309</v>
      </c>
      <c r="AF1878" t="s">
        <v>50</v>
      </c>
      <c r="AG1878" t="s">
        <v>118</v>
      </c>
    </row>
    <row r="1879" spans="1:33" x14ac:dyDescent="0.35">
      <c r="A1879" s="1">
        <v>44854.694444444445</v>
      </c>
      <c r="B1879">
        <v>279494</v>
      </c>
      <c r="C1879" t="s">
        <v>1333</v>
      </c>
      <c r="D1879" t="s">
        <v>125</v>
      </c>
      <c r="E1879" s="2">
        <v>37280</v>
      </c>
      <c r="F1879" t="str">
        <f>"9780198032953"</f>
        <v>9780198032953</v>
      </c>
      <c r="G1879" t="str">
        <f>"9780195144208"</f>
        <v>9780195144208</v>
      </c>
      <c r="H1879" t="s">
        <v>667</v>
      </c>
      <c r="I1879" t="s">
        <v>1334</v>
      </c>
      <c r="J1879" t="s">
        <v>1335</v>
      </c>
      <c r="K1879" t="s">
        <v>44</v>
      </c>
      <c r="N1879" t="s">
        <v>45</v>
      </c>
      <c r="O1879" t="s">
        <v>46</v>
      </c>
      <c r="P1879" t="s">
        <v>45</v>
      </c>
      <c r="Q1879" t="s">
        <v>47</v>
      </c>
      <c r="R1879" t="s">
        <v>44</v>
      </c>
      <c r="S1879">
        <v>0</v>
      </c>
      <c r="W1879" s="3">
        <v>3.2291666666666666E-3</v>
      </c>
      <c r="X1879" t="s">
        <v>4143</v>
      </c>
      <c r="Y1879">
        <v>9</v>
      </c>
      <c r="Z1879">
        <v>0</v>
      </c>
      <c r="AA1879" t="s">
        <v>49</v>
      </c>
      <c r="AB1879">
        <v>0</v>
      </c>
      <c r="AC1879" t="s">
        <v>49</v>
      </c>
      <c r="AD1879">
        <v>0</v>
      </c>
      <c r="AE1879">
        <v>11303309</v>
      </c>
      <c r="AF1879" t="s">
        <v>50</v>
      </c>
      <c r="AG1879" t="s">
        <v>118</v>
      </c>
    </row>
    <row r="1880" spans="1:33" x14ac:dyDescent="0.35">
      <c r="A1880" s="1">
        <v>44854.65902777778</v>
      </c>
      <c r="B1880">
        <v>3339517</v>
      </c>
      <c r="C1880" t="s">
        <v>2222</v>
      </c>
      <c r="D1880" t="s">
        <v>303</v>
      </c>
      <c r="E1880" s="2">
        <v>41180</v>
      </c>
      <c r="F1880" t="str">
        <f>"9780262305563"</f>
        <v>9780262305563</v>
      </c>
      <c r="G1880" t="str">
        <f>"9780262017473"</f>
        <v>9780262017473</v>
      </c>
      <c r="H1880" t="s">
        <v>2223</v>
      </c>
      <c r="I1880" t="s">
        <v>2224</v>
      </c>
      <c r="J1880" t="s">
        <v>2225</v>
      </c>
      <c r="K1880" t="s">
        <v>44</v>
      </c>
      <c r="N1880" t="s">
        <v>45</v>
      </c>
      <c r="O1880" t="s">
        <v>46</v>
      </c>
      <c r="P1880" t="s">
        <v>45</v>
      </c>
      <c r="Q1880" t="s">
        <v>47</v>
      </c>
      <c r="R1880" t="s">
        <v>44</v>
      </c>
      <c r="S1880">
        <v>0</v>
      </c>
      <c r="W1880" s="3">
        <v>3.0671296296296297E-3</v>
      </c>
      <c r="X1880" t="s">
        <v>4144</v>
      </c>
      <c r="Y1880">
        <v>13</v>
      </c>
      <c r="Z1880">
        <v>1</v>
      </c>
      <c r="AA1880" t="s">
        <v>942</v>
      </c>
      <c r="AB1880">
        <v>5</v>
      </c>
      <c r="AC1880" t="s">
        <v>49</v>
      </c>
      <c r="AD1880">
        <v>0</v>
      </c>
      <c r="AE1880">
        <v>10608196</v>
      </c>
      <c r="AF1880" t="s">
        <v>50</v>
      </c>
      <c r="AG1880" t="s">
        <v>3937</v>
      </c>
    </row>
    <row r="1881" spans="1:33" x14ac:dyDescent="0.35">
      <c r="A1881" s="1">
        <v>44854.606249999997</v>
      </c>
      <c r="B1881">
        <v>6509772</v>
      </c>
      <c r="C1881" t="s">
        <v>4145</v>
      </c>
      <c r="D1881" t="s">
        <v>65</v>
      </c>
      <c r="E1881" s="2">
        <v>44263</v>
      </c>
      <c r="F1881" t="str">
        <f>"9780323900140"</f>
        <v>9780323900140</v>
      </c>
      <c r="G1881" t="str">
        <f>"9780323850490"</f>
        <v>9780323850490</v>
      </c>
      <c r="H1881" t="s">
        <v>147</v>
      </c>
      <c r="I1881">
        <v>616.89139999999998</v>
      </c>
      <c r="J1881" t="s">
        <v>4146</v>
      </c>
      <c r="K1881" t="s">
        <v>55</v>
      </c>
      <c r="Q1881" t="s">
        <v>47</v>
      </c>
      <c r="R1881" t="s">
        <v>44</v>
      </c>
      <c r="S1881">
        <v>0</v>
      </c>
      <c r="W1881" s="3">
        <v>1.9675925925925926E-4</v>
      </c>
      <c r="X1881" t="s">
        <v>4147</v>
      </c>
      <c r="Y1881">
        <v>5</v>
      </c>
      <c r="Z1881">
        <v>0</v>
      </c>
      <c r="AA1881" t="s">
        <v>49</v>
      </c>
      <c r="AB1881">
        <v>0</v>
      </c>
      <c r="AC1881" t="s">
        <v>49</v>
      </c>
      <c r="AD1881">
        <v>0</v>
      </c>
      <c r="AE1881">
        <v>-1</v>
      </c>
      <c r="AF1881" t="s">
        <v>50</v>
      </c>
      <c r="AG1881" t="s">
        <v>1536</v>
      </c>
    </row>
    <row r="1882" spans="1:33" x14ac:dyDescent="0.35">
      <c r="A1882" s="1">
        <v>44854.605555555558</v>
      </c>
      <c r="B1882">
        <v>4183127</v>
      </c>
      <c r="C1882" t="s">
        <v>190</v>
      </c>
      <c r="D1882" t="s">
        <v>59</v>
      </c>
      <c r="E1882" s="2">
        <v>42310</v>
      </c>
      <c r="F1882" t="str">
        <f>"9783527684649"</f>
        <v>9783527684649</v>
      </c>
      <c r="G1882" t="str">
        <f>"9783527331659"</f>
        <v>9783527331659</v>
      </c>
      <c r="H1882" t="s">
        <v>191</v>
      </c>
      <c r="I1882" t="s">
        <v>192</v>
      </c>
      <c r="J1882" t="s">
        <v>193</v>
      </c>
      <c r="K1882" t="s">
        <v>44</v>
      </c>
      <c r="N1882" t="s">
        <v>45</v>
      </c>
      <c r="O1882" t="s">
        <v>46</v>
      </c>
      <c r="P1882" t="s">
        <v>45</v>
      </c>
      <c r="Q1882" t="s">
        <v>47</v>
      </c>
      <c r="R1882" t="s">
        <v>44</v>
      </c>
      <c r="S1882">
        <v>0</v>
      </c>
      <c r="W1882" s="3">
        <v>6.9444444444444444E-5</v>
      </c>
      <c r="X1882" t="s">
        <v>121</v>
      </c>
      <c r="Y1882">
        <v>1</v>
      </c>
      <c r="Z1882">
        <v>0</v>
      </c>
      <c r="AA1882" t="s">
        <v>49</v>
      </c>
      <c r="AB1882">
        <v>0</v>
      </c>
      <c r="AC1882" t="s">
        <v>49</v>
      </c>
      <c r="AD1882">
        <v>0</v>
      </c>
      <c r="AE1882">
        <v>11125579</v>
      </c>
      <c r="AF1882" t="s">
        <v>63</v>
      </c>
      <c r="AG1882" t="s">
        <v>1536</v>
      </c>
    </row>
    <row r="1883" spans="1:33" x14ac:dyDescent="0.35">
      <c r="A1883" s="1">
        <v>44854.424305555556</v>
      </c>
      <c r="B1883">
        <v>6370308</v>
      </c>
      <c r="C1883" t="s">
        <v>4148</v>
      </c>
      <c r="D1883" t="s">
        <v>4149</v>
      </c>
      <c r="E1883" s="2">
        <v>43726</v>
      </c>
      <c r="F1883" t="str">
        <f>"9781614587248"</f>
        <v>9781614587248</v>
      </c>
      <c r="G1883" t="str">
        <f>"9781683442066"</f>
        <v>9781683442066</v>
      </c>
      <c r="H1883" t="s">
        <v>1626</v>
      </c>
      <c r="I1883">
        <v>550</v>
      </c>
      <c r="J1883" t="s">
        <v>4150</v>
      </c>
      <c r="K1883" t="s">
        <v>55</v>
      </c>
      <c r="Q1883" t="s">
        <v>47</v>
      </c>
      <c r="R1883" t="s">
        <v>44</v>
      </c>
      <c r="S1883">
        <v>0</v>
      </c>
      <c r="W1883" s="3">
        <v>1.2731481481481483E-3</v>
      </c>
      <c r="X1883" t="s">
        <v>4151</v>
      </c>
      <c r="Y1883">
        <v>30</v>
      </c>
      <c r="Z1883">
        <v>0</v>
      </c>
      <c r="AA1883" t="s">
        <v>49</v>
      </c>
      <c r="AB1883">
        <v>0</v>
      </c>
      <c r="AC1883" t="s">
        <v>49</v>
      </c>
      <c r="AD1883">
        <v>0</v>
      </c>
      <c r="AE1883">
        <v>-1</v>
      </c>
      <c r="AF1883" t="s">
        <v>50</v>
      </c>
      <c r="AG1883" t="s">
        <v>1536</v>
      </c>
    </row>
    <row r="1884" spans="1:33" x14ac:dyDescent="0.35">
      <c r="A1884" s="1">
        <v>44854.397222222222</v>
      </c>
      <c r="B1884">
        <v>3338641</v>
      </c>
      <c r="C1884" t="s">
        <v>302</v>
      </c>
      <c r="D1884" t="s">
        <v>303</v>
      </c>
      <c r="E1884" s="2">
        <v>39143</v>
      </c>
      <c r="F1884" t="str">
        <f>"9780262282888"</f>
        <v>9780262282888</v>
      </c>
      <c r="G1884" t="str">
        <f>"9780262195577"</f>
        <v>9780262195577</v>
      </c>
      <c r="H1884" t="s">
        <v>304</v>
      </c>
      <c r="I1884" t="s">
        <v>305</v>
      </c>
      <c r="K1884" t="s">
        <v>44</v>
      </c>
      <c r="N1884" t="s">
        <v>45</v>
      </c>
      <c r="O1884" t="s">
        <v>46</v>
      </c>
      <c r="P1884" t="s">
        <v>45</v>
      </c>
      <c r="Q1884" t="s">
        <v>47</v>
      </c>
      <c r="R1884" t="s">
        <v>44</v>
      </c>
      <c r="S1884">
        <v>0</v>
      </c>
      <c r="W1884" s="3">
        <v>9.5601851851851855E-3</v>
      </c>
      <c r="X1884" t="s">
        <v>4152</v>
      </c>
      <c r="Y1884">
        <v>12</v>
      </c>
      <c r="Z1884">
        <v>0</v>
      </c>
      <c r="AA1884" t="s">
        <v>49</v>
      </c>
      <c r="AB1884">
        <v>0</v>
      </c>
      <c r="AC1884" t="s">
        <v>49</v>
      </c>
      <c r="AD1884">
        <v>0</v>
      </c>
      <c r="AE1884">
        <v>10173702</v>
      </c>
      <c r="AF1884" t="s">
        <v>50</v>
      </c>
      <c r="AG1884" t="s">
        <v>1536</v>
      </c>
    </row>
    <row r="1885" spans="1:33" x14ac:dyDescent="0.35">
      <c r="A1885" s="1">
        <v>44854.39166666667</v>
      </c>
      <c r="B1885">
        <v>3564030</v>
      </c>
      <c r="C1885" t="s">
        <v>4153</v>
      </c>
      <c r="D1885" t="s">
        <v>175</v>
      </c>
      <c r="E1885" s="2">
        <v>38058</v>
      </c>
      <c r="F1885" t="str">
        <f>"9780309527200"</f>
        <v>9780309527200</v>
      </c>
      <c r="G1885" t="str">
        <f>"9780309090636"</f>
        <v>9780309090636</v>
      </c>
      <c r="H1885" t="s">
        <v>4154</v>
      </c>
      <c r="I1885" t="s">
        <v>4155</v>
      </c>
      <c r="J1885" t="s">
        <v>4156</v>
      </c>
      <c r="K1885" t="s">
        <v>44</v>
      </c>
      <c r="N1885" t="s">
        <v>45</v>
      </c>
      <c r="O1885" t="s">
        <v>46</v>
      </c>
      <c r="P1885" t="s">
        <v>177</v>
      </c>
      <c r="Q1885" t="s">
        <v>47</v>
      </c>
      <c r="R1885" t="s">
        <v>55</v>
      </c>
      <c r="S1885">
        <v>0</v>
      </c>
      <c r="W1885" s="3">
        <v>5.7870370370370366E-5</v>
      </c>
      <c r="X1885" t="s">
        <v>121</v>
      </c>
      <c r="Y1885">
        <v>1</v>
      </c>
      <c r="Z1885">
        <v>0</v>
      </c>
      <c r="AA1885" t="s">
        <v>49</v>
      </c>
      <c r="AB1885">
        <v>0</v>
      </c>
      <c r="AC1885" t="s">
        <v>49</v>
      </c>
      <c r="AD1885">
        <v>0</v>
      </c>
      <c r="AE1885">
        <v>10051648</v>
      </c>
      <c r="AF1885" t="s">
        <v>50</v>
      </c>
      <c r="AG1885" t="s">
        <v>1536</v>
      </c>
    </row>
    <row r="1886" spans="1:33" x14ac:dyDescent="0.35">
      <c r="A1886" s="1">
        <v>44854.37222222222</v>
      </c>
      <c r="B1886">
        <v>3338641</v>
      </c>
      <c r="C1886" t="s">
        <v>302</v>
      </c>
      <c r="D1886" t="s">
        <v>303</v>
      </c>
      <c r="E1886" s="2">
        <v>39143</v>
      </c>
      <c r="F1886" t="str">
        <f>"9780262282888"</f>
        <v>9780262282888</v>
      </c>
      <c r="G1886" t="str">
        <f>"9780262195577"</f>
        <v>9780262195577</v>
      </c>
      <c r="H1886" t="s">
        <v>304</v>
      </c>
      <c r="I1886" t="s">
        <v>305</v>
      </c>
      <c r="K1886" t="s">
        <v>44</v>
      </c>
      <c r="N1886" t="s">
        <v>45</v>
      </c>
      <c r="O1886" t="s">
        <v>46</v>
      </c>
      <c r="P1886" t="s">
        <v>45</v>
      </c>
      <c r="Q1886" t="s">
        <v>47</v>
      </c>
      <c r="R1886" t="s">
        <v>44</v>
      </c>
      <c r="S1886">
        <v>0</v>
      </c>
      <c r="W1886" s="3">
        <v>9.2592592592592585E-4</v>
      </c>
      <c r="X1886" t="s">
        <v>4157</v>
      </c>
      <c r="Y1886">
        <v>3</v>
      </c>
      <c r="Z1886">
        <v>0</v>
      </c>
      <c r="AA1886" t="s">
        <v>49</v>
      </c>
      <c r="AB1886">
        <v>0</v>
      </c>
      <c r="AC1886" t="s">
        <v>49</v>
      </c>
      <c r="AD1886">
        <v>0</v>
      </c>
      <c r="AE1886">
        <v>10173702</v>
      </c>
      <c r="AF1886" t="s">
        <v>50</v>
      </c>
      <c r="AG1886" t="s">
        <v>1536</v>
      </c>
    </row>
    <row r="1887" spans="1:33" x14ac:dyDescent="0.35">
      <c r="A1887" s="1">
        <v>44853.977083333331</v>
      </c>
      <c r="B1887">
        <v>3338641</v>
      </c>
      <c r="C1887" t="s">
        <v>302</v>
      </c>
      <c r="D1887" t="s">
        <v>303</v>
      </c>
      <c r="E1887" s="2">
        <v>39143</v>
      </c>
      <c r="F1887" t="str">
        <f>"9780262282888"</f>
        <v>9780262282888</v>
      </c>
      <c r="G1887" t="str">
        <f>"9780262195577"</f>
        <v>9780262195577</v>
      </c>
      <c r="H1887" t="s">
        <v>304</v>
      </c>
      <c r="I1887" t="s">
        <v>305</v>
      </c>
      <c r="K1887" t="s">
        <v>44</v>
      </c>
      <c r="N1887" t="s">
        <v>45</v>
      </c>
      <c r="O1887" t="s">
        <v>46</v>
      </c>
      <c r="P1887" t="s">
        <v>45</v>
      </c>
      <c r="Q1887" t="s">
        <v>47</v>
      </c>
      <c r="R1887" t="s">
        <v>44</v>
      </c>
      <c r="S1887">
        <v>0</v>
      </c>
      <c r="W1887" s="3">
        <v>6.3657407407407402E-4</v>
      </c>
      <c r="X1887" t="s">
        <v>4158</v>
      </c>
      <c r="Y1887">
        <v>6</v>
      </c>
      <c r="Z1887">
        <v>1</v>
      </c>
      <c r="AA1887" t="s">
        <v>4159</v>
      </c>
      <c r="AB1887">
        <v>26</v>
      </c>
      <c r="AC1887" t="s">
        <v>49</v>
      </c>
      <c r="AD1887">
        <v>0</v>
      </c>
      <c r="AE1887">
        <v>10173702</v>
      </c>
      <c r="AF1887" t="s">
        <v>50</v>
      </c>
      <c r="AG1887" t="s">
        <v>505</v>
      </c>
    </row>
    <row r="1888" spans="1:33" x14ac:dyDescent="0.35">
      <c r="A1888" s="1">
        <v>44853.866666666669</v>
      </c>
      <c r="B1888">
        <v>3338641</v>
      </c>
      <c r="C1888" t="s">
        <v>302</v>
      </c>
      <c r="D1888" t="s">
        <v>303</v>
      </c>
      <c r="E1888" s="2">
        <v>39143</v>
      </c>
      <c r="F1888" t="str">
        <f>"9780262282888"</f>
        <v>9780262282888</v>
      </c>
      <c r="G1888" t="str">
        <f>"9780262195577"</f>
        <v>9780262195577</v>
      </c>
      <c r="H1888" t="s">
        <v>304</v>
      </c>
      <c r="I1888" t="s">
        <v>305</v>
      </c>
      <c r="K1888" t="s">
        <v>44</v>
      </c>
      <c r="N1888" t="s">
        <v>45</v>
      </c>
      <c r="O1888" t="s">
        <v>46</v>
      </c>
      <c r="P1888" t="s">
        <v>45</v>
      </c>
      <c r="Q1888" t="s">
        <v>47</v>
      </c>
      <c r="R1888" t="s">
        <v>44</v>
      </c>
      <c r="S1888">
        <v>0</v>
      </c>
      <c r="W1888" s="3">
        <v>1.7650462962962962E-2</v>
      </c>
      <c r="X1888" t="s">
        <v>4160</v>
      </c>
      <c r="Y1888">
        <v>10</v>
      </c>
      <c r="Z1888">
        <v>0</v>
      </c>
      <c r="AA1888" t="s">
        <v>49</v>
      </c>
      <c r="AB1888">
        <v>0</v>
      </c>
      <c r="AC1888" t="s">
        <v>49</v>
      </c>
      <c r="AD1888">
        <v>0</v>
      </c>
      <c r="AE1888">
        <v>10173702</v>
      </c>
      <c r="AF1888" t="s">
        <v>50</v>
      </c>
      <c r="AG1888" t="s">
        <v>1536</v>
      </c>
    </row>
    <row r="1889" spans="1:33" x14ac:dyDescent="0.35">
      <c r="A1889" s="1">
        <v>44853.795138888891</v>
      </c>
      <c r="B1889">
        <v>3338641</v>
      </c>
      <c r="C1889" t="s">
        <v>302</v>
      </c>
      <c r="D1889" t="s">
        <v>303</v>
      </c>
      <c r="E1889" s="2">
        <v>39143</v>
      </c>
      <c r="F1889" t="str">
        <f>"9780262282888"</f>
        <v>9780262282888</v>
      </c>
      <c r="G1889" t="str">
        <f>"9780262195577"</f>
        <v>9780262195577</v>
      </c>
      <c r="H1889" t="s">
        <v>304</v>
      </c>
      <c r="I1889" t="s">
        <v>305</v>
      </c>
      <c r="K1889" t="s">
        <v>44</v>
      </c>
      <c r="N1889" t="s">
        <v>45</v>
      </c>
      <c r="O1889" t="s">
        <v>46</v>
      </c>
      <c r="P1889" t="s">
        <v>45</v>
      </c>
      <c r="Q1889" t="s">
        <v>47</v>
      </c>
      <c r="R1889" t="s">
        <v>44</v>
      </c>
      <c r="S1889">
        <v>0</v>
      </c>
      <c r="W1889" s="3">
        <v>2.0393518518518519E-2</v>
      </c>
      <c r="X1889" t="s">
        <v>4161</v>
      </c>
      <c r="Y1889">
        <v>8</v>
      </c>
      <c r="Z1889">
        <v>0</v>
      </c>
      <c r="AA1889" t="s">
        <v>49</v>
      </c>
      <c r="AB1889">
        <v>0</v>
      </c>
      <c r="AC1889" t="s">
        <v>49</v>
      </c>
      <c r="AD1889">
        <v>0</v>
      </c>
      <c r="AE1889">
        <v>10173702</v>
      </c>
      <c r="AF1889" t="s">
        <v>50</v>
      </c>
      <c r="AG1889" t="s">
        <v>1536</v>
      </c>
    </row>
    <row r="1890" spans="1:33" x14ac:dyDescent="0.35">
      <c r="A1890" s="1">
        <v>44853.627083333333</v>
      </c>
      <c r="B1890">
        <v>6420775</v>
      </c>
      <c r="C1890" t="s">
        <v>236</v>
      </c>
      <c r="D1890" t="s">
        <v>213</v>
      </c>
      <c r="E1890" s="2">
        <v>44147</v>
      </c>
      <c r="F1890" t="str">
        <f>"9780128243619"</f>
        <v>9780128243619</v>
      </c>
      <c r="G1890" t="str">
        <f>"9780128243602"</f>
        <v>9780128243602</v>
      </c>
      <c r="H1890" t="s">
        <v>237</v>
      </c>
      <c r="I1890">
        <v>551.70100000000002</v>
      </c>
      <c r="J1890" t="s">
        <v>238</v>
      </c>
      <c r="K1890" t="s">
        <v>55</v>
      </c>
      <c r="N1890" t="s">
        <v>79</v>
      </c>
      <c r="P1890" t="s">
        <v>80</v>
      </c>
      <c r="Q1890" t="s">
        <v>47</v>
      </c>
      <c r="R1890" t="s">
        <v>44</v>
      </c>
      <c r="S1890">
        <v>0</v>
      </c>
      <c r="W1890" s="3">
        <v>3.4027777777777784E-3</v>
      </c>
      <c r="X1890" t="s">
        <v>4162</v>
      </c>
      <c r="Y1890">
        <v>33</v>
      </c>
      <c r="Z1890">
        <v>0</v>
      </c>
      <c r="AA1890" t="s">
        <v>49</v>
      </c>
      <c r="AB1890">
        <v>0</v>
      </c>
      <c r="AC1890" t="s">
        <v>49</v>
      </c>
      <c r="AD1890">
        <v>0</v>
      </c>
      <c r="AE1890">
        <v>-1</v>
      </c>
      <c r="AF1890" t="s">
        <v>50</v>
      </c>
      <c r="AG1890" t="s">
        <v>1536</v>
      </c>
    </row>
    <row r="1891" spans="1:33" x14ac:dyDescent="0.35">
      <c r="A1891" s="1">
        <v>44853.621527777781</v>
      </c>
      <c r="B1891">
        <v>6420775</v>
      </c>
      <c r="C1891" t="s">
        <v>236</v>
      </c>
      <c r="D1891" t="s">
        <v>213</v>
      </c>
      <c r="E1891" s="2">
        <v>44147</v>
      </c>
      <c r="F1891" t="str">
        <f>"9780128243619"</f>
        <v>9780128243619</v>
      </c>
      <c r="G1891" t="str">
        <f>"9780128243602"</f>
        <v>9780128243602</v>
      </c>
      <c r="H1891" t="s">
        <v>237</v>
      </c>
      <c r="I1891">
        <v>551.70100000000002</v>
      </c>
      <c r="J1891" t="s">
        <v>238</v>
      </c>
      <c r="K1891" t="s">
        <v>55</v>
      </c>
      <c r="N1891" t="s">
        <v>79</v>
      </c>
      <c r="P1891" t="s">
        <v>80</v>
      </c>
      <c r="Q1891" t="s">
        <v>47</v>
      </c>
      <c r="R1891" t="s">
        <v>44</v>
      </c>
      <c r="S1891">
        <v>0</v>
      </c>
      <c r="W1891" s="3">
        <v>3.0671296296296297E-3</v>
      </c>
      <c r="X1891" t="s">
        <v>4163</v>
      </c>
      <c r="Y1891">
        <v>41</v>
      </c>
      <c r="Z1891">
        <v>0</v>
      </c>
      <c r="AA1891" t="s">
        <v>49</v>
      </c>
      <c r="AB1891">
        <v>0</v>
      </c>
      <c r="AC1891" t="s">
        <v>49</v>
      </c>
      <c r="AD1891">
        <v>0</v>
      </c>
      <c r="AE1891">
        <v>-1</v>
      </c>
      <c r="AF1891" t="s">
        <v>50</v>
      </c>
      <c r="AG1891" t="s">
        <v>1536</v>
      </c>
    </row>
    <row r="1892" spans="1:33" x14ac:dyDescent="0.35">
      <c r="A1892" s="1">
        <v>44853.5625</v>
      </c>
      <c r="B1892">
        <v>372732</v>
      </c>
      <c r="C1892" t="s">
        <v>4164</v>
      </c>
      <c r="D1892" t="s">
        <v>1166</v>
      </c>
      <c r="E1892" s="2">
        <v>39631</v>
      </c>
      <c r="F1892" t="str">
        <f>"9780387476858"</f>
        <v>9780387476858</v>
      </c>
      <c r="G1892" t="str">
        <f>"9780387476841"</f>
        <v>9780387476841</v>
      </c>
      <c r="H1892" t="s">
        <v>513</v>
      </c>
      <c r="I1892">
        <v>620.16319999999996</v>
      </c>
      <c r="J1892" t="s">
        <v>919</v>
      </c>
      <c r="K1892" t="s">
        <v>55</v>
      </c>
      <c r="P1892" t="s">
        <v>97</v>
      </c>
      <c r="Q1892" t="s">
        <v>47</v>
      </c>
      <c r="R1892" t="s">
        <v>44</v>
      </c>
      <c r="S1892">
        <v>0</v>
      </c>
      <c r="W1892" s="3">
        <v>1.9212962962962962E-3</v>
      </c>
      <c r="X1892" t="s">
        <v>4165</v>
      </c>
      <c r="Y1892">
        <v>35</v>
      </c>
      <c r="Z1892">
        <v>0</v>
      </c>
      <c r="AA1892" t="s">
        <v>49</v>
      </c>
      <c r="AB1892">
        <v>0</v>
      </c>
      <c r="AC1892" t="s">
        <v>49</v>
      </c>
      <c r="AD1892">
        <v>0</v>
      </c>
      <c r="AE1892">
        <v>10284712</v>
      </c>
      <c r="AF1892" t="s">
        <v>50</v>
      </c>
      <c r="AG1892" t="s">
        <v>1536</v>
      </c>
    </row>
    <row r="1893" spans="1:33" x14ac:dyDescent="0.35">
      <c r="A1893" s="1">
        <v>44853.55972222222</v>
      </c>
      <c r="B1893">
        <v>3405014</v>
      </c>
      <c r="C1893" t="s">
        <v>4166</v>
      </c>
      <c r="D1893" t="s">
        <v>296</v>
      </c>
      <c r="E1893" s="2">
        <v>31382</v>
      </c>
      <c r="F1893" t="str">
        <f>"9781613991596"</f>
        <v>9781613991596</v>
      </c>
      <c r="G1893" t="str">
        <f>"9781555630010"</f>
        <v>9781555630010</v>
      </c>
      <c r="H1893" t="s">
        <v>297</v>
      </c>
      <c r="I1893">
        <v>622.18280000000004</v>
      </c>
      <c r="J1893" t="s">
        <v>4167</v>
      </c>
      <c r="K1893" t="s">
        <v>44</v>
      </c>
      <c r="N1893" t="s">
        <v>45</v>
      </c>
      <c r="O1893" t="s">
        <v>46</v>
      </c>
      <c r="P1893" t="s">
        <v>45</v>
      </c>
      <c r="Q1893" t="s">
        <v>47</v>
      </c>
      <c r="R1893" t="s">
        <v>44</v>
      </c>
      <c r="S1893">
        <v>0</v>
      </c>
      <c r="W1893" s="3">
        <v>0</v>
      </c>
      <c r="X1893" t="s">
        <v>49</v>
      </c>
      <c r="Y1893">
        <v>0</v>
      </c>
      <c r="Z1893">
        <v>1</v>
      </c>
      <c r="AA1893" t="s">
        <v>4168</v>
      </c>
      <c r="AB1893">
        <v>40</v>
      </c>
      <c r="AC1893" t="s">
        <v>49</v>
      </c>
      <c r="AD1893">
        <v>0</v>
      </c>
      <c r="AE1893">
        <v>10619585</v>
      </c>
      <c r="AF1893" t="s">
        <v>50</v>
      </c>
      <c r="AG1893" t="s">
        <v>1536</v>
      </c>
    </row>
    <row r="1894" spans="1:33" x14ac:dyDescent="0.35">
      <c r="A1894" s="1">
        <v>44853.556944444441</v>
      </c>
      <c r="B1894">
        <v>544097</v>
      </c>
      <c r="C1894" t="s">
        <v>4169</v>
      </c>
      <c r="D1894" t="s">
        <v>76</v>
      </c>
      <c r="E1894" s="2">
        <v>40323</v>
      </c>
      <c r="F1894" t="str">
        <f>"9781420090208"</f>
        <v>9781420090208</v>
      </c>
      <c r="G1894" t="str">
        <f>"9781420090192"</f>
        <v>9781420090192</v>
      </c>
      <c r="H1894" t="s">
        <v>252</v>
      </c>
      <c r="I1894" t="s">
        <v>4170</v>
      </c>
      <c r="J1894" t="s">
        <v>4171</v>
      </c>
      <c r="K1894" t="s">
        <v>44</v>
      </c>
      <c r="N1894" t="s">
        <v>45</v>
      </c>
      <c r="O1894" t="s">
        <v>46</v>
      </c>
      <c r="P1894" t="s">
        <v>45</v>
      </c>
      <c r="Q1894" t="s">
        <v>47</v>
      </c>
      <c r="R1894" t="s">
        <v>44</v>
      </c>
      <c r="S1894">
        <v>0</v>
      </c>
      <c r="W1894" s="3">
        <v>8.819444444444444E-3</v>
      </c>
      <c r="X1894" t="s">
        <v>4172</v>
      </c>
      <c r="Y1894">
        <v>67</v>
      </c>
      <c r="Z1894">
        <v>0</v>
      </c>
      <c r="AA1894" t="s">
        <v>49</v>
      </c>
      <c r="AB1894">
        <v>0</v>
      </c>
      <c r="AC1894" t="s">
        <v>49</v>
      </c>
      <c r="AD1894">
        <v>0</v>
      </c>
      <c r="AE1894">
        <v>10393136</v>
      </c>
      <c r="AF1894" t="s">
        <v>50</v>
      </c>
      <c r="AG1894" t="s">
        <v>1536</v>
      </c>
    </row>
    <row r="1895" spans="1:33" x14ac:dyDescent="0.35">
      <c r="A1895" s="1">
        <v>44853.515277777777</v>
      </c>
      <c r="B1895">
        <v>3338641</v>
      </c>
      <c r="C1895" t="s">
        <v>302</v>
      </c>
      <c r="D1895" t="s">
        <v>303</v>
      </c>
      <c r="E1895" s="2">
        <v>39143</v>
      </c>
      <c r="F1895" t="str">
        <f>"9780262282888"</f>
        <v>9780262282888</v>
      </c>
      <c r="G1895" t="str">
        <f>"9780262195577"</f>
        <v>9780262195577</v>
      </c>
      <c r="H1895" t="s">
        <v>304</v>
      </c>
      <c r="I1895" t="s">
        <v>305</v>
      </c>
      <c r="K1895" t="s">
        <v>44</v>
      </c>
      <c r="N1895" t="s">
        <v>45</v>
      </c>
      <c r="O1895" t="s">
        <v>46</v>
      </c>
      <c r="P1895" t="s">
        <v>45</v>
      </c>
      <c r="Q1895" t="s">
        <v>47</v>
      </c>
      <c r="R1895" t="s">
        <v>44</v>
      </c>
      <c r="S1895">
        <v>0</v>
      </c>
      <c r="W1895" s="3">
        <v>3.4722222222222222E-5</v>
      </c>
      <c r="X1895" t="s">
        <v>4173</v>
      </c>
      <c r="Y1895">
        <v>1</v>
      </c>
      <c r="Z1895">
        <v>0</v>
      </c>
      <c r="AA1895" t="s">
        <v>49</v>
      </c>
      <c r="AB1895">
        <v>0</v>
      </c>
      <c r="AC1895" t="s">
        <v>49</v>
      </c>
      <c r="AD1895">
        <v>0</v>
      </c>
      <c r="AE1895">
        <v>10173702</v>
      </c>
      <c r="AF1895" t="s">
        <v>50</v>
      </c>
      <c r="AG1895" t="s">
        <v>3975</v>
      </c>
    </row>
    <row r="1896" spans="1:33" x14ac:dyDescent="0.35">
      <c r="A1896" s="1">
        <v>44853.486805555556</v>
      </c>
      <c r="B1896">
        <v>6648066</v>
      </c>
      <c r="C1896" t="s">
        <v>4126</v>
      </c>
      <c r="D1896" t="s">
        <v>76</v>
      </c>
      <c r="E1896" s="2">
        <v>44378</v>
      </c>
      <c r="F1896" t="str">
        <f>"9781000410693"</f>
        <v>9781000410693</v>
      </c>
      <c r="G1896" t="str">
        <f>"9780367565534"</f>
        <v>9780367565534</v>
      </c>
      <c r="H1896" t="s">
        <v>90</v>
      </c>
      <c r="I1896">
        <v>370.1</v>
      </c>
      <c r="J1896" t="s">
        <v>4127</v>
      </c>
      <c r="K1896" t="s">
        <v>55</v>
      </c>
      <c r="Q1896" t="s">
        <v>47</v>
      </c>
      <c r="R1896" t="s">
        <v>44</v>
      </c>
      <c r="S1896">
        <v>0</v>
      </c>
      <c r="W1896" s="3">
        <v>2.6041666666666665E-3</v>
      </c>
      <c r="X1896" t="s">
        <v>4174</v>
      </c>
      <c r="Y1896">
        <v>9</v>
      </c>
      <c r="Z1896">
        <v>0</v>
      </c>
      <c r="AA1896" t="s">
        <v>49</v>
      </c>
      <c r="AB1896">
        <v>0</v>
      </c>
      <c r="AC1896" t="s">
        <v>49</v>
      </c>
      <c r="AD1896">
        <v>0</v>
      </c>
      <c r="AE1896">
        <v>-1</v>
      </c>
      <c r="AF1896" t="s">
        <v>63</v>
      </c>
      <c r="AG1896" t="s">
        <v>1536</v>
      </c>
    </row>
    <row r="1897" spans="1:33" x14ac:dyDescent="0.35">
      <c r="A1897" s="1">
        <v>44853.407638888886</v>
      </c>
      <c r="B1897">
        <v>1643810</v>
      </c>
      <c r="C1897" t="s">
        <v>3487</v>
      </c>
      <c r="D1897" t="s">
        <v>59</v>
      </c>
      <c r="E1897" s="2">
        <v>41743</v>
      </c>
      <c r="F1897" t="str">
        <f>"9781118653890"</f>
        <v>9781118653890</v>
      </c>
      <c r="G1897" t="str">
        <f>"9781119968603"</f>
        <v>9781119968603</v>
      </c>
      <c r="H1897" t="s">
        <v>151</v>
      </c>
      <c r="I1897">
        <v>616.85220000000004</v>
      </c>
      <c r="J1897" t="s">
        <v>3488</v>
      </c>
      <c r="K1897" t="s">
        <v>44</v>
      </c>
      <c r="N1897" t="s">
        <v>45</v>
      </c>
      <c r="O1897" t="s">
        <v>46</v>
      </c>
      <c r="P1897" t="s">
        <v>45</v>
      </c>
      <c r="Q1897" t="s">
        <v>47</v>
      </c>
      <c r="R1897" t="s">
        <v>44</v>
      </c>
      <c r="S1897">
        <v>0</v>
      </c>
      <c r="W1897" s="3">
        <v>6.4814814814814813E-4</v>
      </c>
      <c r="X1897" t="s">
        <v>4175</v>
      </c>
      <c r="Y1897">
        <v>4</v>
      </c>
      <c r="Z1897">
        <v>0</v>
      </c>
      <c r="AA1897" t="s">
        <v>49</v>
      </c>
      <c r="AB1897">
        <v>0</v>
      </c>
      <c r="AC1897" t="s">
        <v>4176</v>
      </c>
      <c r="AD1897">
        <v>1</v>
      </c>
      <c r="AE1897">
        <v>10856787</v>
      </c>
      <c r="AF1897" t="s">
        <v>50</v>
      </c>
      <c r="AG1897" t="s">
        <v>300</v>
      </c>
    </row>
    <row r="1898" spans="1:33" x14ac:dyDescent="0.35">
      <c r="A1898" s="1">
        <v>44853.379861111112</v>
      </c>
      <c r="B1898">
        <v>438301</v>
      </c>
      <c r="C1898" t="s">
        <v>4177</v>
      </c>
      <c r="D1898" t="s">
        <v>76</v>
      </c>
      <c r="E1898" s="2">
        <v>39535</v>
      </c>
      <c r="F1898" t="str">
        <f>"9780754683728"</f>
        <v>9780754683728</v>
      </c>
      <c r="G1898" t="str">
        <f>"9780566088339"</f>
        <v>9780566088339</v>
      </c>
      <c r="H1898" t="s">
        <v>60</v>
      </c>
      <c r="I1898">
        <v>658.30028500000003</v>
      </c>
      <c r="J1898" t="s">
        <v>4178</v>
      </c>
      <c r="K1898" t="s">
        <v>44</v>
      </c>
      <c r="N1898" t="s">
        <v>45</v>
      </c>
      <c r="O1898" t="s">
        <v>46</v>
      </c>
      <c r="P1898" t="s">
        <v>45</v>
      </c>
      <c r="Q1898" t="s">
        <v>47</v>
      </c>
      <c r="R1898" t="s">
        <v>44</v>
      </c>
      <c r="S1898">
        <v>0</v>
      </c>
      <c r="W1898" s="3">
        <v>1.0416666666666667E-4</v>
      </c>
      <c r="X1898" t="s">
        <v>56</v>
      </c>
      <c r="Y1898">
        <v>3</v>
      </c>
      <c r="Z1898">
        <v>0</v>
      </c>
      <c r="AA1898" t="s">
        <v>49</v>
      </c>
      <c r="AB1898">
        <v>0</v>
      </c>
      <c r="AC1898" t="s">
        <v>49</v>
      </c>
      <c r="AD1898">
        <v>0</v>
      </c>
      <c r="AE1898">
        <v>10218508</v>
      </c>
      <c r="AF1898" t="s">
        <v>50</v>
      </c>
      <c r="AG1898" t="s">
        <v>1536</v>
      </c>
    </row>
    <row r="1899" spans="1:33" x14ac:dyDescent="0.35">
      <c r="A1899" s="1">
        <v>44853.367361111108</v>
      </c>
      <c r="B1899">
        <v>279494</v>
      </c>
      <c r="C1899" t="s">
        <v>1333</v>
      </c>
      <c r="D1899" t="s">
        <v>125</v>
      </c>
      <c r="E1899" s="2">
        <v>37280</v>
      </c>
      <c r="F1899" t="str">
        <f>"9780198032953"</f>
        <v>9780198032953</v>
      </c>
      <c r="G1899" t="str">
        <f>"9780195144208"</f>
        <v>9780195144208</v>
      </c>
      <c r="H1899" t="s">
        <v>667</v>
      </c>
      <c r="I1899" t="s">
        <v>1334</v>
      </c>
      <c r="J1899" t="s">
        <v>1335</v>
      </c>
      <c r="K1899" t="s">
        <v>44</v>
      </c>
      <c r="N1899" t="s">
        <v>45</v>
      </c>
      <c r="O1899" t="s">
        <v>46</v>
      </c>
      <c r="P1899" t="s">
        <v>45</v>
      </c>
      <c r="Q1899" t="s">
        <v>47</v>
      </c>
      <c r="R1899" t="s">
        <v>44</v>
      </c>
      <c r="S1899">
        <v>0</v>
      </c>
      <c r="W1899" s="3">
        <v>3.4189814814814819E-2</v>
      </c>
      <c r="X1899" t="s">
        <v>4179</v>
      </c>
      <c r="Y1899">
        <v>12</v>
      </c>
      <c r="Z1899">
        <v>0</v>
      </c>
      <c r="AA1899" t="s">
        <v>49</v>
      </c>
      <c r="AB1899">
        <v>0</v>
      </c>
      <c r="AC1899" t="s">
        <v>4180</v>
      </c>
      <c r="AD1899">
        <v>2</v>
      </c>
      <c r="AE1899">
        <v>11303309</v>
      </c>
      <c r="AF1899" t="s">
        <v>50</v>
      </c>
      <c r="AG1899" t="s">
        <v>1536</v>
      </c>
    </row>
    <row r="1900" spans="1:33" x14ac:dyDescent="0.35">
      <c r="A1900" s="1">
        <v>44853.357638888891</v>
      </c>
      <c r="B1900">
        <v>3338641</v>
      </c>
      <c r="C1900" t="s">
        <v>302</v>
      </c>
      <c r="D1900" t="s">
        <v>303</v>
      </c>
      <c r="E1900" s="2">
        <v>39143</v>
      </c>
      <c r="F1900" t="str">
        <f>"9780262282888"</f>
        <v>9780262282888</v>
      </c>
      <c r="G1900" t="str">
        <f>"9780262195577"</f>
        <v>9780262195577</v>
      </c>
      <c r="H1900" t="s">
        <v>304</v>
      </c>
      <c r="I1900" t="s">
        <v>305</v>
      </c>
      <c r="K1900" t="s">
        <v>44</v>
      </c>
      <c r="N1900" t="s">
        <v>45</v>
      </c>
      <c r="O1900" t="s">
        <v>46</v>
      </c>
      <c r="P1900" t="s">
        <v>45</v>
      </c>
      <c r="Q1900" t="s">
        <v>47</v>
      </c>
      <c r="R1900" t="s">
        <v>44</v>
      </c>
      <c r="S1900">
        <v>0</v>
      </c>
      <c r="W1900" s="3">
        <v>1.4918981481481483E-2</v>
      </c>
      <c r="X1900" t="s">
        <v>4181</v>
      </c>
      <c r="Y1900">
        <v>7</v>
      </c>
      <c r="Z1900">
        <v>0</v>
      </c>
      <c r="AA1900" t="s">
        <v>49</v>
      </c>
      <c r="AB1900">
        <v>0</v>
      </c>
      <c r="AC1900" t="s">
        <v>49</v>
      </c>
      <c r="AD1900">
        <v>0</v>
      </c>
      <c r="AE1900">
        <v>10173702</v>
      </c>
      <c r="AF1900" t="s">
        <v>50</v>
      </c>
      <c r="AG1900" t="s">
        <v>3975</v>
      </c>
    </row>
    <row r="1901" spans="1:33" x14ac:dyDescent="0.35">
      <c r="A1901" s="1">
        <v>44853.040972222225</v>
      </c>
      <c r="B1901">
        <v>472350</v>
      </c>
      <c r="C1901" t="s">
        <v>4182</v>
      </c>
      <c r="D1901" t="s">
        <v>125</v>
      </c>
      <c r="E1901" s="2">
        <v>38071</v>
      </c>
      <c r="F1901" t="str">
        <f>"9780191574672"</f>
        <v>9780191574672</v>
      </c>
      <c r="G1901" t="str">
        <f>"9780198525295"</f>
        <v>9780198525295</v>
      </c>
      <c r="H1901" t="s">
        <v>4183</v>
      </c>
      <c r="I1901" t="s">
        <v>4184</v>
      </c>
      <c r="J1901" t="s">
        <v>4185</v>
      </c>
      <c r="K1901" t="s">
        <v>44</v>
      </c>
      <c r="N1901" t="s">
        <v>45</v>
      </c>
      <c r="O1901" t="s">
        <v>46</v>
      </c>
      <c r="P1901" t="s">
        <v>45</v>
      </c>
      <c r="Q1901" t="s">
        <v>47</v>
      </c>
      <c r="R1901" t="s">
        <v>44</v>
      </c>
      <c r="S1901">
        <v>1</v>
      </c>
      <c r="W1901" s="3">
        <v>0</v>
      </c>
      <c r="X1901" t="s">
        <v>49</v>
      </c>
      <c r="Y1901">
        <v>0</v>
      </c>
      <c r="Z1901">
        <v>0</v>
      </c>
      <c r="AA1901" t="s">
        <v>49</v>
      </c>
      <c r="AB1901">
        <v>0</v>
      </c>
      <c r="AC1901" t="s">
        <v>49</v>
      </c>
      <c r="AD1901">
        <v>0</v>
      </c>
      <c r="AE1901">
        <v>10351335</v>
      </c>
      <c r="AF1901" t="s">
        <v>63</v>
      </c>
      <c r="AG1901" t="s">
        <v>1536</v>
      </c>
    </row>
    <row r="1902" spans="1:33" x14ac:dyDescent="0.35">
      <c r="A1902" s="1">
        <v>44853.033333333333</v>
      </c>
      <c r="B1902">
        <v>6018187</v>
      </c>
      <c r="C1902" t="s">
        <v>4186</v>
      </c>
      <c r="D1902" t="s">
        <v>65</v>
      </c>
      <c r="E1902" s="2">
        <v>43850</v>
      </c>
      <c r="F1902" t="str">
        <f>"9780128186749"</f>
        <v>9780128186749</v>
      </c>
      <c r="G1902" t="str">
        <f>"9780128186732"</f>
        <v>9780128186732</v>
      </c>
      <c r="H1902" t="s">
        <v>2542</v>
      </c>
      <c r="I1902">
        <v>616.99407900000006</v>
      </c>
      <c r="J1902" t="s">
        <v>4187</v>
      </c>
      <c r="K1902" t="s">
        <v>55</v>
      </c>
      <c r="Q1902" t="s">
        <v>47</v>
      </c>
      <c r="R1902" t="s">
        <v>44</v>
      </c>
      <c r="S1902">
        <v>0</v>
      </c>
      <c r="W1902" s="3">
        <v>1.5393518518518519E-3</v>
      </c>
      <c r="X1902" t="s">
        <v>4188</v>
      </c>
      <c r="Y1902">
        <v>10</v>
      </c>
      <c r="Z1902">
        <v>0</v>
      </c>
      <c r="AA1902" t="s">
        <v>49</v>
      </c>
      <c r="AB1902">
        <v>0</v>
      </c>
      <c r="AC1902" t="s">
        <v>49</v>
      </c>
      <c r="AD1902">
        <v>0</v>
      </c>
      <c r="AE1902">
        <v>-1</v>
      </c>
      <c r="AF1902" t="s">
        <v>63</v>
      </c>
      <c r="AG1902" t="s">
        <v>1536</v>
      </c>
    </row>
    <row r="1903" spans="1:33" x14ac:dyDescent="0.35">
      <c r="A1903" s="1">
        <v>44853.019444444442</v>
      </c>
      <c r="B1903">
        <v>697550</v>
      </c>
      <c r="C1903" t="s">
        <v>4189</v>
      </c>
      <c r="D1903" t="s">
        <v>59</v>
      </c>
      <c r="E1903" s="2">
        <v>40813</v>
      </c>
      <c r="F1903" t="str">
        <f>"9781118029152"</f>
        <v>9781118029152</v>
      </c>
      <c r="G1903" t="str">
        <f>"9780470604458"</f>
        <v>9780470604458</v>
      </c>
      <c r="H1903" t="s">
        <v>4190</v>
      </c>
      <c r="I1903" t="s">
        <v>4191</v>
      </c>
      <c r="J1903" t="s">
        <v>4192</v>
      </c>
      <c r="K1903" t="s">
        <v>44</v>
      </c>
      <c r="N1903" t="s">
        <v>45</v>
      </c>
      <c r="O1903" t="s">
        <v>46</v>
      </c>
      <c r="P1903" t="s">
        <v>45</v>
      </c>
      <c r="Q1903" t="s">
        <v>47</v>
      </c>
      <c r="R1903" t="s">
        <v>44</v>
      </c>
      <c r="S1903">
        <v>0</v>
      </c>
      <c r="W1903" s="3">
        <v>3.0208333333333333E-3</v>
      </c>
      <c r="X1903" t="s">
        <v>4193</v>
      </c>
      <c r="Y1903">
        <v>17</v>
      </c>
      <c r="Z1903">
        <v>0</v>
      </c>
      <c r="AA1903" t="s">
        <v>4194</v>
      </c>
      <c r="AB1903">
        <v>132</v>
      </c>
      <c r="AC1903" t="s">
        <v>4195</v>
      </c>
      <c r="AD1903">
        <v>1</v>
      </c>
      <c r="AE1903">
        <v>10501323</v>
      </c>
      <c r="AF1903" t="s">
        <v>63</v>
      </c>
      <c r="AG1903" t="s">
        <v>1536</v>
      </c>
    </row>
    <row r="1904" spans="1:33" x14ac:dyDescent="0.35">
      <c r="A1904" s="1">
        <v>44853.011111111111</v>
      </c>
      <c r="B1904">
        <v>1246395</v>
      </c>
      <c r="C1904" t="s">
        <v>4196</v>
      </c>
      <c r="D1904" t="s">
        <v>59</v>
      </c>
      <c r="E1904" s="2">
        <v>41484</v>
      </c>
      <c r="F1904" t="str">
        <f>"9781118553954"</f>
        <v>9781118553954</v>
      </c>
      <c r="G1904" t="str">
        <f>"9781118553985"</f>
        <v>9781118553985</v>
      </c>
      <c r="H1904" t="s">
        <v>66</v>
      </c>
      <c r="I1904">
        <v>570.15195000000006</v>
      </c>
      <c r="J1904" t="s">
        <v>4197</v>
      </c>
      <c r="K1904" t="s">
        <v>44</v>
      </c>
      <c r="N1904" t="s">
        <v>45</v>
      </c>
      <c r="O1904" t="s">
        <v>46</v>
      </c>
      <c r="P1904" t="s">
        <v>45</v>
      </c>
      <c r="Q1904" t="s">
        <v>47</v>
      </c>
      <c r="R1904" t="s">
        <v>44</v>
      </c>
      <c r="S1904">
        <v>0</v>
      </c>
      <c r="W1904" s="3">
        <v>1.423611111111111E-3</v>
      </c>
      <c r="X1904" t="s">
        <v>4198</v>
      </c>
      <c r="Y1904">
        <v>21</v>
      </c>
      <c r="Z1904">
        <v>0</v>
      </c>
      <c r="AA1904" t="s">
        <v>49</v>
      </c>
      <c r="AB1904">
        <v>0</v>
      </c>
      <c r="AC1904" t="s">
        <v>49</v>
      </c>
      <c r="AD1904">
        <v>0</v>
      </c>
      <c r="AE1904">
        <v>10728378</v>
      </c>
      <c r="AF1904" t="s">
        <v>63</v>
      </c>
      <c r="AG1904" t="s">
        <v>1536</v>
      </c>
    </row>
    <row r="1905" spans="1:33" x14ac:dyDescent="0.35">
      <c r="A1905" s="1">
        <v>44853.004861111112</v>
      </c>
      <c r="B1905">
        <v>2077525</v>
      </c>
      <c r="C1905" t="s">
        <v>4199</v>
      </c>
      <c r="D1905" t="s">
        <v>141</v>
      </c>
      <c r="E1905" s="2">
        <v>42180</v>
      </c>
      <c r="F1905" t="str">
        <f>"9781783558650"</f>
        <v>9781783558650</v>
      </c>
      <c r="G1905" t="str">
        <f>"9781782175117"</f>
        <v>9781782175117</v>
      </c>
      <c r="H1905" t="s">
        <v>4200</v>
      </c>
      <c r="I1905">
        <v>572.80285000000003</v>
      </c>
      <c r="J1905" t="s">
        <v>4201</v>
      </c>
      <c r="K1905" t="s">
        <v>44</v>
      </c>
      <c r="N1905" t="s">
        <v>45</v>
      </c>
      <c r="O1905" t="s">
        <v>46</v>
      </c>
      <c r="P1905" t="s">
        <v>177</v>
      </c>
      <c r="Q1905" t="s">
        <v>47</v>
      </c>
      <c r="R1905" t="s">
        <v>55</v>
      </c>
      <c r="S1905">
        <v>1</v>
      </c>
      <c r="W1905" s="3">
        <v>0</v>
      </c>
      <c r="X1905" t="s">
        <v>49</v>
      </c>
      <c r="Y1905">
        <v>0</v>
      </c>
      <c r="Z1905">
        <v>0</v>
      </c>
      <c r="AA1905" t="s">
        <v>49</v>
      </c>
      <c r="AB1905">
        <v>0</v>
      </c>
      <c r="AC1905" t="s">
        <v>49</v>
      </c>
      <c r="AD1905">
        <v>0</v>
      </c>
      <c r="AE1905">
        <v>11069216</v>
      </c>
      <c r="AF1905" t="s">
        <v>63</v>
      </c>
      <c r="AG1905" t="s">
        <v>1536</v>
      </c>
    </row>
    <row r="1906" spans="1:33" x14ac:dyDescent="0.35">
      <c r="A1906" s="1">
        <v>44853</v>
      </c>
      <c r="B1906">
        <v>5909881</v>
      </c>
      <c r="C1906" t="s">
        <v>4202</v>
      </c>
      <c r="D1906" t="s">
        <v>257</v>
      </c>
      <c r="E1906" s="2">
        <v>43736</v>
      </c>
      <c r="F1906" t="str">
        <f>"9781484245231"</f>
        <v>9781484245231</v>
      </c>
      <c r="G1906" t="str">
        <f>"9781484245224"</f>
        <v>9781484245224</v>
      </c>
      <c r="H1906" t="s">
        <v>4203</v>
      </c>
      <c r="I1906">
        <v>570.28551330000005</v>
      </c>
      <c r="J1906" t="s">
        <v>4204</v>
      </c>
      <c r="K1906" t="s">
        <v>55</v>
      </c>
      <c r="Q1906" t="s">
        <v>47</v>
      </c>
      <c r="R1906" t="s">
        <v>44</v>
      </c>
      <c r="S1906">
        <v>0</v>
      </c>
      <c r="W1906" s="3">
        <v>3.4953703703703705E-3</v>
      </c>
      <c r="X1906" t="s">
        <v>4205</v>
      </c>
      <c r="Y1906">
        <v>19</v>
      </c>
      <c r="Z1906">
        <v>0</v>
      </c>
      <c r="AA1906" t="s">
        <v>49</v>
      </c>
      <c r="AB1906">
        <v>0</v>
      </c>
      <c r="AC1906" t="s">
        <v>49</v>
      </c>
      <c r="AD1906">
        <v>0</v>
      </c>
      <c r="AE1906">
        <v>-1</v>
      </c>
      <c r="AF1906" t="s">
        <v>50</v>
      </c>
      <c r="AG1906" t="s">
        <v>1536</v>
      </c>
    </row>
    <row r="1907" spans="1:33" x14ac:dyDescent="0.35">
      <c r="A1907" s="1">
        <v>44852.924305555556</v>
      </c>
      <c r="B1907">
        <v>5139938</v>
      </c>
      <c r="C1907" t="s">
        <v>295</v>
      </c>
      <c r="D1907" t="s">
        <v>296</v>
      </c>
      <c r="E1907" s="2">
        <v>41852</v>
      </c>
      <c r="F1907" t="str">
        <f>"9781613994078"</f>
        <v>9781613994078</v>
      </c>
      <c r="G1907" t="str">
        <f>"9781613993286"</f>
        <v>9781613993286</v>
      </c>
      <c r="H1907" t="s">
        <v>297</v>
      </c>
      <c r="I1907">
        <v>622.33820000000003</v>
      </c>
      <c r="J1907" t="s">
        <v>298</v>
      </c>
      <c r="K1907" t="s">
        <v>44</v>
      </c>
      <c r="N1907" t="s">
        <v>45</v>
      </c>
      <c r="O1907" t="s">
        <v>46</v>
      </c>
      <c r="P1907" t="s">
        <v>45</v>
      </c>
      <c r="Q1907" t="s">
        <v>47</v>
      </c>
      <c r="R1907" t="s">
        <v>44</v>
      </c>
      <c r="S1907">
        <v>0</v>
      </c>
      <c r="W1907" s="3">
        <v>9.7337962962962977E-3</v>
      </c>
      <c r="X1907" t="s">
        <v>4206</v>
      </c>
      <c r="Y1907">
        <v>48</v>
      </c>
      <c r="Z1907">
        <v>3</v>
      </c>
      <c r="AA1907" t="s">
        <v>4207</v>
      </c>
      <c r="AB1907">
        <v>112</v>
      </c>
      <c r="AC1907" t="s">
        <v>49</v>
      </c>
      <c r="AD1907">
        <v>0</v>
      </c>
      <c r="AE1907">
        <v>11465346</v>
      </c>
      <c r="AF1907" t="s">
        <v>50</v>
      </c>
      <c r="AG1907" t="s">
        <v>1536</v>
      </c>
    </row>
    <row r="1908" spans="1:33" x14ac:dyDescent="0.35">
      <c r="A1908" s="1">
        <v>44852.916666666664</v>
      </c>
      <c r="B1908">
        <v>4470117</v>
      </c>
      <c r="C1908" t="s">
        <v>4208</v>
      </c>
      <c r="D1908" t="s">
        <v>4209</v>
      </c>
      <c r="E1908" s="2">
        <v>42444</v>
      </c>
      <c r="F1908" t="str">
        <f>"9782818806401"</f>
        <v>9782818806401</v>
      </c>
      <c r="G1908" t="str">
        <f>"9782840018629"</f>
        <v>9782840018629</v>
      </c>
      <c r="H1908" t="s">
        <v>60</v>
      </c>
      <c r="J1908" t="s">
        <v>4210</v>
      </c>
      <c r="K1908" t="s">
        <v>44</v>
      </c>
      <c r="N1908" t="s">
        <v>45</v>
      </c>
      <c r="O1908" t="s">
        <v>46</v>
      </c>
      <c r="P1908" t="s">
        <v>45</v>
      </c>
      <c r="Q1908" t="s">
        <v>47</v>
      </c>
      <c r="R1908" t="s">
        <v>44</v>
      </c>
      <c r="S1908">
        <v>0</v>
      </c>
      <c r="W1908" s="3">
        <v>9.2592592592592588E-5</v>
      </c>
      <c r="X1908" t="s">
        <v>205</v>
      </c>
      <c r="Y1908">
        <v>2</v>
      </c>
      <c r="Z1908">
        <v>0</v>
      </c>
      <c r="AA1908" t="s">
        <v>49</v>
      </c>
      <c r="AB1908">
        <v>0</v>
      </c>
      <c r="AC1908" t="s">
        <v>49</v>
      </c>
      <c r="AD1908">
        <v>0</v>
      </c>
      <c r="AE1908">
        <v>11221537</v>
      </c>
      <c r="AF1908" t="s">
        <v>50</v>
      </c>
      <c r="AG1908" t="s">
        <v>866</v>
      </c>
    </row>
    <row r="1909" spans="1:33" x14ac:dyDescent="0.35">
      <c r="A1909" s="1">
        <v>44852.819444444445</v>
      </c>
      <c r="B1909">
        <v>6403368</v>
      </c>
      <c r="C1909" t="s">
        <v>4211</v>
      </c>
      <c r="D1909" t="s">
        <v>137</v>
      </c>
      <c r="E1909" s="2">
        <v>44173</v>
      </c>
      <c r="F1909" t="str">
        <f>"9781536190007"</f>
        <v>9781536190007</v>
      </c>
      <c r="G1909" t="str">
        <f>"9781536189735"</f>
        <v>9781536189735</v>
      </c>
      <c r="H1909" t="s">
        <v>4212</v>
      </c>
      <c r="I1909">
        <v>6.4</v>
      </c>
      <c r="J1909" t="s">
        <v>4213</v>
      </c>
      <c r="K1909" t="s">
        <v>55</v>
      </c>
      <c r="Q1909" t="s">
        <v>47</v>
      </c>
      <c r="R1909" t="s">
        <v>44</v>
      </c>
      <c r="S1909">
        <v>0</v>
      </c>
      <c r="W1909" s="3">
        <v>1.1574074074074073E-5</v>
      </c>
      <c r="X1909" t="s">
        <v>49</v>
      </c>
      <c r="Y1909">
        <v>0</v>
      </c>
      <c r="Z1909">
        <v>0</v>
      </c>
      <c r="AA1909" t="s">
        <v>49</v>
      </c>
      <c r="AB1909">
        <v>0</v>
      </c>
      <c r="AC1909" t="s">
        <v>49</v>
      </c>
      <c r="AD1909">
        <v>0</v>
      </c>
      <c r="AE1909">
        <v>-1</v>
      </c>
      <c r="AF1909" t="s">
        <v>50</v>
      </c>
      <c r="AG1909" t="s">
        <v>118</v>
      </c>
    </row>
    <row r="1910" spans="1:33" x14ac:dyDescent="0.35">
      <c r="A1910" s="1">
        <v>44852.760416666664</v>
      </c>
      <c r="B1910">
        <v>6357206</v>
      </c>
      <c r="C1910" t="s">
        <v>4121</v>
      </c>
      <c r="D1910" t="s">
        <v>2193</v>
      </c>
      <c r="E1910" s="2">
        <v>44110</v>
      </c>
      <c r="F1910" t="str">
        <f>"9781440857355"</f>
        <v>9781440857355</v>
      </c>
      <c r="G1910" t="str">
        <f>"9781440857348"</f>
        <v>9781440857348</v>
      </c>
      <c r="H1910" t="s">
        <v>1046</v>
      </c>
      <c r="I1910">
        <v>364.16800000000001</v>
      </c>
      <c r="J1910" t="s">
        <v>4122</v>
      </c>
      <c r="K1910" t="s">
        <v>55</v>
      </c>
      <c r="Q1910" t="s">
        <v>47</v>
      </c>
      <c r="R1910" t="s">
        <v>44</v>
      </c>
      <c r="S1910">
        <v>0</v>
      </c>
      <c r="W1910" s="3">
        <v>2.8472222222222219E-3</v>
      </c>
      <c r="X1910" t="s">
        <v>4214</v>
      </c>
      <c r="Y1910">
        <v>7</v>
      </c>
      <c r="Z1910">
        <v>0</v>
      </c>
      <c r="AA1910" t="s">
        <v>49</v>
      </c>
      <c r="AB1910">
        <v>0</v>
      </c>
      <c r="AC1910" t="s">
        <v>49</v>
      </c>
      <c r="AD1910">
        <v>0</v>
      </c>
      <c r="AE1910">
        <v>-1</v>
      </c>
      <c r="AF1910" t="s">
        <v>50</v>
      </c>
      <c r="AG1910" t="s">
        <v>1536</v>
      </c>
    </row>
    <row r="1911" spans="1:33" x14ac:dyDescent="0.35">
      <c r="A1911" s="1">
        <v>44852.757638888892</v>
      </c>
      <c r="B1911">
        <v>180072</v>
      </c>
      <c r="C1911" t="s">
        <v>2798</v>
      </c>
      <c r="D1911" t="s">
        <v>76</v>
      </c>
      <c r="E1911" s="2">
        <v>35194</v>
      </c>
      <c r="F1911" t="str">
        <f>"9780203403600"</f>
        <v>9780203403600</v>
      </c>
      <c r="G1911" t="str">
        <f>"9780415020633"</f>
        <v>9780415020633</v>
      </c>
      <c r="H1911" t="s">
        <v>2799</v>
      </c>
      <c r="I1911" t="s">
        <v>2800</v>
      </c>
      <c r="J1911" t="s">
        <v>2801</v>
      </c>
      <c r="K1911" t="s">
        <v>44</v>
      </c>
      <c r="N1911" t="s">
        <v>45</v>
      </c>
      <c r="O1911" t="s">
        <v>46</v>
      </c>
      <c r="P1911" t="s">
        <v>45</v>
      </c>
      <c r="Q1911" t="s">
        <v>47</v>
      </c>
      <c r="R1911" t="s">
        <v>44</v>
      </c>
      <c r="S1911">
        <v>0</v>
      </c>
      <c r="W1911" s="3">
        <v>4.6296296296296293E-4</v>
      </c>
      <c r="X1911" t="s">
        <v>121</v>
      </c>
      <c r="Y1911">
        <v>1</v>
      </c>
      <c r="Z1911">
        <v>0</v>
      </c>
      <c r="AA1911" t="s">
        <v>49</v>
      </c>
      <c r="AB1911">
        <v>0</v>
      </c>
      <c r="AC1911" t="s">
        <v>49</v>
      </c>
      <c r="AD1911">
        <v>0</v>
      </c>
      <c r="AE1911">
        <v>11163958</v>
      </c>
      <c r="AF1911" t="s">
        <v>50</v>
      </c>
      <c r="AG1911" t="s">
        <v>3666</v>
      </c>
    </row>
    <row r="1912" spans="1:33" x14ac:dyDescent="0.35">
      <c r="A1912" s="1">
        <v>44852.757638888892</v>
      </c>
      <c r="B1912">
        <v>1249775</v>
      </c>
      <c r="C1912" t="s">
        <v>4215</v>
      </c>
      <c r="D1912" t="s">
        <v>1224</v>
      </c>
      <c r="E1912" s="2">
        <v>41577</v>
      </c>
      <c r="F1912" t="str">
        <f>"9783110336481"</f>
        <v>9783110336481</v>
      </c>
      <c r="G1912" t="str">
        <f>"9783110335934"</f>
        <v>9783110335934</v>
      </c>
      <c r="H1912" t="s">
        <v>43</v>
      </c>
      <c r="I1912">
        <v>510</v>
      </c>
      <c r="J1912" t="s">
        <v>4216</v>
      </c>
      <c r="K1912" t="s">
        <v>44</v>
      </c>
      <c r="N1912" t="s">
        <v>45</v>
      </c>
      <c r="O1912" t="s">
        <v>46</v>
      </c>
      <c r="P1912" t="s">
        <v>45</v>
      </c>
      <c r="Q1912" t="s">
        <v>47</v>
      </c>
      <c r="R1912" t="s">
        <v>44</v>
      </c>
      <c r="S1912">
        <v>0</v>
      </c>
      <c r="W1912" s="3">
        <v>5.7870370370370366E-5</v>
      </c>
      <c r="X1912" t="s">
        <v>4217</v>
      </c>
      <c r="Y1912">
        <v>1</v>
      </c>
      <c r="Z1912">
        <v>0</v>
      </c>
      <c r="AA1912" t="s">
        <v>49</v>
      </c>
      <c r="AB1912">
        <v>0</v>
      </c>
      <c r="AC1912" t="s">
        <v>49</v>
      </c>
      <c r="AD1912">
        <v>0</v>
      </c>
      <c r="AE1912">
        <v>10820011</v>
      </c>
      <c r="AF1912" t="s">
        <v>50</v>
      </c>
      <c r="AG1912" t="s">
        <v>3666</v>
      </c>
    </row>
    <row r="1913" spans="1:33" x14ac:dyDescent="0.35">
      <c r="A1913" s="1">
        <v>44852.757638888892</v>
      </c>
      <c r="B1913">
        <v>6360984</v>
      </c>
      <c r="C1913" t="s">
        <v>4218</v>
      </c>
      <c r="D1913" t="s">
        <v>105</v>
      </c>
      <c r="E1913" s="2">
        <v>44104</v>
      </c>
      <c r="F1913" t="str">
        <f>"9783030483890"</f>
        <v>9783030483890</v>
      </c>
      <c r="G1913" t="str">
        <f>"9783030483883"</f>
        <v>9783030483883</v>
      </c>
      <c r="H1913" t="s">
        <v>43</v>
      </c>
      <c r="I1913">
        <v>510.93</v>
      </c>
      <c r="J1913" t="s">
        <v>4219</v>
      </c>
      <c r="K1913" t="s">
        <v>55</v>
      </c>
      <c r="Q1913" t="s">
        <v>47</v>
      </c>
      <c r="R1913" t="s">
        <v>44</v>
      </c>
      <c r="S1913">
        <v>0</v>
      </c>
      <c r="W1913" s="3">
        <v>1.0416666666666667E-4</v>
      </c>
      <c r="X1913" t="s">
        <v>121</v>
      </c>
      <c r="Y1913">
        <v>1</v>
      </c>
      <c r="Z1913">
        <v>0</v>
      </c>
      <c r="AA1913" t="s">
        <v>49</v>
      </c>
      <c r="AB1913">
        <v>0</v>
      </c>
      <c r="AC1913" t="s">
        <v>49</v>
      </c>
      <c r="AD1913">
        <v>0</v>
      </c>
      <c r="AE1913">
        <v>-1</v>
      </c>
      <c r="AF1913" t="s">
        <v>50</v>
      </c>
      <c r="AG1913" t="s">
        <v>3666</v>
      </c>
    </row>
    <row r="1914" spans="1:33" x14ac:dyDescent="0.35">
      <c r="A1914" s="1">
        <v>44852.731944444444</v>
      </c>
      <c r="B1914">
        <v>5741230</v>
      </c>
      <c r="C1914" t="s">
        <v>4220</v>
      </c>
      <c r="D1914" t="s">
        <v>59</v>
      </c>
      <c r="E1914" s="2">
        <v>43550</v>
      </c>
      <c r="F1914" t="str">
        <f>"9781119519478"</f>
        <v>9781119519478</v>
      </c>
      <c r="G1914" t="str">
        <f>"9781119519447"</f>
        <v>9781119519447</v>
      </c>
      <c r="H1914" t="s">
        <v>60</v>
      </c>
      <c r="I1914" t="s">
        <v>1652</v>
      </c>
      <c r="J1914" t="s">
        <v>4221</v>
      </c>
      <c r="K1914" t="s">
        <v>55</v>
      </c>
      <c r="N1914" t="s">
        <v>45</v>
      </c>
      <c r="O1914" t="s">
        <v>46</v>
      </c>
      <c r="P1914" t="s">
        <v>45</v>
      </c>
      <c r="Q1914" t="s">
        <v>47</v>
      </c>
      <c r="R1914" t="s">
        <v>44</v>
      </c>
      <c r="S1914">
        <v>0</v>
      </c>
      <c r="W1914" s="3">
        <v>5.7870370370370366E-5</v>
      </c>
      <c r="X1914" t="s">
        <v>121</v>
      </c>
      <c r="Y1914">
        <v>1</v>
      </c>
      <c r="Z1914">
        <v>0</v>
      </c>
      <c r="AA1914" t="s">
        <v>49</v>
      </c>
      <c r="AB1914">
        <v>0</v>
      </c>
      <c r="AC1914" t="s">
        <v>49</v>
      </c>
      <c r="AD1914">
        <v>0</v>
      </c>
      <c r="AE1914">
        <v>-1</v>
      </c>
      <c r="AF1914" t="s">
        <v>50</v>
      </c>
      <c r="AG1914" t="s">
        <v>4222</v>
      </c>
    </row>
    <row r="1915" spans="1:33" x14ac:dyDescent="0.35">
      <c r="A1915" s="1">
        <v>44852.731944444444</v>
      </c>
      <c r="B1915">
        <v>279494</v>
      </c>
      <c r="C1915" t="s">
        <v>1333</v>
      </c>
      <c r="D1915" t="s">
        <v>125</v>
      </c>
      <c r="E1915" s="2">
        <v>37280</v>
      </c>
      <c r="F1915" t="str">
        <f>"9780198032953"</f>
        <v>9780198032953</v>
      </c>
      <c r="G1915" t="str">
        <f>"9780195144208"</f>
        <v>9780195144208</v>
      </c>
      <c r="H1915" t="s">
        <v>667</v>
      </c>
      <c r="I1915" t="s">
        <v>1334</v>
      </c>
      <c r="J1915" t="s">
        <v>1335</v>
      </c>
      <c r="K1915" t="s">
        <v>44</v>
      </c>
      <c r="N1915" t="s">
        <v>45</v>
      </c>
      <c r="O1915" t="s">
        <v>46</v>
      </c>
      <c r="P1915" t="s">
        <v>45</v>
      </c>
      <c r="Q1915" t="s">
        <v>47</v>
      </c>
      <c r="R1915" t="s">
        <v>44</v>
      </c>
      <c r="S1915">
        <v>0</v>
      </c>
      <c r="W1915" s="3">
        <v>3.1018518518518522E-3</v>
      </c>
      <c r="X1915" t="s">
        <v>4223</v>
      </c>
      <c r="Y1915">
        <v>14</v>
      </c>
      <c r="Z1915">
        <v>1</v>
      </c>
      <c r="AA1915" t="s">
        <v>1849</v>
      </c>
      <c r="AB1915">
        <v>18</v>
      </c>
      <c r="AC1915" t="s">
        <v>49</v>
      </c>
      <c r="AD1915">
        <v>0</v>
      </c>
      <c r="AE1915">
        <v>11303309</v>
      </c>
      <c r="AF1915" t="s">
        <v>50</v>
      </c>
      <c r="AG1915" t="s">
        <v>300</v>
      </c>
    </row>
    <row r="1916" spans="1:33" x14ac:dyDescent="0.35">
      <c r="A1916" s="1">
        <v>44852.710416666669</v>
      </c>
      <c r="B1916">
        <v>180072</v>
      </c>
      <c r="C1916" t="s">
        <v>2798</v>
      </c>
      <c r="D1916" t="s">
        <v>76</v>
      </c>
      <c r="E1916" s="2">
        <v>35194</v>
      </c>
      <c r="F1916" t="str">
        <f>"9780203403600"</f>
        <v>9780203403600</v>
      </c>
      <c r="G1916" t="str">
        <f>"9780415020633"</f>
        <v>9780415020633</v>
      </c>
      <c r="H1916" t="s">
        <v>2799</v>
      </c>
      <c r="I1916" t="s">
        <v>2800</v>
      </c>
      <c r="J1916" t="s">
        <v>2801</v>
      </c>
      <c r="K1916" t="s">
        <v>44</v>
      </c>
      <c r="N1916" t="s">
        <v>45</v>
      </c>
      <c r="O1916" t="s">
        <v>46</v>
      </c>
      <c r="P1916" t="s">
        <v>45</v>
      </c>
      <c r="Q1916" t="s">
        <v>47</v>
      </c>
      <c r="R1916" t="s">
        <v>44</v>
      </c>
      <c r="S1916">
        <v>0</v>
      </c>
      <c r="W1916" s="3">
        <v>2.488425925925926E-3</v>
      </c>
      <c r="X1916" t="s">
        <v>196</v>
      </c>
      <c r="Y1916">
        <v>2</v>
      </c>
      <c r="Z1916">
        <v>0</v>
      </c>
      <c r="AA1916" t="s">
        <v>49</v>
      </c>
      <c r="AB1916">
        <v>0</v>
      </c>
      <c r="AC1916" t="s">
        <v>49</v>
      </c>
      <c r="AD1916">
        <v>0</v>
      </c>
      <c r="AE1916">
        <v>11163958</v>
      </c>
      <c r="AF1916" t="s">
        <v>50</v>
      </c>
      <c r="AG1916" t="s">
        <v>3666</v>
      </c>
    </row>
    <row r="1917" spans="1:33" x14ac:dyDescent="0.35">
      <c r="A1917" s="1">
        <v>44852.640277777777</v>
      </c>
      <c r="B1917">
        <v>180072</v>
      </c>
      <c r="C1917" t="s">
        <v>2798</v>
      </c>
      <c r="D1917" t="s">
        <v>76</v>
      </c>
      <c r="E1917" s="2">
        <v>35194</v>
      </c>
      <c r="F1917" t="str">
        <f>"9780203403600"</f>
        <v>9780203403600</v>
      </c>
      <c r="G1917" t="str">
        <f>"9780415020633"</f>
        <v>9780415020633</v>
      </c>
      <c r="H1917" t="s">
        <v>2799</v>
      </c>
      <c r="I1917" t="s">
        <v>2800</v>
      </c>
      <c r="J1917" t="s">
        <v>2801</v>
      </c>
      <c r="K1917" t="s">
        <v>44</v>
      </c>
      <c r="N1917" t="s">
        <v>45</v>
      </c>
      <c r="O1917" t="s">
        <v>46</v>
      </c>
      <c r="P1917" t="s">
        <v>45</v>
      </c>
      <c r="Q1917" t="s">
        <v>47</v>
      </c>
      <c r="R1917" t="s">
        <v>44</v>
      </c>
      <c r="S1917">
        <v>1</v>
      </c>
      <c r="W1917" s="3">
        <v>1.0416666666666667E-3</v>
      </c>
      <c r="X1917" t="s">
        <v>4224</v>
      </c>
      <c r="Y1917">
        <v>4</v>
      </c>
      <c r="Z1917">
        <v>0</v>
      </c>
      <c r="AA1917" t="s">
        <v>49</v>
      </c>
      <c r="AB1917">
        <v>0</v>
      </c>
      <c r="AC1917" t="s">
        <v>49</v>
      </c>
      <c r="AD1917">
        <v>0</v>
      </c>
      <c r="AE1917">
        <v>11163958</v>
      </c>
      <c r="AF1917" t="s">
        <v>63</v>
      </c>
      <c r="AG1917" t="s">
        <v>3666</v>
      </c>
    </row>
    <row r="1918" spans="1:33" x14ac:dyDescent="0.35">
      <c r="A1918" s="1">
        <v>44852.634027777778</v>
      </c>
      <c r="B1918">
        <v>180072</v>
      </c>
      <c r="C1918" t="s">
        <v>2798</v>
      </c>
      <c r="D1918" t="s">
        <v>76</v>
      </c>
      <c r="E1918" s="2">
        <v>35194</v>
      </c>
      <c r="F1918" t="str">
        <f>"9780203403600"</f>
        <v>9780203403600</v>
      </c>
      <c r="G1918" t="str">
        <f>"9780415020633"</f>
        <v>9780415020633</v>
      </c>
      <c r="H1918" t="s">
        <v>2799</v>
      </c>
      <c r="I1918" t="s">
        <v>2800</v>
      </c>
      <c r="J1918" t="s">
        <v>2801</v>
      </c>
      <c r="K1918" t="s">
        <v>44</v>
      </c>
      <c r="N1918" t="s">
        <v>45</v>
      </c>
      <c r="O1918" t="s">
        <v>46</v>
      </c>
      <c r="P1918" t="s">
        <v>45</v>
      </c>
      <c r="Q1918" t="s">
        <v>47</v>
      </c>
      <c r="R1918" t="s">
        <v>44</v>
      </c>
      <c r="S1918">
        <v>0</v>
      </c>
      <c r="W1918" s="3">
        <v>6.1805555555555563E-3</v>
      </c>
      <c r="X1918" t="s">
        <v>4225</v>
      </c>
      <c r="Y1918">
        <v>17</v>
      </c>
      <c r="Z1918">
        <v>0</v>
      </c>
      <c r="AA1918" t="s">
        <v>49</v>
      </c>
      <c r="AB1918">
        <v>0</v>
      </c>
      <c r="AC1918" t="s">
        <v>4226</v>
      </c>
      <c r="AD1918">
        <v>2</v>
      </c>
      <c r="AE1918">
        <v>11163958</v>
      </c>
      <c r="AF1918" t="s">
        <v>63</v>
      </c>
      <c r="AG1918" t="s">
        <v>3666</v>
      </c>
    </row>
    <row r="1919" spans="1:33" x14ac:dyDescent="0.35">
      <c r="A1919" s="1">
        <v>44852.619444444441</v>
      </c>
      <c r="B1919">
        <v>4183127</v>
      </c>
      <c r="C1919" t="s">
        <v>190</v>
      </c>
      <c r="D1919" t="s">
        <v>59</v>
      </c>
      <c r="E1919" s="2">
        <v>42310</v>
      </c>
      <c r="F1919" t="str">
        <f>"9783527684649"</f>
        <v>9783527684649</v>
      </c>
      <c r="G1919" t="str">
        <f>"9783527331659"</f>
        <v>9783527331659</v>
      </c>
      <c r="H1919" t="s">
        <v>191</v>
      </c>
      <c r="I1919" t="s">
        <v>192</v>
      </c>
      <c r="J1919" t="s">
        <v>193</v>
      </c>
      <c r="K1919" t="s">
        <v>44</v>
      </c>
      <c r="N1919" t="s">
        <v>45</v>
      </c>
      <c r="O1919" t="s">
        <v>46</v>
      </c>
      <c r="P1919" t="s">
        <v>45</v>
      </c>
      <c r="Q1919" t="s">
        <v>47</v>
      </c>
      <c r="R1919" t="s">
        <v>44</v>
      </c>
      <c r="S1919">
        <v>0</v>
      </c>
      <c r="W1919" s="3">
        <v>1.9791666666666668E-3</v>
      </c>
      <c r="X1919" t="s">
        <v>1143</v>
      </c>
      <c r="Y1919">
        <v>7</v>
      </c>
      <c r="Z1919">
        <v>0</v>
      </c>
      <c r="AA1919" t="s">
        <v>49</v>
      </c>
      <c r="AB1919">
        <v>0</v>
      </c>
      <c r="AC1919" t="s">
        <v>49</v>
      </c>
      <c r="AD1919">
        <v>0</v>
      </c>
      <c r="AE1919">
        <v>11125579</v>
      </c>
      <c r="AF1919" t="s">
        <v>63</v>
      </c>
      <c r="AG1919" t="s">
        <v>1536</v>
      </c>
    </row>
    <row r="1920" spans="1:33" x14ac:dyDescent="0.35">
      <c r="A1920" s="1">
        <v>44852.518750000003</v>
      </c>
      <c r="B1920">
        <v>3338604</v>
      </c>
      <c r="C1920" t="s">
        <v>4227</v>
      </c>
      <c r="D1920" t="s">
        <v>303</v>
      </c>
      <c r="E1920" s="2">
        <v>38679</v>
      </c>
      <c r="F1920" t="str">
        <f>"9780262256834"</f>
        <v>9780262256834</v>
      </c>
      <c r="G1920" t="str">
        <f>"9780262182539"</f>
        <v>9780262182539</v>
      </c>
      <c r="H1920" t="s">
        <v>43</v>
      </c>
      <c r="I1920">
        <v>519.23199999999997</v>
      </c>
      <c r="J1920" t="s">
        <v>4228</v>
      </c>
      <c r="K1920" t="s">
        <v>44</v>
      </c>
      <c r="N1920" t="s">
        <v>45</v>
      </c>
      <c r="O1920" t="s">
        <v>46</v>
      </c>
      <c r="P1920" t="s">
        <v>45</v>
      </c>
      <c r="Q1920" t="s">
        <v>47</v>
      </c>
      <c r="R1920" t="s">
        <v>44</v>
      </c>
      <c r="S1920">
        <v>0</v>
      </c>
      <c r="W1920" s="3">
        <v>2.8935185185185189E-4</v>
      </c>
      <c r="X1920" t="s">
        <v>4229</v>
      </c>
      <c r="Y1920">
        <v>6</v>
      </c>
      <c r="Z1920">
        <v>0</v>
      </c>
      <c r="AA1920" t="s">
        <v>49</v>
      </c>
      <c r="AB1920">
        <v>0</v>
      </c>
      <c r="AC1920" t="s">
        <v>49</v>
      </c>
      <c r="AD1920">
        <v>0</v>
      </c>
      <c r="AE1920">
        <v>10173663</v>
      </c>
      <c r="AF1920" t="s">
        <v>50</v>
      </c>
      <c r="AG1920" t="s">
        <v>1536</v>
      </c>
    </row>
    <row r="1921" spans="1:33" x14ac:dyDescent="0.35">
      <c r="A1921" s="1">
        <v>44852.488888888889</v>
      </c>
      <c r="B1921">
        <v>5772949</v>
      </c>
      <c r="C1921" t="s">
        <v>1594</v>
      </c>
      <c r="D1921" t="s">
        <v>76</v>
      </c>
      <c r="E1921" s="2">
        <v>43615</v>
      </c>
      <c r="F1921" t="str">
        <f>"9781000000795"</f>
        <v>9781000000795</v>
      </c>
      <c r="G1921" t="str">
        <f>"9781138387799"</f>
        <v>9781138387799</v>
      </c>
      <c r="H1921" t="s">
        <v>90</v>
      </c>
      <c r="I1921">
        <v>370</v>
      </c>
      <c r="J1921" t="s">
        <v>1595</v>
      </c>
      <c r="K1921" t="s">
        <v>55</v>
      </c>
      <c r="N1921" t="s">
        <v>293</v>
      </c>
      <c r="P1921" t="s">
        <v>80</v>
      </c>
      <c r="Q1921" t="s">
        <v>47</v>
      </c>
      <c r="R1921" t="s">
        <v>44</v>
      </c>
      <c r="S1921">
        <v>0</v>
      </c>
      <c r="T1921">
        <v>40</v>
      </c>
      <c r="U1921" s="1">
        <v>44852.381249999999</v>
      </c>
      <c r="V1921" s="1">
        <v>44892.381249999999</v>
      </c>
      <c r="W1921" s="3">
        <v>1.849537037037037E-2</v>
      </c>
      <c r="X1921" t="s">
        <v>4230</v>
      </c>
      <c r="Y1921">
        <v>12</v>
      </c>
      <c r="Z1921">
        <v>0</v>
      </c>
      <c r="AA1921" t="s">
        <v>49</v>
      </c>
      <c r="AB1921">
        <v>0</v>
      </c>
      <c r="AC1921" t="s">
        <v>49</v>
      </c>
      <c r="AD1921">
        <v>0</v>
      </c>
      <c r="AE1921">
        <v>-1</v>
      </c>
      <c r="AF1921" t="s">
        <v>63</v>
      </c>
      <c r="AG1921" t="s">
        <v>4231</v>
      </c>
    </row>
    <row r="1922" spans="1:33" x14ac:dyDescent="0.35">
      <c r="A1922" s="1">
        <v>44852.442361111112</v>
      </c>
      <c r="B1922">
        <v>3338641</v>
      </c>
      <c r="C1922" t="s">
        <v>302</v>
      </c>
      <c r="D1922" t="s">
        <v>303</v>
      </c>
      <c r="E1922" s="2">
        <v>39143</v>
      </c>
      <c r="F1922" t="str">
        <f>"9780262282888"</f>
        <v>9780262282888</v>
      </c>
      <c r="G1922" t="str">
        <f>"9780262195577"</f>
        <v>9780262195577</v>
      </c>
      <c r="H1922" t="s">
        <v>304</v>
      </c>
      <c r="I1922" t="s">
        <v>305</v>
      </c>
      <c r="K1922" t="s">
        <v>44</v>
      </c>
      <c r="N1922" t="s">
        <v>45</v>
      </c>
      <c r="O1922" t="s">
        <v>46</v>
      </c>
      <c r="P1922" t="s">
        <v>45</v>
      </c>
      <c r="Q1922" t="s">
        <v>47</v>
      </c>
      <c r="R1922" t="s">
        <v>44</v>
      </c>
      <c r="S1922">
        <v>0</v>
      </c>
      <c r="W1922" s="3">
        <v>1.6203703703703703E-4</v>
      </c>
      <c r="X1922" t="s">
        <v>4232</v>
      </c>
      <c r="Y1922">
        <v>2</v>
      </c>
      <c r="Z1922">
        <v>0</v>
      </c>
      <c r="AA1922" t="s">
        <v>49</v>
      </c>
      <c r="AB1922">
        <v>0</v>
      </c>
      <c r="AC1922" t="s">
        <v>49</v>
      </c>
      <c r="AD1922">
        <v>0</v>
      </c>
      <c r="AE1922">
        <v>10173702</v>
      </c>
      <c r="AF1922" t="s">
        <v>50</v>
      </c>
      <c r="AG1922" t="s">
        <v>3419</v>
      </c>
    </row>
    <row r="1923" spans="1:33" x14ac:dyDescent="0.35">
      <c r="A1923" s="1">
        <v>44852.43472222222</v>
      </c>
      <c r="B1923">
        <v>3338641</v>
      </c>
      <c r="C1923" t="s">
        <v>302</v>
      </c>
      <c r="D1923" t="s">
        <v>303</v>
      </c>
      <c r="E1923" s="2">
        <v>39143</v>
      </c>
      <c r="F1923" t="str">
        <f>"9780262282888"</f>
        <v>9780262282888</v>
      </c>
      <c r="G1923" t="str">
        <f>"9780262195577"</f>
        <v>9780262195577</v>
      </c>
      <c r="H1923" t="s">
        <v>304</v>
      </c>
      <c r="I1923" t="s">
        <v>305</v>
      </c>
      <c r="K1923" t="s">
        <v>44</v>
      </c>
      <c r="N1923" t="s">
        <v>45</v>
      </c>
      <c r="O1923" t="s">
        <v>46</v>
      </c>
      <c r="P1923" t="s">
        <v>45</v>
      </c>
      <c r="Q1923" t="s">
        <v>47</v>
      </c>
      <c r="R1923" t="s">
        <v>44</v>
      </c>
      <c r="S1923">
        <v>0</v>
      </c>
      <c r="W1923" s="3">
        <v>2.3726851851851851E-3</v>
      </c>
      <c r="X1923" t="s">
        <v>4233</v>
      </c>
      <c r="Y1923">
        <v>21</v>
      </c>
      <c r="Z1923">
        <v>0</v>
      </c>
      <c r="AA1923" t="s">
        <v>49</v>
      </c>
      <c r="AB1923">
        <v>0</v>
      </c>
      <c r="AC1923" t="s">
        <v>49</v>
      </c>
      <c r="AD1923">
        <v>0</v>
      </c>
      <c r="AE1923">
        <v>10173702</v>
      </c>
      <c r="AF1923" t="s">
        <v>50</v>
      </c>
      <c r="AG1923" t="s">
        <v>3975</v>
      </c>
    </row>
    <row r="1924" spans="1:33" x14ac:dyDescent="0.35">
      <c r="A1924" s="1">
        <v>44852.427083333336</v>
      </c>
      <c r="B1924">
        <v>3338641</v>
      </c>
      <c r="C1924" t="s">
        <v>302</v>
      </c>
      <c r="D1924" t="s">
        <v>303</v>
      </c>
      <c r="E1924" s="2">
        <v>39143</v>
      </c>
      <c r="F1924" t="str">
        <f>"9780262282888"</f>
        <v>9780262282888</v>
      </c>
      <c r="G1924" t="str">
        <f>"9780262195577"</f>
        <v>9780262195577</v>
      </c>
      <c r="H1924" t="s">
        <v>304</v>
      </c>
      <c r="I1924" t="s">
        <v>305</v>
      </c>
      <c r="K1924" t="s">
        <v>44</v>
      </c>
      <c r="N1924" t="s">
        <v>45</v>
      </c>
      <c r="O1924" t="s">
        <v>46</v>
      </c>
      <c r="P1924" t="s">
        <v>45</v>
      </c>
      <c r="Q1924" t="s">
        <v>47</v>
      </c>
      <c r="R1924" t="s">
        <v>44</v>
      </c>
      <c r="S1924">
        <v>0</v>
      </c>
      <c r="W1924" s="3">
        <v>4.6296296296296294E-5</v>
      </c>
      <c r="X1924" t="s">
        <v>121</v>
      </c>
      <c r="Y1924">
        <v>1</v>
      </c>
      <c r="Z1924">
        <v>0</v>
      </c>
      <c r="AA1924" t="s">
        <v>49</v>
      </c>
      <c r="AB1924">
        <v>0</v>
      </c>
      <c r="AC1924" t="s">
        <v>49</v>
      </c>
      <c r="AD1924">
        <v>0</v>
      </c>
      <c r="AE1924">
        <v>10173702</v>
      </c>
      <c r="AF1924" t="s">
        <v>50</v>
      </c>
      <c r="AG1924" t="s">
        <v>1536</v>
      </c>
    </row>
    <row r="1925" spans="1:33" x14ac:dyDescent="0.35">
      <c r="A1925" s="1">
        <v>44852.417361111111</v>
      </c>
      <c r="B1925">
        <v>3338641</v>
      </c>
      <c r="C1925" t="s">
        <v>302</v>
      </c>
      <c r="D1925" t="s">
        <v>303</v>
      </c>
      <c r="E1925" s="2">
        <v>39143</v>
      </c>
      <c r="F1925" t="str">
        <f>"9780262282888"</f>
        <v>9780262282888</v>
      </c>
      <c r="G1925" t="str">
        <f>"9780262195577"</f>
        <v>9780262195577</v>
      </c>
      <c r="H1925" t="s">
        <v>304</v>
      </c>
      <c r="I1925" t="s">
        <v>305</v>
      </c>
      <c r="K1925" t="s">
        <v>44</v>
      </c>
      <c r="N1925" t="s">
        <v>45</v>
      </c>
      <c r="O1925" t="s">
        <v>46</v>
      </c>
      <c r="P1925" t="s">
        <v>45</v>
      </c>
      <c r="Q1925" t="s">
        <v>47</v>
      </c>
      <c r="R1925" t="s">
        <v>44</v>
      </c>
      <c r="S1925">
        <v>0</v>
      </c>
      <c r="W1925" s="3">
        <v>0</v>
      </c>
      <c r="X1925" t="s">
        <v>49</v>
      </c>
      <c r="Y1925">
        <v>0</v>
      </c>
      <c r="Z1925">
        <v>0</v>
      </c>
      <c r="AA1925" t="s">
        <v>49</v>
      </c>
      <c r="AB1925">
        <v>0</v>
      </c>
      <c r="AC1925" t="s">
        <v>49</v>
      </c>
      <c r="AD1925">
        <v>0</v>
      </c>
      <c r="AE1925">
        <v>10173702</v>
      </c>
      <c r="AF1925" t="s">
        <v>50</v>
      </c>
      <c r="AG1925" t="s">
        <v>505</v>
      </c>
    </row>
    <row r="1926" spans="1:33" x14ac:dyDescent="0.35">
      <c r="A1926" s="1">
        <v>44852.415972222225</v>
      </c>
      <c r="B1926">
        <v>6413200</v>
      </c>
      <c r="C1926" t="s">
        <v>4234</v>
      </c>
      <c r="D1926" t="s">
        <v>614</v>
      </c>
      <c r="E1926" s="2">
        <v>44161</v>
      </c>
      <c r="F1926" t="str">
        <f>"9789811592515"</f>
        <v>9789811592515</v>
      </c>
      <c r="G1926" t="str">
        <f>"9789811592508"</f>
        <v>9789811592508</v>
      </c>
      <c r="H1926" t="s">
        <v>4235</v>
      </c>
      <c r="I1926">
        <v>629.22929999999997</v>
      </c>
      <c r="J1926" t="s">
        <v>567</v>
      </c>
      <c r="K1926" t="s">
        <v>55</v>
      </c>
      <c r="Q1926" t="s">
        <v>47</v>
      </c>
      <c r="R1926" t="s">
        <v>44</v>
      </c>
      <c r="S1926">
        <v>0</v>
      </c>
      <c r="W1926" s="3">
        <v>0</v>
      </c>
      <c r="X1926" t="s">
        <v>49</v>
      </c>
      <c r="Y1926">
        <v>0</v>
      </c>
      <c r="Z1926">
        <v>0</v>
      </c>
      <c r="AA1926" t="s">
        <v>49</v>
      </c>
      <c r="AB1926">
        <v>0</v>
      </c>
      <c r="AC1926" t="s">
        <v>49</v>
      </c>
      <c r="AD1926">
        <v>0</v>
      </c>
      <c r="AE1926">
        <v>-1</v>
      </c>
      <c r="AF1926" t="s">
        <v>63</v>
      </c>
      <c r="AG1926" t="s">
        <v>4236</v>
      </c>
    </row>
    <row r="1927" spans="1:33" x14ac:dyDescent="0.35">
      <c r="A1927" s="1">
        <v>44852.408333333333</v>
      </c>
      <c r="B1927">
        <v>6710080</v>
      </c>
      <c r="C1927" t="s">
        <v>4237</v>
      </c>
      <c r="D1927" t="s">
        <v>76</v>
      </c>
      <c r="E1927" s="2">
        <v>44460</v>
      </c>
      <c r="F1927" t="str">
        <f>"9781000424966"</f>
        <v>9781000424966</v>
      </c>
      <c r="G1927" t="str">
        <f>"9780367709853"</f>
        <v>9780367709853</v>
      </c>
      <c r="H1927" t="s">
        <v>233</v>
      </c>
      <c r="I1927">
        <v>629.89499999999998</v>
      </c>
      <c r="J1927" t="s">
        <v>4238</v>
      </c>
      <c r="K1927" t="s">
        <v>55</v>
      </c>
      <c r="Q1927" t="s">
        <v>47</v>
      </c>
      <c r="R1927" t="s">
        <v>44</v>
      </c>
      <c r="S1927">
        <v>0</v>
      </c>
      <c r="W1927" s="3">
        <v>1.3194444444444443E-3</v>
      </c>
      <c r="X1927" t="s">
        <v>4239</v>
      </c>
      <c r="Y1927">
        <v>14</v>
      </c>
      <c r="Z1927">
        <v>0</v>
      </c>
      <c r="AA1927" t="s">
        <v>49</v>
      </c>
      <c r="AB1927">
        <v>0</v>
      </c>
      <c r="AC1927" t="s">
        <v>49</v>
      </c>
      <c r="AD1927">
        <v>0</v>
      </c>
      <c r="AE1927">
        <v>-1</v>
      </c>
      <c r="AF1927" t="s">
        <v>63</v>
      </c>
      <c r="AG1927" t="s">
        <v>1536</v>
      </c>
    </row>
    <row r="1928" spans="1:33" x14ac:dyDescent="0.35">
      <c r="A1928" s="1">
        <v>44852.381249999999</v>
      </c>
      <c r="B1928">
        <v>5772949</v>
      </c>
      <c r="C1928" t="s">
        <v>1594</v>
      </c>
      <c r="D1928" t="s">
        <v>76</v>
      </c>
      <c r="E1928" s="2">
        <v>43615</v>
      </c>
      <c r="F1928" t="str">
        <f>"9781000000795"</f>
        <v>9781000000795</v>
      </c>
      <c r="G1928" t="str">
        <f>"9781138387799"</f>
        <v>9781138387799</v>
      </c>
      <c r="H1928" t="s">
        <v>90</v>
      </c>
      <c r="I1928">
        <v>370</v>
      </c>
      <c r="J1928" t="s">
        <v>1595</v>
      </c>
      <c r="K1928" t="s">
        <v>55</v>
      </c>
      <c r="N1928" t="s">
        <v>293</v>
      </c>
      <c r="P1928" t="s">
        <v>80</v>
      </c>
      <c r="Q1928" t="s">
        <v>47</v>
      </c>
      <c r="R1928" t="s">
        <v>44</v>
      </c>
      <c r="S1928">
        <v>1</v>
      </c>
      <c r="T1928">
        <v>40</v>
      </c>
      <c r="U1928" s="1">
        <v>44852.381249999999</v>
      </c>
      <c r="V1928" s="1">
        <v>44892.381249999999</v>
      </c>
      <c r="W1928" s="3">
        <v>3.0092592592592595E-4</v>
      </c>
      <c r="X1928" t="s">
        <v>4240</v>
      </c>
      <c r="Y1928">
        <v>4</v>
      </c>
      <c r="Z1928">
        <v>0</v>
      </c>
      <c r="AA1928" t="s">
        <v>49</v>
      </c>
      <c r="AB1928">
        <v>0</v>
      </c>
      <c r="AC1928" t="s">
        <v>49</v>
      </c>
      <c r="AD1928">
        <v>0</v>
      </c>
      <c r="AE1928">
        <v>-1</v>
      </c>
      <c r="AF1928" t="s">
        <v>63</v>
      </c>
      <c r="AG1928" t="s">
        <v>4231</v>
      </c>
    </row>
    <row r="1929" spans="1:33" x14ac:dyDescent="0.35">
      <c r="A1929" s="1">
        <v>44852.277777777781</v>
      </c>
      <c r="B1929">
        <v>279494</v>
      </c>
      <c r="C1929" t="s">
        <v>1333</v>
      </c>
      <c r="D1929" t="s">
        <v>125</v>
      </c>
      <c r="E1929" s="2">
        <v>37280</v>
      </c>
      <c r="F1929" t="str">
        <f>"9780198032953"</f>
        <v>9780198032953</v>
      </c>
      <c r="G1929" t="str">
        <f>"9780195144208"</f>
        <v>9780195144208</v>
      </c>
      <c r="H1929" t="s">
        <v>667</v>
      </c>
      <c r="I1929" t="s">
        <v>1334</v>
      </c>
      <c r="J1929" t="s">
        <v>1335</v>
      </c>
      <c r="K1929" t="s">
        <v>44</v>
      </c>
      <c r="N1929" t="s">
        <v>45</v>
      </c>
      <c r="O1929" t="s">
        <v>46</v>
      </c>
      <c r="P1929" t="s">
        <v>45</v>
      </c>
      <c r="Q1929" t="s">
        <v>47</v>
      </c>
      <c r="R1929" t="s">
        <v>44</v>
      </c>
      <c r="S1929">
        <v>0</v>
      </c>
      <c r="W1929" s="3">
        <v>2.0833333333333335E-4</v>
      </c>
      <c r="X1929" t="s">
        <v>1258</v>
      </c>
      <c r="Y1929">
        <v>2</v>
      </c>
      <c r="Z1929">
        <v>0</v>
      </c>
      <c r="AA1929" t="s">
        <v>49</v>
      </c>
      <c r="AB1929">
        <v>0</v>
      </c>
      <c r="AC1929" t="s">
        <v>49</v>
      </c>
      <c r="AD1929">
        <v>0</v>
      </c>
      <c r="AE1929">
        <v>11303309</v>
      </c>
      <c r="AF1929" t="s">
        <v>50</v>
      </c>
      <c r="AG1929" t="s">
        <v>4241</v>
      </c>
    </row>
    <row r="1930" spans="1:33" x14ac:dyDescent="0.35">
      <c r="A1930" s="1">
        <v>44851.781944444447</v>
      </c>
      <c r="B1930">
        <v>665565</v>
      </c>
      <c r="C1930" t="s">
        <v>2309</v>
      </c>
      <c r="D1930" t="s">
        <v>2125</v>
      </c>
      <c r="E1930" s="2">
        <v>40483</v>
      </c>
      <c r="F1930" t="str">
        <f>"9781439828151"</f>
        <v>9781439828151</v>
      </c>
      <c r="G1930" t="str">
        <f>"9781439828144"</f>
        <v>9781439828144</v>
      </c>
      <c r="H1930" t="s">
        <v>60</v>
      </c>
      <c r="I1930">
        <v>658.7</v>
      </c>
      <c r="J1930" t="s">
        <v>2310</v>
      </c>
      <c r="K1930" t="s">
        <v>44</v>
      </c>
      <c r="N1930" t="s">
        <v>45</v>
      </c>
      <c r="O1930" t="s">
        <v>46</v>
      </c>
      <c r="P1930" t="s">
        <v>45</v>
      </c>
      <c r="Q1930" t="s">
        <v>47</v>
      </c>
      <c r="R1930" t="s">
        <v>44</v>
      </c>
      <c r="S1930">
        <v>0</v>
      </c>
      <c r="W1930" s="3">
        <v>4.6296296296296294E-5</v>
      </c>
      <c r="X1930" t="s">
        <v>121</v>
      </c>
      <c r="Y1930">
        <v>1</v>
      </c>
      <c r="Z1930">
        <v>0</v>
      </c>
      <c r="AA1930" t="s">
        <v>49</v>
      </c>
      <c r="AB1930">
        <v>0</v>
      </c>
      <c r="AC1930" t="s">
        <v>49</v>
      </c>
      <c r="AD1930">
        <v>0</v>
      </c>
      <c r="AE1930">
        <v>10449865</v>
      </c>
      <c r="AF1930" t="s">
        <v>50</v>
      </c>
      <c r="AG1930" t="s">
        <v>1536</v>
      </c>
    </row>
    <row r="1931" spans="1:33" x14ac:dyDescent="0.35">
      <c r="A1931" s="1">
        <v>44851.686111111114</v>
      </c>
      <c r="B1931">
        <v>5554541</v>
      </c>
      <c r="C1931" t="s">
        <v>4242</v>
      </c>
      <c r="D1931" t="s">
        <v>213</v>
      </c>
      <c r="E1931" s="2">
        <v>43390</v>
      </c>
      <c r="F1931" t="str">
        <f>"9780128138977"</f>
        <v>9780128138977</v>
      </c>
      <c r="G1931" t="str">
        <f>"9780128138960"</f>
        <v>9780128138960</v>
      </c>
      <c r="H1931" t="s">
        <v>4243</v>
      </c>
      <c r="I1931">
        <v>621.36</v>
      </c>
      <c r="J1931" t="s">
        <v>4244</v>
      </c>
      <c r="K1931" t="s">
        <v>55</v>
      </c>
      <c r="Q1931" t="s">
        <v>47</v>
      </c>
      <c r="R1931" t="s">
        <v>44</v>
      </c>
      <c r="S1931">
        <v>0</v>
      </c>
      <c r="W1931" s="3">
        <v>2.3611111111111111E-3</v>
      </c>
      <c r="X1931" t="s">
        <v>4245</v>
      </c>
      <c r="Y1931">
        <v>3</v>
      </c>
      <c r="Z1931">
        <v>0</v>
      </c>
      <c r="AA1931" t="s">
        <v>49</v>
      </c>
      <c r="AB1931">
        <v>0</v>
      </c>
      <c r="AC1931" t="s">
        <v>49</v>
      </c>
      <c r="AD1931">
        <v>0</v>
      </c>
      <c r="AE1931">
        <v>-1</v>
      </c>
      <c r="AF1931" t="s">
        <v>50</v>
      </c>
      <c r="AG1931" t="s">
        <v>1536</v>
      </c>
    </row>
    <row r="1932" spans="1:33" x14ac:dyDescent="0.35">
      <c r="A1932" s="1">
        <v>44851.646527777775</v>
      </c>
      <c r="B1932">
        <v>202096</v>
      </c>
      <c r="C1932" t="s">
        <v>4246</v>
      </c>
      <c r="D1932" t="s">
        <v>502</v>
      </c>
      <c r="E1932" s="2">
        <v>37231</v>
      </c>
      <c r="F1932" t="str">
        <f>"9780511155611"</f>
        <v>9780511155611</v>
      </c>
      <c r="G1932" t="str">
        <f>"9780521810548"</f>
        <v>9780521810548</v>
      </c>
      <c r="H1932" t="s">
        <v>4247</v>
      </c>
      <c r="I1932">
        <v>510</v>
      </c>
      <c r="J1932" t="s">
        <v>4248</v>
      </c>
      <c r="K1932" t="s">
        <v>44</v>
      </c>
      <c r="N1932" t="s">
        <v>45</v>
      </c>
      <c r="O1932" t="s">
        <v>46</v>
      </c>
      <c r="P1932" t="s">
        <v>45</v>
      </c>
      <c r="Q1932" t="s">
        <v>47</v>
      </c>
      <c r="R1932" t="s">
        <v>44</v>
      </c>
      <c r="S1932">
        <v>1</v>
      </c>
      <c r="W1932" s="3">
        <v>0</v>
      </c>
      <c r="X1932" t="s">
        <v>49</v>
      </c>
      <c r="Y1932">
        <v>0</v>
      </c>
      <c r="Z1932">
        <v>0</v>
      </c>
      <c r="AA1932" t="s">
        <v>49</v>
      </c>
      <c r="AB1932">
        <v>0</v>
      </c>
      <c r="AC1932" t="s">
        <v>49</v>
      </c>
      <c r="AD1932">
        <v>0</v>
      </c>
      <c r="AE1932">
        <v>10001842</v>
      </c>
      <c r="AF1932" t="s">
        <v>63</v>
      </c>
      <c r="AG1932" t="s">
        <v>118</v>
      </c>
    </row>
    <row r="1933" spans="1:33" x14ac:dyDescent="0.35">
      <c r="A1933" s="1">
        <v>44851.629861111112</v>
      </c>
      <c r="B1933">
        <v>6719360</v>
      </c>
      <c r="C1933" t="s">
        <v>4249</v>
      </c>
      <c r="D1933" t="s">
        <v>59</v>
      </c>
      <c r="E1933" s="2">
        <v>44453</v>
      </c>
      <c r="F1933" t="str">
        <f>"9781119114673"</f>
        <v>9781119114673</v>
      </c>
      <c r="G1933" t="str">
        <f>"9781119114635"</f>
        <v>9781119114635</v>
      </c>
      <c r="H1933" t="s">
        <v>542</v>
      </c>
      <c r="I1933">
        <v>621.38149999999996</v>
      </c>
      <c r="J1933" t="s">
        <v>4250</v>
      </c>
      <c r="K1933" t="s">
        <v>55</v>
      </c>
      <c r="Q1933" t="s">
        <v>47</v>
      </c>
      <c r="R1933" t="s">
        <v>44</v>
      </c>
      <c r="S1933">
        <v>0</v>
      </c>
      <c r="W1933" s="3">
        <v>2.8935185185185189E-4</v>
      </c>
      <c r="X1933" t="s">
        <v>4251</v>
      </c>
      <c r="Y1933">
        <v>8</v>
      </c>
      <c r="Z1933">
        <v>0</v>
      </c>
      <c r="AA1933" t="s">
        <v>49</v>
      </c>
      <c r="AB1933">
        <v>0</v>
      </c>
      <c r="AC1933" t="s">
        <v>49</v>
      </c>
      <c r="AD1933">
        <v>0</v>
      </c>
      <c r="AE1933">
        <v>-1</v>
      </c>
      <c r="AF1933" t="s">
        <v>50</v>
      </c>
      <c r="AG1933" t="s">
        <v>1536</v>
      </c>
    </row>
    <row r="1934" spans="1:33" x14ac:dyDescent="0.35">
      <c r="A1934" s="1">
        <v>44851.599305555559</v>
      </c>
      <c r="B1934">
        <v>1273074</v>
      </c>
      <c r="C1934" t="s">
        <v>3590</v>
      </c>
      <c r="D1934" t="s">
        <v>76</v>
      </c>
      <c r="E1934" s="2">
        <v>36372</v>
      </c>
      <c r="F1934" t="str">
        <f>"9781136318030"</f>
        <v>9781136318030</v>
      </c>
      <c r="G1934" t="str">
        <f>"9780415210058"</f>
        <v>9780415210058</v>
      </c>
      <c r="H1934" t="s">
        <v>244</v>
      </c>
      <c r="I1934">
        <v>155.41200000000001</v>
      </c>
      <c r="J1934" t="s">
        <v>3591</v>
      </c>
      <c r="K1934" t="s">
        <v>44</v>
      </c>
      <c r="N1934" t="s">
        <v>45</v>
      </c>
      <c r="O1934" t="s">
        <v>46</v>
      </c>
      <c r="P1934" t="s">
        <v>45</v>
      </c>
      <c r="Q1934" t="s">
        <v>47</v>
      </c>
      <c r="R1934" t="s">
        <v>44</v>
      </c>
      <c r="S1934">
        <v>0</v>
      </c>
      <c r="W1934" s="3">
        <v>3.4722222222222222E-5</v>
      </c>
      <c r="X1934" t="s">
        <v>121</v>
      </c>
      <c r="Y1934">
        <v>1</v>
      </c>
      <c r="Z1934">
        <v>0</v>
      </c>
      <c r="AA1934" t="s">
        <v>49</v>
      </c>
      <c r="AB1934">
        <v>0</v>
      </c>
      <c r="AC1934" t="s">
        <v>49</v>
      </c>
      <c r="AD1934">
        <v>0</v>
      </c>
      <c r="AE1934">
        <v>10017405</v>
      </c>
      <c r="AF1934" t="s">
        <v>50</v>
      </c>
      <c r="AG1934" t="s">
        <v>3836</v>
      </c>
    </row>
    <row r="1935" spans="1:33" x14ac:dyDescent="0.35">
      <c r="A1935" s="1">
        <v>44851.525694444441</v>
      </c>
      <c r="B1935">
        <v>6697071</v>
      </c>
      <c r="C1935" t="s">
        <v>4252</v>
      </c>
      <c r="D1935" t="s">
        <v>59</v>
      </c>
      <c r="E1935" s="2">
        <v>44432</v>
      </c>
      <c r="F1935" t="str">
        <f>"9781119769248"</f>
        <v>9781119769248</v>
      </c>
      <c r="G1935" t="str">
        <f>"9781119768852"</f>
        <v>9781119768852</v>
      </c>
      <c r="H1935" t="s">
        <v>106</v>
      </c>
      <c r="I1935">
        <v>6.31</v>
      </c>
      <c r="J1935" t="s">
        <v>4253</v>
      </c>
      <c r="K1935" t="s">
        <v>55</v>
      </c>
      <c r="Q1935" t="s">
        <v>47</v>
      </c>
      <c r="R1935" t="s">
        <v>44</v>
      </c>
      <c r="S1935">
        <v>0</v>
      </c>
      <c r="W1935" s="3">
        <v>3.5879629629629635E-4</v>
      </c>
      <c r="X1935" t="s">
        <v>4254</v>
      </c>
      <c r="Y1935">
        <v>8</v>
      </c>
      <c r="Z1935">
        <v>0</v>
      </c>
      <c r="AA1935" t="s">
        <v>49</v>
      </c>
      <c r="AB1935">
        <v>0</v>
      </c>
      <c r="AC1935" t="s">
        <v>49</v>
      </c>
      <c r="AD1935">
        <v>0</v>
      </c>
      <c r="AE1935">
        <v>-1</v>
      </c>
      <c r="AF1935" t="s">
        <v>50</v>
      </c>
      <c r="AG1935" t="s">
        <v>1536</v>
      </c>
    </row>
    <row r="1936" spans="1:33" x14ac:dyDescent="0.35">
      <c r="A1936" s="1">
        <v>44851.504861111112</v>
      </c>
      <c r="B1936">
        <v>279494</v>
      </c>
      <c r="C1936" t="s">
        <v>1333</v>
      </c>
      <c r="D1936" t="s">
        <v>125</v>
      </c>
      <c r="E1936" s="2">
        <v>37280</v>
      </c>
      <c r="F1936" t="str">
        <f>"9780198032953"</f>
        <v>9780198032953</v>
      </c>
      <c r="G1936" t="str">
        <f>"9780195144208"</f>
        <v>9780195144208</v>
      </c>
      <c r="H1936" t="s">
        <v>667</v>
      </c>
      <c r="I1936" t="s">
        <v>1334</v>
      </c>
      <c r="J1936" t="s">
        <v>1335</v>
      </c>
      <c r="K1936" t="s">
        <v>44</v>
      </c>
      <c r="N1936" t="s">
        <v>45</v>
      </c>
      <c r="O1936" t="s">
        <v>46</v>
      </c>
      <c r="P1936" t="s">
        <v>45</v>
      </c>
      <c r="Q1936" t="s">
        <v>47</v>
      </c>
      <c r="R1936" t="s">
        <v>44</v>
      </c>
      <c r="S1936">
        <v>0</v>
      </c>
      <c r="W1936" s="3">
        <v>2.2569444444444447E-3</v>
      </c>
      <c r="X1936" t="s">
        <v>1346</v>
      </c>
      <c r="Y1936">
        <v>4</v>
      </c>
      <c r="Z1936">
        <v>2</v>
      </c>
      <c r="AA1936" t="s">
        <v>2627</v>
      </c>
      <c r="AB1936">
        <v>34</v>
      </c>
      <c r="AC1936" t="s">
        <v>49</v>
      </c>
      <c r="AD1936">
        <v>0</v>
      </c>
      <c r="AE1936">
        <v>11303309</v>
      </c>
      <c r="AF1936" t="s">
        <v>50</v>
      </c>
      <c r="AG1936" t="s">
        <v>1536</v>
      </c>
    </row>
    <row r="1937" spans="1:33" x14ac:dyDescent="0.35">
      <c r="A1937" s="1">
        <v>44851.466666666667</v>
      </c>
      <c r="B1937">
        <v>279494</v>
      </c>
      <c r="C1937" t="s">
        <v>1333</v>
      </c>
      <c r="D1937" t="s">
        <v>125</v>
      </c>
      <c r="E1937" s="2">
        <v>37280</v>
      </c>
      <c r="F1937" t="str">
        <f>"9780198032953"</f>
        <v>9780198032953</v>
      </c>
      <c r="G1937" t="str">
        <f>"9780195144208"</f>
        <v>9780195144208</v>
      </c>
      <c r="H1937" t="s">
        <v>667</v>
      </c>
      <c r="I1937" t="s">
        <v>1334</v>
      </c>
      <c r="J1937" t="s">
        <v>1335</v>
      </c>
      <c r="K1937" t="s">
        <v>44</v>
      </c>
      <c r="N1937" t="s">
        <v>45</v>
      </c>
      <c r="O1937" t="s">
        <v>46</v>
      </c>
      <c r="P1937" t="s">
        <v>45</v>
      </c>
      <c r="Q1937" t="s">
        <v>47</v>
      </c>
      <c r="R1937" t="s">
        <v>44</v>
      </c>
      <c r="S1937">
        <v>0</v>
      </c>
      <c r="W1937" s="3">
        <v>1.9444444444444442E-3</v>
      </c>
      <c r="X1937" t="s">
        <v>4255</v>
      </c>
      <c r="Y1937">
        <v>19</v>
      </c>
      <c r="Z1937">
        <v>0</v>
      </c>
      <c r="AA1937" t="s">
        <v>49</v>
      </c>
      <c r="AB1937">
        <v>0</v>
      </c>
      <c r="AC1937" t="s">
        <v>49</v>
      </c>
      <c r="AD1937">
        <v>0</v>
      </c>
      <c r="AE1937">
        <v>11303309</v>
      </c>
      <c r="AF1937" t="s">
        <v>50</v>
      </c>
      <c r="AG1937" t="s">
        <v>1536</v>
      </c>
    </row>
    <row r="1938" spans="1:33" x14ac:dyDescent="0.35">
      <c r="A1938" s="1">
        <v>44851.443055555559</v>
      </c>
      <c r="B1938">
        <v>214304</v>
      </c>
      <c r="C1938" t="s">
        <v>4256</v>
      </c>
      <c r="D1938" t="s">
        <v>59</v>
      </c>
      <c r="E1938" s="2">
        <v>38169</v>
      </c>
      <c r="F1938" t="str">
        <f>"9780471663072"</f>
        <v>9780471663072</v>
      </c>
      <c r="G1938" t="str">
        <f>"9780471473787"</f>
        <v>9780471473787</v>
      </c>
      <c r="H1938" t="s">
        <v>542</v>
      </c>
      <c r="I1938">
        <v>621.38480000000004</v>
      </c>
      <c r="J1938" t="s">
        <v>4257</v>
      </c>
      <c r="K1938" t="s">
        <v>44</v>
      </c>
      <c r="N1938" t="s">
        <v>45</v>
      </c>
      <c r="O1938" t="s">
        <v>46</v>
      </c>
      <c r="P1938" t="s">
        <v>45</v>
      </c>
      <c r="Q1938" t="s">
        <v>47</v>
      </c>
      <c r="R1938" t="s">
        <v>44</v>
      </c>
      <c r="S1938">
        <v>0</v>
      </c>
      <c r="W1938" s="3">
        <v>6.018518518518519E-4</v>
      </c>
      <c r="X1938" t="s">
        <v>4258</v>
      </c>
      <c r="Y1938">
        <v>7</v>
      </c>
      <c r="Z1938">
        <v>0</v>
      </c>
      <c r="AA1938" t="s">
        <v>49</v>
      </c>
      <c r="AB1938">
        <v>0</v>
      </c>
      <c r="AC1938" t="s">
        <v>49</v>
      </c>
      <c r="AD1938">
        <v>0</v>
      </c>
      <c r="AE1938">
        <v>10114111</v>
      </c>
      <c r="AF1938" t="s">
        <v>63</v>
      </c>
      <c r="AG1938" t="s">
        <v>3419</v>
      </c>
    </row>
    <row r="1939" spans="1:33" x14ac:dyDescent="0.35">
      <c r="A1939" s="1">
        <v>44851.411111111112</v>
      </c>
      <c r="B1939">
        <v>1643810</v>
      </c>
      <c r="C1939" t="s">
        <v>3487</v>
      </c>
      <c r="D1939" t="s">
        <v>59</v>
      </c>
      <c r="E1939" s="2">
        <v>41743</v>
      </c>
      <c r="F1939" t="str">
        <f>"9781118653890"</f>
        <v>9781118653890</v>
      </c>
      <c r="G1939" t="str">
        <f>"9781119968603"</f>
        <v>9781119968603</v>
      </c>
      <c r="H1939" t="s">
        <v>151</v>
      </c>
      <c r="I1939">
        <v>616.85220000000004</v>
      </c>
      <c r="J1939" t="s">
        <v>3488</v>
      </c>
      <c r="K1939" t="s">
        <v>44</v>
      </c>
      <c r="N1939" t="s">
        <v>45</v>
      </c>
      <c r="O1939" t="s">
        <v>46</v>
      </c>
      <c r="P1939" t="s">
        <v>45</v>
      </c>
      <c r="Q1939" t="s">
        <v>47</v>
      </c>
      <c r="R1939" t="s">
        <v>44</v>
      </c>
      <c r="S1939">
        <v>0</v>
      </c>
      <c r="W1939" s="3">
        <v>2.627314814814815E-3</v>
      </c>
      <c r="X1939" t="s">
        <v>4259</v>
      </c>
      <c r="Y1939">
        <v>3</v>
      </c>
      <c r="Z1939">
        <v>0</v>
      </c>
      <c r="AA1939" t="s">
        <v>49</v>
      </c>
      <c r="AB1939">
        <v>0</v>
      </c>
      <c r="AC1939" t="s">
        <v>49</v>
      </c>
      <c r="AD1939">
        <v>0</v>
      </c>
      <c r="AE1939">
        <v>10856787</v>
      </c>
      <c r="AF1939" t="s">
        <v>50</v>
      </c>
      <c r="AG1939" t="s">
        <v>300</v>
      </c>
    </row>
    <row r="1940" spans="1:33" x14ac:dyDescent="0.35">
      <c r="A1940" s="1">
        <v>44851.405555555553</v>
      </c>
      <c r="B1940">
        <v>5772949</v>
      </c>
      <c r="C1940" t="s">
        <v>1594</v>
      </c>
      <c r="D1940" t="s">
        <v>76</v>
      </c>
      <c r="E1940" s="2">
        <v>43615</v>
      </c>
      <c r="F1940" t="str">
        <f>"9781000000795"</f>
        <v>9781000000795</v>
      </c>
      <c r="G1940" t="str">
        <f>"9781138387799"</f>
        <v>9781138387799</v>
      </c>
      <c r="H1940" t="s">
        <v>90</v>
      </c>
      <c r="I1940">
        <v>370</v>
      </c>
      <c r="J1940" t="s">
        <v>1595</v>
      </c>
      <c r="K1940" t="s">
        <v>55</v>
      </c>
      <c r="Q1940" t="s">
        <v>47</v>
      </c>
      <c r="R1940" t="s">
        <v>44</v>
      </c>
      <c r="S1940">
        <v>0</v>
      </c>
      <c r="W1940" s="3">
        <v>2.3865740740740743E-2</v>
      </c>
      <c r="X1940" t="s">
        <v>4260</v>
      </c>
      <c r="Y1940">
        <v>57</v>
      </c>
      <c r="Z1940">
        <v>0</v>
      </c>
      <c r="AA1940" t="s">
        <v>49</v>
      </c>
      <c r="AB1940">
        <v>0</v>
      </c>
      <c r="AC1940" t="s">
        <v>49</v>
      </c>
      <c r="AD1940">
        <v>0</v>
      </c>
      <c r="AE1940">
        <v>-1</v>
      </c>
      <c r="AF1940" t="s">
        <v>63</v>
      </c>
      <c r="AG1940" t="s">
        <v>3419</v>
      </c>
    </row>
    <row r="1941" spans="1:33" x14ac:dyDescent="0.35">
      <c r="A1941" s="1">
        <v>44851.390277777777</v>
      </c>
      <c r="B1941">
        <v>3564030</v>
      </c>
      <c r="C1941" t="s">
        <v>4153</v>
      </c>
      <c r="D1941" t="s">
        <v>175</v>
      </c>
      <c r="E1941" s="2">
        <v>38058</v>
      </c>
      <c r="F1941" t="str">
        <f>"9780309527200"</f>
        <v>9780309527200</v>
      </c>
      <c r="G1941" t="str">
        <f>"9780309090636"</f>
        <v>9780309090636</v>
      </c>
      <c r="H1941" t="s">
        <v>4154</v>
      </c>
      <c r="I1941" t="s">
        <v>4155</v>
      </c>
      <c r="J1941" t="s">
        <v>4156</v>
      </c>
      <c r="K1941" t="s">
        <v>44</v>
      </c>
      <c r="N1941" t="s">
        <v>45</v>
      </c>
      <c r="O1941" t="s">
        <v>46</v>
      </c>
      <c r="P1941" t="s">
        <v>177</v>
      </c>
      <c r="Q1941" t="s">
        <v>47</v>
      </c>
      <c r="R1941" t="s">
        <v>55</v>
      </c>
      <c r="S1941">
        <v>0</v>
      </c>
      <c r="W1941" s="3">
        <v>4.6296296296296294E-5</v>
      </c>
      <c r="X1941" t="s">
        <v>121</v>
      </c>
      <c r="Y1941">
        <v>1</v>
      </c>
      <c r="Z1941">
        <v>0</v>
      </c>
      <c r="AA1941" t="s">
        <v>49</v>
      </c>
      <c r="AB1941">
        <v>0</v>
      </c>
      <c r="AC1941" t="s">
        <v>49</v>
      </c>
      <c r="AD1941">
        <v>0</v>
      </c>
      <c r="AE1941">
        <v>10051648</v>
      </c>
      <c r="AF1941" t="s">
        <v>50</v>
      </c>
      <c r="AG1941" t="s">
        <v>1536</v>
      </c>
    </row>
    <row r="1942" spans="1:33" x14ac:dyDescent="0.35">
      <c r="A1942" s="1">
        <v>44851.381944444445</v>
      </c>
      <c r="B1942">
        <v>3338641</v>
      </c>
      <c r="C1942" t="s">
        <v>302</v>
      </c>
      <c r="D1942" t="s">
        <v>303</v>
      </c>
      <c r="E1942" s="2">
        <v>39143</v>
      </c>
      <c r="F1942" t="str">
        <f>"9780262282888"</f>
        <v>9780262282888</v>
      </c>
      <c r="G1942" t="str">
        <f>"9780262195577"</f>
        <v>9780262195577</v>
      </c>
      <c r="H1942" t="s">
        <v>304</v>
      </c>
      <c r="I1942" t="s">
        <v>305</v>
      </c>
      <c r="K1942" t="s">
        <v>44</v>
      </c>
      <c r="N1942" t="s">
        <v>45</v>
      </c>
      <c r="O1942" t="s">
        <v>46</v>
      </c>
      <c r="P1942" t="s">
        <v>45</v>
      </c>
      <c r="Q1942" t="s">
        <v>47</v>
      </c>
      <c r="R1942" t="s">
        <v>44</v>
      </c>
      <c r="S1942">
        <v>0</v>
      </c>
      <c r="W1942" s="3">
        <v>1.7361111111111112E-4</v>
      </c>
      <c r="X1942" t="s">
        <v>4261</v>
      </c>
      <c r="Y1942">
        <v>3</v>
      </c>
      <c r="Z1942">
        <v>0</v>
      </c>
      <c r="AA1942" t="s">
        <v>49</v>
      </c>
      <c r="AB1942">
        <v>0</v>
      </c>
      <c r="AC1942" t="s">
        <v>49</v>
      </c>
      <c r="AD1942">
        <v>0</v>
      </c>
      <c r="AE1942">
        <v>10173702</v>
      </c>
      <c r="AF1942" t="s">
        <v>50</v>
      </c>
      <c r="AG1942" t="s">
        <v>3975</v>
      </c>
    </row>
    <row r="1943" spans="1:33" x14ac:dyDescent="0.35">
      <c r="A1943" s="1">
        <v>44851.084722222222</v>
      </c>
      <c r="B1943">
        <v>5139938</v>
      </c>
      <c r="C1943" t="s">
        <v>295</v>
      </c>
      <c r="D1943" t="s">
        <v>296</v>
      </c>
      <c r="E1943" s="2">
        <v>41852</v>
      </c>
      <c r="F1943" t="str">
        <f>"9781613994078"</f>
        <v>9781613994078</v>
      </c>
      <c r="G1943" t="str">
        <f>"9781613993286"</f>
        <v>9781613993286</v>
      </c>
      <c r="H1943" t="s">
        <v>297</v>
      </c>
      <c r="I1943">
        <v>622.33820000000003</v>
      </c>
      <c r="J1943" t="s">
        <v>298</v>
      </c>
      <c r="K1943" t="s">
        <v>44</v>
      </c>
      <c r="N1943" t="s">
        <v>45</v>
      </c>
      <c r="O1943" t="s">
        <v>46</v>
      </c>
      <c r="P1943" t="s">
        <v>45</v>
      </c>
      <c r="Q1943" t="s">
        <v>47</v>
      </c>
      <c r="R1943" t="s">
        <v>44</v>
      </c>
      <c r="S1943">
        <v>0</v>
      </c>
      <c r="W1943" s="3">
        <v>0</v>
      </c>
      <c r="X1943" t="s">
        <v>49</v>
      </c>
      <c r="Y1943">
        <v>0</v>
      </c>
      <c r="Z1943">
        <v>1</v>
      </c>
      <c r="AA1943" t="s">
        <v>389</v>
      </c>
      <c r="AB1943">
        <v>44</v>
      </c>
      <c r="AC1943" t="s">
        <v>49</v>
      </c>
      <c r="AD1943">
        <v>0</v>
      </c>
      <c r="AE1943">
        <v>11465346</v>
      </c>
      <c r="AF1943" t="s">
        <v>50</v>
      </c>
      <c r="AG1943" t="s">
        <v>1536</v>
      </c>
    </row>
    <row r="1944" spans="1:33" x14ac:dyDescent="0.35">
      <c r="A1944" s="1">
        <v>44850.947222222225</v>
      </c>
      <c r="B1944">
        <v>5116604</v>
      </c>
      <c r="C1944" t="s">
        <v>4059</v>
      </c>
      <c r="D1944" t="s">
        <v>213</v>
      </c>
      <c r="E1944" s="2">
        <v>43039</v>
      </c>
      <c r="F1944" t="str">
        <f>"9780444640109"</f>
        <v>9780444640109</v>
      </c>
      <c r="G1944" t="str">
        <f>"9780444639035"</f>
        <v>9780444639035</v>
      </c>
      <c r="H1944" t="s">
        <v>1112</v>
      </c>
      <c r="I1944">
        <v>661.82399999999996</v>
      </c>
      <c r="J1944" t="s">
        <v>4060</v>
      </c>
      <c r="K1944" t="s">
        <v>44</v>
      </c>
      <c r="N1944" t="s">
        <v>45</v>
      </c>
      <c r="O1944" t="s">
        <v>46</v>
      </c>
      <c r="P1944" t="s">
        <v>45</v>
      </c>
      <c r="Q1944" t="s">
        <v>47</v>
      </c>
      <c r="R1944" t="s">
        <v>44</v>
      </c>
      <c r="S1944">
        <v>0</v>
      </c>
      <c r="W1944" s="3">
        <v>1.1574074074074073E-5</v>
      </c>
      <c r="X1944" t="s">
        <v>49</v>
      </c>
      <c r="Y1944">
        <v>0</v>
      </c>
      <c r="Z1944">
        <v>1</v>
      </c>
      <c r="AA1944" t="s">
        <v>4262</v>
      </c>
      <c r="AB1944">
        <v>18</v>
      </c>
      <c r="AC1944" t="s">
        <v>49</v>
      </c>
      <c r="AD1944">
        <v>0</v>
      </c>
      <c r="AE1944">
        <v>11462095</v>
      </c>
      <c r="AF1944" t="s">
        <v>50</v>
      </c>
      <c r="AG1944" t="s">
        <v>1536</v>
      </c>
    </row>
    <row r="1945" spans="1:33" x14ac:dyDescent="0.35">
      <c r="A1945" s="1">
        <v>44850.836111111108</v>
      </c>
      <c r="B1945">
        <v>4850996</v>
      </c>
      <c r="C1945" t="s">
        <v>4263</v>
      </c>
      <c r="D1945" t="s">
        <v>4264</v>
      </c>
      <c r="E1945" s="2">
        <v>42603</v>
      </c>
      <c r="F1945" t="str">
        <f>"9781843271956"</f>
        <v>9781843271956</v>
      </c>
      <c r="G1945" t="str">
        <f>""</f>
        <v/>
      </c>
      <c r="H1945" t="s">
        <v>162</v>
      </c>
      <c r="I1945">
        <v>299.51400000000001</v>
      </c>
      <c r="J1945" t="s">
        <v>4265</v>
      </c>
      <c r="K1945" t="s">
        <v>44</v>
      </c>
      <c r="N1945" t="s">
        <v>45</v>
      </c>
      <c r="O1945" t="s">
        <v>46</v>
      </c>
      <c r="P1945" t="s">
        <v>45</v>
      </c>
      <c r="Q1945" t="s">
        <v>47</v>
      </c>
      <c r="R1945" t="s">
        <v>44</v>
      </c>
      <c r="S1945">
        <v>0</v>
      </c>
      <c r="W1945" s="3">
        <v>4.0208333333333332E-2</v>
      </c>
      <c r="X1945" t="s">
        <v>4266</v>
      </c>
      <c r="Y1945">
        <v>43</v>
      </c>
      <c r="Z1945">
        <v>0</v>
      </c>
      <c r="AA1945" t="s">
        <v>49</v>
      </c>
      <c r="AB1945">
        <v>0</v>
      </c>
      <c r="AC1945" t="s">
        <v>4267</v>
      </c>
      <c r="AD1945">
        <v>18</v>
      </c>
      <c r="AE1945">
        <v>11380792</v>
      </c>
      <c r="AF1945" t="s">
        <v>50</v>
      </c>
      <c r="AG1945" t="s">
        <v>118</v>
      </c>
    </row>
    <row r="1946" spans="1:33" x14ac:dyDescent="0.35">
      <c r="A1946" s="1">
        <v>44850.790277777778</v>
      </c>
      <c r="B1946">
        <v>5989040</v>
      </c>
      <c r="C1946" t="s">
        <v>4268</v>
      </c>
      <c r="D1946" t="s">
        <v>4269</v>
      </c>
      <c r="E1946" s="2">
        <v>43787</v>
      </c>
      <c r="F1946" t="str">
        <f>"9781626239098"</f>
        <v>9781626239098</v>
      </c>
      <c r="G1946" t="str">
        <f>"9781626239081"</f>
        <v>9781626239081</v>
      </c>
      <c r="H1946" t="s">
        <v>77</v>
      </c>
      <c r="I1946">
        <v>616.80999999999904</v>
      </c>
      <c r="J1946" t="s">
        <v>4270</v>
      </c>
      <c r="K1946" t="s">
        <v>44</v>
      </c>
      <c r="N1946" t="s">
        <v>45</v>
      </c>
      <c r="O1946" t="s">
        <v>46</v>
      </c>
      <c r="P1946" t="s">
        <v>45</v>
      </c>
      <c r="Q1946" t="s">
        <v>47</v>
      </c>
      <c r="R1946" t="s">
        <v>44</v>
      </c>
      <c r="S1946">
        <v>0</v>
      </c>
      <c r="W1946" s="3">
        <v>1.8287037037037037E-3</v>
      </c>
      <c r="X1946" t="s">
        <v>4271</v>
      </c>
      <c r="Y1946">
        <v>14</v>
      </c>
      <c r="Z1946">
        <v>0</v>
      </c>
      <c r="AA1946" t="s">
        <v>49</v>
      </c>
      <c r="AB1946">
        <v>0</v>
      </c>
      <c r="AC1946" t="s">
        <v>49</v>
      </c>
      <c r="AD1946">
        <v>0</v>
      </c>
      <c r="AE1946">
        <v>-1</v>
      </c>
      <c r="AF1946" t="s">
        <v>50</v>
      </c>
      <c r="AG1946" t="s">
        <v>3419</v>
      </c>
    </row>
    <row r="1947" spans="1:33" x14ac:dyDescent="0.35">
      <c r="A1947" s="1">
        <v>44850.74722222222</v>
      </c>
      <c r="B1947">
        <v>1824195</v>
      </c>
      <c r="C1947" t="s">
        <v>4272</v>
      </c>
      <c r="D1947" t="s">
        <v>59</v>
      </c>
      <c r="E1947" s="2">
        <v>41988</v>
      </c>
      <c r="F1947" t="str">
        <f>"9781118383964"</f>
        <v>9781118383964</v>
      </c>
      <c r="G1947" t="str">
        <f>"9781118383940"</f>
        <v>9781118383940</v>
      </c>
      <c r="H1947" t="s">
        <v>4273</v>
      </c>
      <c r="I1947" t="s">
        <v>4274</v>
      </c>
      <c r="J1947" t="s">
        <v>4275</v>
      </c>
      <c r="K1947" t="s">
        <v>44</v>
      </c>
      <c r="N1947" t="s">
        <v>45</v>
      </c>
      <c r="O1947" t="s">
        <v>46</v>
      </c>
      <c r="P1947" t="s">
        <v>45</v>
      </c>
      <c r="Q1947" t="s">
        <v>47</v>
      </c>
      <c r="R1947" t="s">
        <v>44</v>
      </c>
      <c r="S1947">
        <v>1</v>
      </c>
      <c r="W1947" s="3">
        <v>4.1666666666666669E-4</v>
      </c>
      <c r="X1947" t="s">
        <v>4276</v>
      </c>
      <c r="Y1947">
        <v>3</v>
      </c>
      <c r="Z1947">
        <v>1</v>
      </c>
      <c r="AA1947" t="s">
        <v>4277</v>
      </c>
      <c r="AB1947">
        <v>30</v>
      </c>
      <c r="AC1947" t="s">
        <v>49</v>
      </c>
      <c r="AD1947">
        <v>0</v>
      </c>
      <c r="AE1947">
        <v>10960602</v>
      </c>
      <c r="AF1947" t="s">
        <v>63</v>
      </c>
      <c r="AG1947" t="s">
        <v>1536</v>
      </c>
    </row>
    <row r="1948" spans="1:33" x14ac:dyDescent="0.35">
      <c r="A1948" s="1">
        <v>44850.640972222223</v>
      </c>
      <c r="B1948">
        <v>4038348</v>
      </c>
      <c r="C1948" t="s">
        <v>4278</v>
      </c>
      <c r="D1948" t="s">
        <v>59</v>
      </c>
      <c r="E1948" s="2">
        <v>42240</v>
      </c>
      <c r="F1948" t="str">
        <f>"9781118752616"</f>
        <v>9781118752616</v>
      </c>
      <c r="G1948" t="str">
        <f>"9781118752524"</f>
        <v>9781118752524</v>
      </c>
      <c r="H1948" t="s">
        <v>233</v>
      </c>
      <c r="I1948">
        <v>629.25019999999995</v>
      </c>
      <c r="J1948" t="s">
        <v>4279</v>
      </c>
      <c r="K1948" t="s">
        <v>44</v>
      </c>
      <c r="N1948" t="s">
        <v>45</v>
      </c>
      <c r="O1948" t="s">
        <v>46</v>
      </c>
      <c r="P1948" t="s">
        <v>45</v>
      </c>
      <c r="Q1948" t="s">
        <v>47</v>
      </c>
      <c r="R1948" t="s">
        <v>44</v>
      </c>
      <c r="S1948">
        <v>1</v>
      </c>
      <c r="W1948" s="3">
        <v>0</v>
      </c>
      <c r="X1948" t="s">
        <v>49</v>
      </c>
      <c r="Y1948">
        <v>0</v>
      </c>
      <c r="Z1948">
        <v>0</v>
      </c>
      <c r="AA1948" t="s">
        <v>49</v>
      </c>
      <c r="AB1948">
        <v>0</v>
      </c>
      <c r="AC1948" t="s">
        <v>49</v>
      </c>
      <c r="AD1948">
        <v>0</v>
      </c>
      <c r="AE1948">
        <v>11112300</v>
      </c>
      <c r="AF1948" t="s">
        <v>63</v>
      </c>
      <c r="AG1948" t="s">
        <v>1536</v>
      </c>
    </row>
    <row r="1949" spans="1:33" x14ac:dyDescent="0.35">
      <c r="A1949" s="1">
        <v>44850.599305555559</v>
      </c>
      <c r="B1949">
        <v>957290</v>
      </c>
      <c r="C1949" t="s">
        <v>4280</v>
      </c>
      <c r="D1949" t="s">
        <v>76</v>
      </c>
      <c r="E1949" s="2">
        <v>40941</v>
      </c>
      <c r="F1949" t="str">
        <f>"9780203127711"</f>
        <v>9780203127711</v>
      </c>
      <c r="G1949" t="str">
        <f>"9780415895347"</f>
        <v>9780415895347</v>
      </c>
      <c r="H1949" t="s">
        <v>1046</v>
      </c>
      <c r="I1949">
        <v>302.23099999999999</v>
      </c>
      <c r="J1949" t="s">
        <v>4281</v>
      </c>
      <c r="K1949" t="s">
        <v>44</v>
      </c>
      <c r="N1949" t="s">
        <v>45</v>
      </c>
      <c r="O1949" t="s">
        <v>46</v>
      </c>
      <c r="P1949" t="s">
        <v>45</v>
      </c>
      <c r="Q1949" t="s">
        <v>47</v>
      </c>
      <c r="R1949" t="s">
        <v>44</v>
      </c>
      <c r="S1949">
        <v>0</v>
      </c>
      <c r="W1949" s="3">
        <v>2.5462962962962961E-3</v>
      </c>
      <c r="X1949" t="s">
        <v>4282</v>
      </c>
      <c r="Y1949">
        <v>9</v>
      </c>
      <c r="Z1949">
        <v>0</v>
      </c>
      <c r="AA1949" t="s">
        <v>49</v>
      </c>
      <c r="AB1949">
        <v>0</v>
      </c>
      <c r="AC1949" t="s">
        <v>49</v>
      </c>
      <c r="AD1949">
        <v>0</v>
      </c>
      <c r="AE1949">
        <v>10535074</v>
      </c>
      <c r="AF1949" t="s">
        <v>50</v>
      </c>
      <c r="AG1949" t="s">
        <v>1536</v>
      </c>
    </row>
    <row r="1950" spans="1:33" x14ac:dyDescent="0.35">
      <c r="A1950" s="1">
        <v>44850.583333333336</v>
      </c>
      <c r="B1950">
        <v>6538936</v>
      </c>
      <c r="C1950" t="s">
        <v>4283</v>
      </c>
      <c r="D1950" t="s">
        <v>65</v>
      </c>
      <c r="E1950" s="2">
        <v>44295</v>
      </c>
      <c r="F1950" t="str">
        <f>"9780128203545"</f>
        <v>9780128203545</v>
      </c>
      <c r="G1950" t="str">
        <f>"9780128203538"</f>
        <v>9780128203538</v>
      </c>
      <c r="H1950" t="s">
        <v>1422</v>
      </c>
      <c r="I1950">
        <v>6.6959999999999997</v>
      </c>
      <c r="J1950" t="s">
        <v>4284</v>
      </c>
      <c r="K1950" t="s">
        <v>55</v>
      </c>
      <c r="Q1950" t="s">
        <v>47</v>
      </c>
      <c r="R1950" t="s">
        <v>44</v>
      </c>
      <c r="S1950">
        <v>0</v>
      </c>
      <c r="W1950" s="3">
        <v>8.4143518518518517E-3</v>
      </c>
      <c r="X1950" t="s">
        <v>4285</v>
      </c>
      <c r="Y1950">
        <v>19</v>
      </c>
      <c r="Z1950">
        <v>0</v>
      </c>
      <c r="AA1950" t="s">
        <v>49</v>
      </c>
      <c r="AB1950">
        <v>0</v>
      </c>
      <c r="AC1950" t="s">
        <v>49</v>
      </c>
      <c r="AD1950">
        <v>0</v>
      </c>
      <c r="AE1950">
        <v>-1</v>
      </c>
      <c r="AF1950" t="s">
        <v>63</v>
      </c>
      <c r="AG1950" t="s">
        <v>1536</v>
      </c>
    </row>
    <row r="1951" spans="1:33" x14ac:dyDescent="0.35">
      <c r="A1951" s="1">
        <v>44850.556944444441</v>
      </c>
      <c r="B1951">
        <v>5829217</v>
      </c>
      <c r="C1951" t="s">
        <v>626</v>
      </c>
      <c r="D1951" t="s">
        <v>627</v>
      </c>
      <c r="E1951" s="2">
        <v>43259</v>
      </c>
      <c r="F1951" t="str">
        <f>"9781496395139"</f>
        <v>9781496395139</v>
      </c>
      <c r="G1951" t="str">
        <f>"9781496335418"</f>
        <v>9781496335418</v>
      </c>
      <c r="H1951" t="s">
        <v>77</v>
      </c>
      <c r="I1951" t="s">
        <v>628</v>
      </c>
      <c r="J1951" t="s">
        <v>629</v>
      </c>
      <c r="K1951" t="s">
        <v>44</v>
      </c>
      <c r="N1951" t="s">
        <v>45</v>
      </c>
      <c r="O1951" t="s">
        <v>46</v>
      </c>
      <c r="P1951" t="s">
        <v>45</v>
      </c>
      <c r="Q1951" t="s">
        <v>47</v>
      </c>
      <c r="R1951" t="s">
        <v>44</v>
      </c>
      <c r="S1951">
        <v>0</v>
      </c>
      <c r="W1951" s="3">
        <v>3.9178240740740743E-2</v>
      </c>
      <c r="X1951" t="s">
        <v>4286</v>
      </c>
      <c r="Y1951">
        <v>35</v>
      </c>
      <c r="Z1951">
        <v>0</v>
      </c>
      <c r="AA1951" t="s">
        <v>49</v>
      </c>
      <c r="AB1951">
        <v>0</v>
      </c>
      <c r="AC1951" t="s">
        <v>49</v>
      </c>
      <c r="AD1951">
        <v>0</v>
      </c>
      <c r="AE1951">
        <v>-1</v>
      </c>
      <c r="AF1951" t="s">
        <v>50</v>
      </c>
      <c r="AG1951" t="s">
        <v>866</v>
      </c>
    </row>
    <row r="1952" spans="1:33" x14ac:dyDescent="0.35">
      <c r="A1952" s="1">
        <v>44850.521527777775</v>
      </c>
      <c r="B1952">
        <v>5748657</v>
      </c>
      <c r="C1952" t="s">
        <v>4287</v>
      </c>
      <c r="D1952" t="s">
        <v>1207</v>
      </c>
      <c r="E1952" s="2">
        <v>43572</v>
      </c>
      <c r="F1952" t="str">
        <f>"9781447338796"</f>
        <v>9781447338796</v>
      </c>
      <c r="G1952" t="str">
        <f>"9781447338772"</f>
        <v>9781447338772</v>
      </c>
      <c r="H1952" t="s">
        <v>133</v>
      </c>
      <c r="I1952">
        <v>331.25763000000001</v>
      </c>
      <c r="J1952" t="s">
        <v>4288</v>
      </c>
      <c r="K1952" t="s">
        <v>55</v>
      </c>
      <c r="Q1952" t="s">
        <v>47</v>
      </c>
      <c r="R1952" t="s">
        <v>44</v>
      </c>
      <c r="S1952">
        <v>0</v>
      </c>
      <c r="W1952" s="3">
        <v>5.2083333333333333E-4</v>
      </c>
      <c r="X1952" t="s">
        <v>4289</v>
      </c>
      <c r="Y1952">
        <v>8</v>
      </c>
      <c r="Z1952">
        <v>0</v>
      </c>
      <c r="AA1952" t="s">
        <v>49</v>
      </c>
      <c r="AB1952">
        <v>0</v>
      </c>
      <c r="AC1952" t="s">
        <v>49</v>
      </c>
      <c r="AD1952">
        <v>0</v>
      </c>
      <c r="AE1952">
        <v>-1</v>
      </c>
      <c r="AF1952" t="s">
        <v>50</v>
      </c>
      <c r="AG1952" t="s">
        <v>1536</v>
      </c>
    </row>
    <row r="1953" spans="1:33" x14ac:dyDescent="0.35">
      <c r="A1953" s="1">
        <v>44850.510416666664</v>
      </c>
      <c r="B1953">
        <v>5829217</v>
      </c>
      <c r="C1953" t="s">
        <v>626</v>
      </c>
      <c r="D1953" t="s">
        <v>627</v>
      </c>
      <c r="E1953" s="2">
        <v>43259</v>
      </c>
      <c r="F1953" t="str">
        <f>"9781496395139"</f>
        <v>9781496395139</v>
      </c>
      <c r="G1953" t="str">
        <f>"9781496335418"</f>
        <v>9781496335418</v>
      </c>
      <c r="H1953" t="s">
        <v>77</v>
      </c>
      <c r="I1953" t="s">
        <v>628</v>
      </c>
      <c r="J1953" t="s">
        <v>629</v>
      </c>
      <c r="K1953" t="s">
        <v>44</v>
      </c>
      <c r="N1953" t="s">
        <v>45</v>
      </c>
      <c r="O1953" t="s">
        <v>46</v>
      </c>
      <c r="P1953" t="s">
        <v>45</v>
      </c>
      <c r="Q1953" t="s">
        <v>47</v>
      </c>
      <c r="R1953" t="s">
        <v>44</v>
      </c>
      <c r="S1953">
        <v>0</v>
      </c>
      <c r="W1953" s="3">
        <v>1.5601851851851851E-2</v>
      </c>
      <c r="X1953" t="s">
        <v>4290</v>
      </c>
      <c r="Y1953">
        <v>10</v>
      </c>
      <c r="Z1953">
        <v>0</v>
      </c>
      <c r="AA1953" t="s">
        <v>49</v>
      </c>
      <c r="AB1953">
        <v>0</v>
      </c>
      <c r="AC1953" t="s">
        <v>49</v>
      </c>
      <c r="AD1953">
        <v>0</v>
      </c>
      <c r="AE1953">
        <v>-1</v>
      </c>
      <c r="AF1953" t="s">
        <v>50</v>
      </c>
      <c r="AG1953" t="s">
        <v>866</v>
      </c>
    </row>
    <row r="1954" spans="1:33" x14ac:dyDescent="0.35">
      <c r="A1954" s="1">
        <v>44850.084027777775</v>
      </c>
      <c r="B1954">
        <v>5139938</v>
      </c>
      <c r="C1954" t="s">
        <v>295</v>
      </c>
      <c r="D1954" t="s">
        <v>296</v>
      </c>
      <c r="E1954" s="2">
        <v>41852</v>
      </c>
      <c r="F1954" t="str">
        <f>"9781613994078"</f>
        <v>9781613994078</v>
      </c>
      <c r="G1954" t="str">
        <f>"9781613993286"</f>
        <v>9781613993286</v>
      </c>
      <c r="H1954" t="s">
        <v>297</v>
      </c>
      <c r="I1954">
        <v>622.33820000000003</v>
      </c>
      <c r="J1954" t="s">
        <v>298</v>
      </c>
      <c r="K1954" t="s">
        <v>44</v>
      </c>
      <c r="N1954" t="s">
        <v>45</v>
      </c>
      <c r="O1954" t="s">
        <v>46</v>
      </c>
      <c r="P1954" t="s">
        <v>45</v>
      </c>
      <c r="Q1954" t="s">
        <v>47</v>
      </c>
      <c r="R1954" t="s">
        <v>44</v>
      </c>
      <c r="S1954">
        <v>0</v>
      </c>
      <c r="W1954" s="3">
        <v>0</v>
      </c>
      <c r="X1954" t="s">
        <v>49</v>
      </c>
      <c r="Y1954">
        <v>0</v>
      </c>
      <c r="Z1954">
        <v>3</v>
      </c>
      <c r="AA1954" t="s">
        <v>4291</v>
      </c>
      <c r="AB1954">
        <v>126</v>
      </c>
      <c r="AC1954" t="s">
        <v>49</v>
      </c>
      <c r="AD1954">
        <v>0</v>
      </c>
      <c r="AE1954">
        <v>11465346</v>
      </c>
      <c r="AF1954" t="s">
        <v>50</v>
      </c>
      <c r="AG1954" t="s">
        <v>1536</v>
      </c>
    </row>
    <row r="1955" spans="1:33" x14ac:dyDescent="0.35">
      <c r="A1955" s="1">
        <v>44849.959722222222</v>
      </c>
      <c r="B1955">
        <v>3419934</v>
      </c>
      <c r="C1955" t="s">
        <v>4292</v>
      </c>
      <c r="D1955" t="s">
        <v>347</v>
      </c>
      <c r="E1955" s="2">
        <v>39022</v>
      </c>
      <c r="F1955" t="str">
        <f>"9780300128109"</f>
        <v>9780300128109</v>
      </c>
      <c r="G1955" t="str">
        <f>"9780300110708"</f>
        <v>9780300110708</v>
      </c>
      <c r="H1955" t="s">
        <v>1186</v>
      </c>
      <c r="I1955" t="s">
        <v>4293</v>
      </c>
      <c r="J1955" t="s">
        <v>4294</v>
      </c>
      <c r="K1955" t="s">
        <v>44</v>
      </c>
      <c r="N1955" t="s">
        <v>45</v>
      </c>
      <c r="O1955" t="s">
        <v>46</v>
      </c>
      <c r="P1955" t="s">
        <v>45</v>
      </c>
      <c r="Q1955" t="s">
        <v>47</v>
      </c>
      <c r="R1955" t="s">
        <v>44</v>
      </c>
      <c r="S1955">
        <v>1</v>
      </c>
      <c r="W1955" s="3">
        <v>1.1574074074074073E-4</v>
      </c>
      <c r="X1955" t="s">
        <v>196</v>
      </c>
      <c r="Y1955">
        <v>2</v>
      </c>
      <c r="Z1955">
        <v>0</v>
      </c>
      <c r="AA1955" t="s">
        <v>49</v>
      </c>
      <c r="AB1955">
        <v>0</v>
      </c>
      <c r="AC1955" t="s">
        <v>49</v>
      </c>
      <c r="AD1955">
        <v>0</v>
      </c>
      <c r="AE1955">
        <v>10169960</v>
      </c>
      <c r="AF1955" t="s">
        <v>63</v>
      </c>
      <c r="AG1955" t="s">
        <v>1536</v>
      </c>
    </row>
    <row r="1956" spans="1:33" x14ac:dyDescent="0.35">
      <c r="A1956" s="1">
        <v>44849.95</v>
      </c>
      <c r="B1956">
        <v>3419934</v>
      </c>
      <c r="C1956" t="s">
        <v>4292</v>
      </c>
      <c r="D1956" t="s">
        <v>347</v>
      </c>
      <c r="E1956" s="2">
        <v>39022</v>
      </c>
      <c r="F1956" t="str">
        <f>"9780300128109"</f>
        <v>9780300128109</v>
      </c>
      <c r="G1956" t="str">
        <f>"9780300110708"</f>
        <v>9780300110708</v>
      </c>
      <c r="H1956" t="s">
        <v>1186</v>
      </c>
      <c r="I1956" t="s">
        <v>4293</v>
      </c>
      <c r="J1956" t="s">
        <v>4294</v>
      </c>
      <c r="K1956" t="s">
        <v>44</v>
      </c>
      <c r="N1956" t="s">
        <v>45</v>
      </c>
      <c r="O1956" t="s">
        <v>46</v>
      </c>
      <c r="P1956" t="s">
        <v>45</v>
      </c>
      <c r="Q1956" t="s">
        <v>47</v>
      </c>
      <c r="R1956" t="s">
        <v>44</v>
      </c>
      <c r="S1956">
        <v>0</v>
      </c>
      <c r="W1956" s="3">
        <v>3.1134259259259257E-3</v>
      </c>
      <c r="X1956" t="s">
        <v>4295</v>
      </c>
      <c r="Y1956">
        <v>32</v>
      </c>
      <c r="Z1956">
        <v>0</v>
      </c>
      <c r="AA1956" t="s">
        <v>49</v>
      </c>
      <c r="AB1956">
        <v>0</v>
      </c>
      <c r="AC1956" t="s">
        <v>49</v>
      </c>
      <c r="AD1956">
        <v>0</v>
      </c>
      <c r="AE1956">
        <v>10169960</v>
      </c>
      <c r="AF1956" t="s">
        <v>63</v>
      </c>
      <c r="AG1956" t="s">
        <v>1536</v>
      </c>
    </row>
    <row r="1957" spans="1:33" x14ac:dyDescent="0.35">
      <c r="A1957" s="1">
        <v>44849.92083333333</v>
      </c>
      <c r="B1957">
        <v>675004</v>
      </c>
      <c r="C1957" t="s">
        <v>4296</v>
      </c>
      <c r="D1957" t="s">
        <v>59</v>
      </c>
      <c r="E1957" s="2">
        <v>40470</v>
      </c>
      <c r="F1957" t="str">
        <f>"9780470649831"</f>
        <v>9780470649831</v>
      </c>
      <c r="G1957" t="str">
        <f>"9780470293669"</f>
        <v>9780470293669</v>
      </c>
      <c r="H1957" t="s">
        <v>4297</v>
      </c>
      <c r="I1957" t="s">
        <v>4298</v>
      </c>
      <c r="J1957" t="s">
        <v>4299</v>
      </c>
      <c r="K1957" t="s">
        <v>44</v>
      </c>
      <c r="N1957" t="s">
        <v>45</v>
      </c>
      <c r="O1957" t="s">
        <v>46</v>
      </c>
      <c r="P1957" t="s">
        <v>45</v>
      </c>
      <c r="Q1957" t="s">
        <v>47</v>
      </c>
      <c r="R1957" t="s">
        <v>44</v>
      </c>
      <c r="S1957">
        <v>0</v>
      </c>
      <c r="W1957" s="3">
        <v>3.0092592592592595E-4</v>
      </c>
      <c r="X1957" t="s">
        <v>4300</v>
      </c>
      <c r="Y1957">
        <v>5</v>
      </c>
      <c r="Z1957">
        <v>0</v>
      </c>
      <c r="AA1957" t="s">
        <v>49</v>
      </c>
      <c r="AB1957">
        <v>0</v>
      </c>
      <c r="AC1957" t="s">
        <v>49</v>
      </c>
      <c r="AD1957">
        <v>0</v>
      </c>
      <c r="AE1957">
        <v>10452945</v>
      </c>
      <c r="AF1957" t="s">
        <v>50</v>
      </c>
      <c r="AG1957" t="s">
        <v>1536</v>
      </c>
    </row>
    <row r="1958" spans="1:33" x14ac:dyDescent="0.35">
      <c r="A1958" s="1">
        <v>44849.876388888886</v>
      </c>
      <c r="B1958">
        <v>5829217</v>
      </c>
      <c r="C1958" t="s">
        <v>626</v>
      </c>
      <c r="D1958" t="s">
        <v>627</v>
      </c>
      <c r="E1958" s="2">
        <v>43259</v>
      </c>
      <c r="F1958" t="str">
        <f>"9781496395139"</f>
        <v>9781496395139</v>
      </c>
      <c r="G1958" t="str">
        <f>"9781496335418"</f>
        <v>9781496335418</v>
      </c>
      <c r="H1958" t="s">
        <v>77</v>
      </c>
      <c r="I1958" t="s">
        <v>628</v>
      </c>
      <c r="J1958" t="s">
        <v>629</v>
      </c>
      <c r="K1958" t="s">
        <v>44</v>
      </c>
      <c r="N1958" t="s">
        <v>45</v>
      </c>
      <c r="O1958" t="s">
        <v>46</v>
      </c>
      <c r="P1958" t="s">
        <v>45</v>
      </c>
      <c r="Q1958" t="s">
        <v>47</v>
      </c>
      <c r="R1958" t="s">
        <v>44</v>
      </c>
      <c r="S1958">
        <v>0</v>
      </c>
      <c r="W1958" s="3">
        <v>1.5972222222222221E-3</v>
      </c>
      <c r="X1958" t="s">
        <v>4301</v>
      </c>
      <c r="Y1958">
        <v>13</v>
      </c>
      <c r="Z1958">
        <v>0</v>
      </c>
      <c r="AA1958" t="s">
        <v>49</v>
      </c>
      <c r="AB1958">
        <v>0</v>
      </c>
      <c r="AC1958" t="s">
        <v>49</v>
      </c>
      <c r="AD1958">
        <v>0</v>
      </c>
      <c r="AE1958">
        <v>-1</v>
      </c>
      <c r="AF1958" t="s">
        <v>50</v>
      </c>
      <c r="AG1958" t="s">
        <v>866</v>
      </c>
    </row>
    <row r="1959" spans="1:33" x14ac:dyDescent="0.35">
      <c r="A1959" s="1">
        <v>44849.804166666669</v>
      </c>
      <c r="B1959">
        <v>6419945</v>
      </c>
      <c r="C1959" t="s">
        <v>4302</v>
      </c>
      <c r="D1959" t="s">
        <v>213</v>
      </c>
      <c r="E1959" s="2">
        <v>44166</v>
      </c>
      <c r="F1959" t="str">
        <f>"9780128198230"</f>
        <v>9780128198230</v>
      </c>
      <c r="G1959" t="str">
        <f>"9780128198223"</f>
        <v>9780128198223</v>
      </c>
      <c r="H1959" t="s">
        <v>1046</v>
      </c>
      <c r="I1959">
        <v>307.1216</v>
      </c>
      <c r="J1959" t="s">
        <v>4303</v>
      </c>
      <c r="K1959" t="s">
        <v>55</v>
      </c>
      <c r="Q1959" t="s">
        <v>47</v>
      </c>
      <c r="R1959" t="s">
        <v>44</v>
      </c>
      <c r="S1959">
        <v>0</v>
      </c>
      <c r="W1959" s="3">
        <v>3.0324074074074073E-3</v>
      </c>
      <c r="X1959" t="s">
        <v>4304</v>
      </c>
      <c r="Y1959">
        <v>46</v>
      </c>
      <c r="Z1959">
        <v>0</v>
      </c>
      <c r="AA1959" t="s">
        <v>49</v>
      </c>
      <c r="AB1959">
        <v>0</v>
      </c>
      <c r="AC1959" t="s">
        <v>49</v>
      </c>
      <c r="AD1959">
        <v>0</v>
      </c>
      <c r="AE1959">
        <v>-1</v>
      </c>
      <c r="AF1959" t="s">
        <v>50</v>
      </c>
      <c r="AG1959" t="s">
        <v>4305</v>
      </c>
    </row>
    <row r="1960" spans="1:33" x14ac:dyDescent="0.35">
      <c r="A1960" s="1">
        <v>44849.728472222225</v>
      </c>
      <c r="B1960">
        <v>4826498</v>
      </c>
      <c r="C1960" t="s">
        <v>4306</v>
      </c>
      <c r="D1960" t="s">
        <v>4307</v>
      </c>
      <c r="E1960" s="2">
        <v>42795</v>
      </c>
      <c r="F1960" t="str">
        <f>"9781486305100"</f>
        <v>9781486305100</v>
      </c>
      <c r="G1960" t="str">
        <f>"9781486305094"</f>
        <v>9781486305094</v>
      </c>
      <c r="H1960" t="s">
        <v>4308</v>
      </c>
      <c r="K1960" t="s">
        <v>44</v>
      </c>
      <c r="N1960" t="s">
        <v>45</v>
      </c>
      <c r="O1960" t="s">
        <v>46</v>
      </c>
      <c r="P1960" t="s">
        <v>45</v>
      </c>
      <c r="Q1960" t="s">
        <v>47</v>
      </c>
      <c r="R1960" t="s">
        <v>44</v>
      </c>
      <c r="S1960">
        <v>0</v>
      </c>
      <c r="W1960" s="3">
        <v>7.9166666666666673E-3</v>
      </c>
      <c r="X1960" t="s">
        <v>4309</v>
      </c>
      <c r="Y1960">
        <v>20</v>
      </c>
      <c r="Z1960">
        <v>1</v>
      </c>
      <c r="AA1960" t="s">
        <v>4310</v>
      </c>
      <c r="AB1960">
        <v>16</v>
      </c>
      <c r="AC1960" t="s">
        <v>49</v>
      </c>
      <c r="AD1960">
        <v>0</v>
      </c>
      <c r="AE1960">
        <v>11364231</v>
      </c>
      <c r="AF1960" t="s">
        <v>50</v>
      </c>
      <c r="AG1960" t="s">
        <v>3936</v>
      </c>
    </row>
    <row r="1961" spans="1:33" x14ac:dyDescent="0.35">
      <c r="A1961" s="1">
        <v>44849.726388888892</v>
      </c>
      <c r="B1961">
        <v>165398</v>
      </c>
      <c r="C1961" t="s">
        <v>1983</v>
      </c>
      <c r="D1961" t="s">
        <v>76</v>
      </c>
      <c r="E1961" s="2">
        <v>35999</v>
      </c>
      <c r="F1961" t="str">
        <f>"9780203017432"</f>
        <v>9780203017432</v>
      </c>
      <c r="G1961" t="str">
        <f>"9780415061322"</f>
        <v>9780415061322</v>
      </c>
      <c r="H1961" t="s">
        <v>1984</v>
      </c>
      <c r="I1961">
        <v>909.09749269999998</v>
      </c>
      <c r="J1961" t="s">
        <v>1985</v>
      </c>
      <c r="K1961" t="s">
        <v>44</v>
      </c>
      <c r="N1961" t="s">
        <v>45</v>
      </c>
      <c r="O1961" t="s">
        <v>46</v>
      </c>
      <c r="P1961" t="s">
        <v>45</v>
      </c>
      <c r="Q1961" t="s">
        <v>47</v>
      </c>
      <c r="R1961" t="s">
        <v>44</v>
      </c>
      <c r="S1961">
        <v>0</v>
      </c>
      <c r="W1961" s="3">
        <v>3.0543981481481481E-2</v>
      </c>
      <c r="X1961" t="s">
        <v>4311</v>
      </c>
      <c r="Y1961">
        <v>8</v>
      </c>
      <c r="Z1961">
        <v>0</v>
      </c>
      <c r="AA1961" t="s">
        <v>49</v>
      </c>
      <c r="AB1961">
        <v>0</v>
      </c>
      <c r="AC1961" t="s">
        <v>49</v>
      </c>
      <c r="AD1961">
        <v>0</v>
      </c>
      <c r="AE1961">
        <v>10017085</v>
      </c>
      <c r="AF1961" t="s">
        <v>50</v>
      </c>
      <c r="AG1961" t="s">
        <v>835</v>
      </c>
    </row>
    <row r="1962" spans="1:33" x14ac:dyDescent="0.35">
      <c r="A1962" s="1">
        <v>44849.710416666669</v>
      </c>
      <c r="B1962">
        <v>6321334</v>
      </c>
      <c r="C1962" t="s">
        <v>4312</v>
      </c>
      <c r="D1962" t="s">
        <v>65</v>
      </c>
      <c r="E1962" s="2">
        <v>44072</v>
      </c>
      <c r="F1962" t="str">
        <f>"9780128191859"</f>
        <v>9780128191859</v>
      </c>
      <c r="G1962" t="str">
        <f>"9780128191842"</f>
        <v>9780128191842</v>
      </c>
      <c r="H1962" t="s">
        <v>4313</v>
      </c>
      <c r="I1962">
        <v>333.79</v>
      </c>
      <c r="J1962" t="s">
        <v>4314</v>
      </c>
      <c r="K1962" t="s">
        <v>55</v>
      </c>
      <c r="Q1962" t="s">
        <v>47</v>
      </c>
      <c r="R1962" t="s">
        <v>44</v>
      </c>
      <c r="S1962">
        <v>0</v>
      </c>
      <c r="W1962" s="3">
        <v>7.2916666666666659E-3</v>
      </c>
      <c r="X1962" t="s">
        <v>4315</v>
      </c>
      <c r="Y1962">
        <v>48</v>
      </c>
      <c r="Z1962">
        <v>0</v>
      </c>
      <c r="AA1962" t="s">
        <v>49</v>
      </c>
      <c r="AB1962">
        <v>0</v>
      </c>
      <c r="AC1962" t="s">
        <v>49</v>
      </c>
      <c r="AD1962">
        <v>0</v>
      </c>
      <c r="AE1962">
        <v>-1</v>
      </c>
      <c r="AF1962" t="s">
        <v>63</v>
      </c>
      <c r="AG1962" t="s">
        <v>1536</v>
      </c>
    </row>
    <row r="1963" spans="1:33" x14ac:dyDescent="0.35">
      <c r="A1963" s="1">
        <v>44849.688888888886</v>
      </c>
      <c r="B1963">
        <v>5981568</v>
      </c>
      <c r="C1963" t="s">
        <v>4316</v>
      </c>
      <c r="D1963" t="s">
        <v>137</v>
      </c>
      <c r="E1963" s="2">
        <v>43753</v>
      </c>
      <c r="F1963" t="str">
        <f>"9781536163476"</f>
        <v>9781536163476</v>
      </c>
      <c r="G1963" t="str">
        <f>"9781536163209"</f>
        <v>9781536163209</v>
      </c>
      <c r="H1963" t="s">
        <v>639</v>
      </c>
      <c r="K1963" t="s">
        <v>55</v>
      </c>
      <c r="Q1963" t="s">
        <v>47</v>
      </c>
      <c r="R1963" t="s">
        <v>44</v>
      </c>
      <c r="S1963">
        <v>0</v>
      </c>
      <c r="W1963" s="3">
        <v>2.9050925925925928E-3</v>
      </c>
      <c r="X1963" t="s">
        <v>4317</v>
      </c>
      <c r="Y1963">
        <v>11</v>
      </c>
      <c r="Z1963">
        <v>0</v>
      </c>
      <c r="AA1963" t="s">
        <v>49</v>
      </c>
      <c r="AB1963">
        <v>0</v>
      </c>
      <c r="AC1963" t="s">
        <v>49</v>
      </c>
      <c r="AD1963">
        <v>0</v>
      </c>
      <c r="AE1963">
        <v>-1</v>
      </c>
      <c r="AF1963" t="s">
        <v>50</v>
      </c>
      <c r="AG1963" t="s">
        <v>1536</v>
      </c>
    </row>
    <row r="1964" spans="1:33" x14ac:dyDescent="0.35">
      <c r="A1964" s="1">
        <v>44849.664583333331</v>
      </c>
      <c r="B1964">
        <v>279494</v>
      </c>
      <c r="C1964" t="s">
        <v>1333</v>
      </c>
      <c r="D1964" t="s">
        <v>125</v>
      </c>
      <c r="E1964" s="2">
        <v>37280</v>
      </c>
      <c r="F1964" t="str">
        <f>"9780198032953"</f>
        <v>9780198032953</v>
      </c>
      <c r="G1964" t="str">
        <f>"9780195144208"</f>
        <v>9780195144208</v>
      </c>
      <c r="H1964" t="s">
        <v>667</v>
      </c>
      <c r="I1964" t="s">
        <v>1334</v>
      </c>
      <c r="J1964" t="s">
        <v>1335</v>
      </c>
      <c r="K1964" t="s">
        <v>44</v>
      </c>
      <c r="N1964" t="s">
        <v>45</v>
      </c>
      <c r="O1964" t="s">
        <v>46</v>
      </c>
      <c r="P1964" t="s">
        <v>45</v>
      </c>
      <c r="Q1964" t="s">
        <v>47</v>
      </c>
      <c r="R1964" t="s">
        <v>44</v>
      </c>
      <c r="S1964">
        <v>0</v>
      </c>
      <c r="W1964" s="3">
        <v>1.4814814814814814E-2</v>
      </c>
      <c r="X1964" t="s">
        <v>4318</v>
      </c>
      <c r="Y1964">
        <v>16</v>
      </c>
      <c r="Z1964">
        <v>0</v>
      </c>
      <c r="AA1964" t="s">
        <v>49</v>
      </c>
      <c r="AB1964">
        <v>0</v>
      </c>
      <c r="AC1964" t="s">
        <v>49</v>
      </c>
      <c r="AD1964">
        <v>0</v>
      </c>
      <c r="AE1964">
        <v>11303309</v>
      </c>
      <c r="AF1964" t="s">
        <v>50</v>
      </c>
      <c r="AG1964" t="s">
        <v>1536</v>
      </c>
    </row>
    <row r="1965" spans="1:33" x14ac:dyDescent="0.35">
      <c r="A1965" s="1">
        <v>44849.660416666666</v>
      </c>
      <c r="B1965">
        <v>5829217</v>
      </c>
      <c r="C1965" t="s">
        <v>626</v>
      </c>
      <c r="D1965" t="s">
        <v>627</v>
      </c>
      <c r="E1965" s="2">
        <v>43259</v>
      </c>
      <c r="F1965" t="str">
        <f>"9781496395139"</f>
        <v>9781496395139</v>
      </c>
      <c r="G1965" t="str">
        <f>"9781496335418"</f>
        <v>9781496335418</v>
      </c>
      <c r="H1965" t="s">
        <v>77</v>
      </c>
      <c r="I1965" t="s">
        <v>628</v>
      </c>
      <c r="J1965" t="s">
        <v>629</v>
      </c>
      <c r="K1965" t="s">
        <v>44</v>
      </c>
      <c r="N1965" t="s">
        <v>45</v>
      </c>
      <c r="O1965" t="s">
        <v>46</v>
      </c>
      <c r="P1965" t="s">
        <v>45</v>
      </c>
      <c r="Q1965" t="s">
        <v>47</v>
      </c>
      <c r="R1965" t="s">
        <v>44</v>
      </c>
      <c r="S1965">
        <v>0</v>
      </c>
      <c r="W1965" s="3">
        <v>0.17915509259259257</v>
      </c>
      <c r="X1965" t="s">
        <v>4319</v>
      </c>
      <c r="Y1965">
        <v>103</v>
      </c>
      <c r="Z1965">
        <v>0</v>
      </c>
      <c r="AA1965" t="s">
        <v>49</v>
      </c>
      <c r="AB1965">
        <v>0</v>
      </c>
      <c r="AC1965" t="s">
        <v>49</v>
      </c>
      <c r="AD1965">
        <v>0</v>
      </c>
      <c r="AE1965">
        <v>-1</v>
      </c>
      <c r="AF1965" t="s">
        <v>50</v>
      </c>
      <c r="AG1965" t="s">
        <v>866</v>
      </c>
    </row>
    <row r="1966" spans="1:33" x14ac:dyDescent="0.35">
      <c r="A1966" s="1">
        <v>44849.62222222222</v>
      </c>
      <c r="B1966">
        <v>279494</v>
      </c>
      <c r="C1966" t="s">
        <v>1333</v>
      </c>
      <c r="D1966" t="s">
        <v>125</v>
      </c>
      <c r="E1966" s="2">
        <v>37280</v>
      </c>
      <c r="F1966" t="str">
        <f>"9780198032953"</f>
        <v>9780198032953</v>
      </c>
      <c r="G1966" t="str">
        <f>"9780195144208"</f>
        <v>9780195144208</v>
      </c>
      <c r="H1966" t="s">
        <v>667</v>
      </c>
      <c r="I1966" t="s">
        <v>1334</v>
      </c>
      <c r="J1966" t="s">
        <v>1335</v>
      </c>
      <c r="K1966" t="s">
        <v>44</v>
      </c>
      <c r="N1966" t="s">
        <v>45</v>
      </c>
      <c r="O1966" t="s">
        <v>46</v>
      </c>
      <c r="P1966" t="s">
        <v>45</v>
      </c>
      <c r="Q1966" t="s">
        <v>47</v>
      </c>
      <c r="R1966" t="s">
        <v>44</v>
      </c>
      <c r="S1966">
        <v>0</v>
      </c>
      <c r="W1966" s="3">
        <v>1.3773148148148147E-3</v>
      </c>
      <c r="X1966" t="s">
        <v>4320</v>
      </c>
      <c r="Y1966">
        <v>10</v>
      </c>
      <c r="Z1966">
        <v>0</v>
      </c>
      <c r="AA1966" t="s">
        <v>49</v>
      </c>
      <c r="AB1966">
        <v>0</v>
      </c>
      <c r="AC1966" t="s">
        <v>49</v>
      </c>
      <c r="AD1966">
        <v>0</v>
      </c>
      <c r="AE1966">
        <v>11303309</v>
      </c>
      <c r="AF1966" t="s">
        <v>50</v>
      </c>
      <c r="AG1966" t="s">
        <v>1536</v>
      </c>
    </row>
    <row r="1967" spans="1:33" x14ac:dyDescent="0.35">
      <c r="A1967" s="1">
        <v>44849.621527777781</v>
      </c>
      <c r="B1967">
        <v>6124234</v>
      </c>
      <c r="C1967" t="s">
        <v>4321</v>
      </c>
      <c r="D1967" t="s">
        <v>141</v>
      </c>
      <c r="E1967" s="2">
        <v>43887</v>
      </c>
      <c r="F1967" t="str">
        <f>"9781838552886"</f>
        <v>9781838552886</v>
      </c>
      <c r="G1967" t="str">
        <f>"9781838551308"</f>
        <v>9781838551308</v>
      </c>
      <c r="H1967" t="s">
        <v>208</v>
      </c>
      <c r="I1967">
        <v>629.89200000000005</v>
      </c>
      <c r="J1967" t="s">
        <v>4322</v>
      </c>
      <c r="K1967" t="s">
        <v>55</v>
      </c>
      <c r="Q1967" t="s">
        <v>47</v>
      </c>
      <c r="R1967" t="s">
        <v>44</v>
      </c>
      <c r="S1967">
        <v>0</v>
      </c>
      <c r="W1967" s="3">
        <v>1.0300925925925926E-3</v>
      </c>
      <c r="X1967" t="s">
        <v>4323</v>
      </c>
      <c r="Y1967">
        <v>14</v>
      </c>
      <c r="Z1967">
        <v>0</v>
      </c>
      <c r="AA1967" t="s">
        <v>49</v>
      </c>
      <c r="AB1967">
        <v>0</v>
      </c>
      <c r="AC1967" t="s">
        <v>49</v>
      </c>
      <c r="AD1967">
        <v>0</v>
      </c>
      <c r="AE1967">
        <v>-1</v>
      </c>
      <c r="AF1967" t="s">
        <v>50</v>
      </c>
      <c r="AG1967" t="s">
        <v>4324</v>
      </c>
    </row>
    <row r="1968" spans="1:33" x14ac:dyDescent="0.35">
      <c r="A1968" s="1">
        <v>44849.620138888888</v>
      </c>
      <c r="B1968">
        <v>279494</v>
      </c>
      <c r="C1968" t="s">
        <v>1333</v>
      </c>
      <c r="D1968" t="s">
        <v>125</v>
      </c>
      <c r="E1968" s="2">
        <v>37280</v>
      </c>
      <c r="F1968" t="str">
        <f>"9780198032953"</f>
        <v>9780198032953</v>
      </c>
      <c r="G1968" t="str">
        <f>"9780195144208"</f>
        <v>9780195144208</v>
      </c>
      <c r="H1968" t="s">
        <v>667</v>
      </c>
      <c r="I1968" t="s">
        <v>1334</v>
      </c>
      <c r="J1968" t="s">
        <v>1335</v>
      </c>
      <c r="K1968" t="s">
        <v>44</v>
      </c>
      <c r="N1968" t="s">
        <v>45</v>
      </c>
      <c r="O1968" t="s">
        <v>46</v>
      </c>
      <c r="P1968" t="s">
        <v>45</v>
      </c>
      <c r="Q1968" t="s">
        <v>47</v>
      </c>
      <c r="R1968" t="s">
        <v>44</v>
      </c>
      <c r="S1968">
        <v>0</v>
      </c>
      <c r="W1968" s="3">
        <v>7.1643518518518514E-3</v>
      </c>
      <c r="X1968" t="s">
        <v>4325</v>
      </c>
      <c r="Y1968">
        <v>20</v>
      </c>
      <c r="Z1968">
        <v>0</v>
      </c>
      <c r="AA1968" t="s">
        <v>49</v>
      </c>
      <c r="AB1968">
        <v>0</v>
      </c>
      <c r="AC1968" t="s">
        <v>49</v>
      </c>
      <c r="AD1968">
        <v>0</v>
      </c>
      <c r="AE1968">
        <v>11303309</v>
      </c>
      <c r="AF1968" t="s">
        <v>50</v>
      </c>
      <c r="AG1968" t="s">
        <v>4326</v>
      </c>
    </row>
    <row r="1969" spans="1:33" x14ac:dyDescent="0.35">
      <c r="A1969" s="1">
        <v>44849.60833333333</v>
      </c>
      <c r="B1969">
        <v>5829217</v>
      </c>
      <c r="C1969" t="s">
        <v>626</v>
      </c>
      <c r="D1969" t="s">
        <v>627</v>
      </c>
      <c r="E1969" s="2">
        <v>43259</v>
      </c>
      <c r="F1969" t="str">
        <f>"9781496395139"</f>
        <v>9781496395139</v>
      </c>
      <c r="G1969" t="str">
        <f>"9781496335418"</f>
        <v>9781496335418</v>
      </c>
      <c r="H1969" t="s">
        <v>77</v>
      </c>
      <c r="I1969" t="s">
        <v>628</v>
      </c>
      <c r="J1969" t="s">
        <v>629</v>
      </c>
      <c r="K1969" t="s">
        <v>44</v>
      </c>
      <c r="N1969" t="s">
        <v>45</v>
      </c>
      <c r="O1969" t="s">
        <v>46</v>
      </c>
      <c r="P1969" t="s">
        <v>45</v>
      </c>
      <c r="Q1969" t="s">
        <v>47</v>
      </c>
      <c r="R1969" t="s">
        <v>44</v>
      </c>
      <c r="S1969">
        <v>0</v>
      </c>
      <c r="W1969" s="3">
        <v>1.9768518518518515E-2</v>
      </c>
      <c r="X1969" t="s">
        <v>4327</v>
      </c>
      <c r="Y1969">
        <v>8</v>
      </c>
      <c r="Z1969">
        <v>0</v>
      </c>
      <c r="AA1969" t="s">
        <v>49</v>
      </c>
      <c r="AB1969">
        <v>0</v>
      </c>
      <c r="AC1969" t="s">
        <v>49</v>
      </c>
      <c r="AD1969">
        <v>0</v>
      </c>
      <c r="AE1969">
        <v>-1</v>
      </c>
      <c r="AF1969" t="s">
        <v>50</v>
      </c>
      <c r="AG1969" t="s">
        <v>866</v>
      </c>
    </row>
    <row r="1970" spans="1:33" x14ac:dyDescent="0.35">
      <c r="A1970" s="1">
        <v>44849.561111111114</v>
      </c>
      <c r="B1970">
        <v>5829217</v>
      </c>
      <c r="C1970" t="s">
        <v>626</v>
      </c>
      <c r="D1970" t="s">
        <v>627</v>
      </c>
      <c r="E1970" s="2">
        <v>43259</v>
      </c>
      <c r="F1970" t="str">
        <f>"9781496395139"</f>
        <v>9781496395139</v>
      </c>
      <c r="G1970" t="str">
        <f>"9781496335418"</f>
        <v>9781496335418</v>
      </c>
      <c r="H1970" t="s">
        <v>77</v>
      </c>
      <c r="I1970" t="s">
        <v>628</v>
      </c>
      <c r="J1970" t="s">
        <v>629</v>
      </c>
      <c r="K1970" t="s">
        <v>44</v>
      </c>
      <c r="N1970" t="s">
        <v>45</v>
      </c>
      <c r="O1970" t="s">
        <v>46</v>
      </c>
      <c r="P1970" t="s">
        <v>45</v>
      </c>
      <c r="Q1970" t="s">
        <v>47</v>
      </c>
      <c r="R1970" t="s">
        <v>44</v>
      </c>
      <c r="S1970">
        <v>0</v>
      </c>
      <c r="W1970" s="3">
        <v>2.5011574074074075E-2</v>
      </c>
      <c r="X1970" t="s">
        <v>4328</v>
      </c>
      <c r="Y1970">
        <v>19</v>
      </c>
      <c r="Z1970">
        <v>0</v>
      </c>
      <c r="AA1970" t="s">
        <v>49</v>
      </c>
      <c r="AB1970">
        <v>0</v>
      </c>
      <c r="AC1970" t="s">
        <v>49</v>
      </c>
      <c r="AD1970">
        <v>0</v>
      </c>
      <c r="AE1970">
        <v>-1</v>
      </c>
      <c r="AF1970" t="s">
        <v>50</v>
      </c>
      <c r="AG1970" t="s">
        <v>866</v>
      </c>
    </row>
    <row r="1971" spans="1:33" x14ac:dyDescent="0.35">
      <c r="A1971" s="1">
        <v>44849.549305555556</v>
      </c>
      <c r="B1971">
        <v>210578</v>
      </c>
      <c r="C1971" t="s">
        <v>4329</v>
      </c>
      <c r="D1971" t="s">
        <v>59</v>
      </c>
      <c r="E1971" s="2">
        <v>38093</v>
      </c>
      <c r="F1971" t="str">
        <f>"9780470020456"</f>
        <v>9780470020456</v>
      </c>
      <c r="G1971" t="str">
        <f>"9780470844922"</f>
        <v>9780470844922</v>
      </c>
      <c r="H1971" t="s">
        <v>546</v>
      </c>
      <c r="I1971">
        <v>621.38130000000001</v>
      </c>
      <c r="J1971" t="s">
        <v>4330</v>
      </c>
      <c r="K1971" t="s">
        <v>44</v>
      </c>
      <c r="N1971" t="s">
        <v>45</v>
      </c>
      <c r="O1971" t="s">
        <v>46</v>
      </c>
      <c r="P1971" t="s">
        <v>45</v>
      </c>
      <c r="Q1971" t="s">
        <v>47</v>
      </c>
      <c r="R1971" t="s">
        <v>44</v>
      </c>
      <c r="S1971">
        <v>0</v>
      </c>
      <c r="W1971" s="3">
        <v>1.375E-2</v>
      </c>
      <c r="X1971" t="s">
        <v>4331</v>
      </c>
      <c r="Y1971">
        <v>7</v>
      </c>
      <c r="Z1971">
        <v>0</v>
      </c>
      <c r="AA1971" t="s">
        <v>49</v>
      </c>
      <c r="AB1971">
        <v>0</v>
      </c>
      <c r="AC1971" t="s">
        <v>49</v>
      </c>
      <c r="AD1971">
        <v>0</v>
      </c>
      <c r="AE1971">
        <v>10113965</v>
      </c>
      <c r="AF1971" t="s">
        <v>50</v>
      </c>
      <c r="AG1971" t="s">
        <v>1536</v>
      </c>
    </row>
    <row r="1972" spans="1:33" x14ac:dyDescent="0.35">
      <c r="A1972" s="1">
        <v>44849.492361111108</v>
      </c>
      <c r="B1972">
        <v>279494</v>
      </c>
      <c r="C1972" t="s">
        <v>1333</v>
      </c>
      <c r="D1972" t="s">
        <v>125</v>
      </c>
      <c r="E1972" s="2">
        <v>37280</v>
      </c>
      <c r="F1972" t="str">
        <f>"9780198032953"</f>
        <v>9780198032953</v>
      </c>
      <c r="G1972" t="str">
        <f>"9780195144208"</f>
        <v>9780195144208</v>
      </c>
      <c r="H1972" t="s">
        <v>667</v>
      </c>
      <c r="I1972" t="s">
        <v>1334</v>
      </c>
      <c r="J1972" t="s">
        <v>1335</v>
      </c>
      <c r="K1972" t="s">
        <v>44</v>
      </c>
      <c r="N1972" t="s">
        <v>45</v>
      </c>
      <c r="O1972" t="s">
        <v>46</v>
      </c>
      <c r="P1972" t="s">
        <v>45</v>
      </c>
      <c r="Q1972" t="s">
        <v>47</v>
      </c>
      <c r="R1972" t="s">
        <v>44</v>
      </c>
      <c r="S1972">
        <v>0</v>
      </c>
      <c r="W1972" s="3">
        <v>0.10461805555555555</v>
      </c>
      <c r="X1972" t="s">
        <v>4332</v>
      </c>
      <c r="Y1972">
        <v>33</v>
      </c>
      <c r="Z1972">
        <v>0</v>
      </c>
      <c r="AA1972" t="s">
        <v>49</v>
      </c>
      <c r="AB1972">
        <v>0</v>
      </c>
      <c r="AC1972" t="s">
        <v>49</v>
      </c>
      <c r="AD1972">
        <v>0</v>
      </c>
      <c r="AE1972">
        <v>11303309</v>
      </c>
      <c r="AF1972" t="s">
        <v>50</v>
      </c>
      <c r="AG1972" t="s">
        <v>1536</v>
      </c>
    </row>
    <row r="1973" spans="1:33" x14ac:dyDescent="0.35">
      <c r="A1973" s="1">
        <v>44849.486111111109</v>
      </c>
      <c r="B1973">
        <v>4697581</v>
      </c>
      <c r="C1973" t="s">
        <v>4333</v>
      </c>
      <c r="D1973" t="s">
        <v>773</v>
      </c>
      <c r="E1973" s="2">
        <v>40299</v>
      </c>
      <c r="F1973" t="str">
        <f>"9781504041232"</f>
        <v>9781504041232</v>
      </c>
      <c r="G1973" t="str">
        <f>""</f>
        <v/>
      </c>
      <c r="H1973" t="s">
        <v>498</v>
      </c>
      <c r="I1973" t="s">
        <v>4334</v>
      </c>
      <c r="J1973" t="s">
        <v>4335</v>
      </c>
      <c r="K1973" t="s">
        <v>44</v>
      </c>
      <c r="N1973" t="s">
        <v>45</v>
      </c>
      <c r="O1973" t="s">
        <v>46</v>
      </c>
      <c r="P1973" t="s">
        <v>45</v>
      </c>
      <c r="Q1973" t="s">
        <v>47</v>
      </c>
      <c r="R1973" t="s">
        <v>44</v>
      </c>
      <c r="S1973">
        <v>0</v>
      </c>
      <c r="W1973" s="3">
        <v>6.9444444444444444E-5</v>
      </c>
      <c r="X1973" t="s">
        <v>4336</v>
      </c>
      <c r="Y1973">
        <v>3</v>
      </c>
      <c r="Z1973">
        <v>0</v>
      </c>
      <c r="AA1973" t="s">
        <v>49</v>
      </c>
      <c r="AB1973">
        <v>0</v>
      </c>
      <c r="AC1973" t="s">
        <v>49</v>
      </c>
      <c r="AD1973">
        <v>0</v>
      </c>
      <c r="AE1973">
        <v>11271276</v>
      </c>
      <c r="AF1973" t="s">
        <v>50</v>
      </c>
      <c r="AG1973" t="s">
        <v>118</v>
      </c>
    </row>
    <row r="1974" spans="1:33" x14ac:dyDescent="0.35">
      <c r="A1974" s="1">
        <v>44849.470833333333</v>
      </c>
      <c r="B1974">
        <v>279494</v>
      </c>
      <c r="C1974" t="s">
        <v>1333</v>
      </c>
      <c r="D1974" t="s">
        <v>125</v>
      </c>
      <c r="E1974" s="2">
        <v>37280</v>
      </c>
      <c r="F1974" t="str">
        <f>"9780198032953"</f>
        <v>9780198032953</v>
      </c>
      <c r="G1974" t="str">
        <f>"9780195144208"</f>
        <v>9780195144208</v>
      </c>
      <c r="H1974" t="s">
        <v>667</v>
      </c>
      <c r="I1974" t="s">
        <v>1334</v>
      </c>
      <c r="J1974" t="s">
        <v>1335</v>
      </c>
      <c r="K1974" t="s">
        <v>44</v>
      </c>
      <c r="N1974" t="s">
        <v>45</v>
      </c>
      <c r="O1974" t="s">
        <v>46</v>
      </c>
      <c r="P1974" t="s">
        <v>45</v>
      </c>
      <c r="Q1974" t="s">
        <v>47</v>
      </c>
      <c r="R1974" t="s">
        <v>44</v>
      </c>
      <c r="S1974">
        <v>0</v>
      </c>
      <c r="W1974" s="3">
        <v>1.699074074074074E-2</v>
      </c>
      <c r="X1974" t="s">
        <v>4337</v>
      </c>
      <c r="Y1974">
        <v>6</v>
      </c>
      <c r="Z1974">
        <v>0</v>
      </c>
      <c r="AA1974" t="s">
        <v>49</v>
      </c>
      <c r="AB1974">
        <v>0</v>
      </c>
      <c r="AC1974" t="s">
        <v>49</v>
      </c>
      <c r="AD1974">
        <v>0</v>
      </c>
      <c r="AE1974">
        <v>11303309</v>
      </c>
      <c r="AF1974" t="s">
        <v>50</v>
      </c>
      <c r="AG1974" t="s">
        <v>1536</v>
      </c>
    </row>
    <row r="1975" spans="1:33" x14ac:dyDescent="0.35">
      <c r="A1975" s="1">
        <v>44849.427777777775</v>
      </c>
      <c r="B1975">
        <v>4697581</v>
      </c>
      <c r="C1975" t="s">
        <v>4333</v>
      </c>
      <c r="D1975" t="s">
        <v>773</v>
      </c>
      <c r="E1975" s="2">
        <v>40299</v>
      </c>
      <c r="F1975" t="str">
        <f>"9781504041232"</f>
        <v>9781504041232</v>
      </c>
      <c r="G1975" t="str">
        <f>""</f>
        <v/>
      </c>
      <c r="H1975" t="s">
        <v>498</v>
      </c>
      <c r="I1975" t="s">
        <v>4334</v>
      </c>
      <c r="J1975" t="s">
        <v>4335</v>
      </c>
      <c r="K1975" t="s">
        <v>44</v>
      </c>
      <c r="N1975" t="s">
        <v>45</v>
      </c>
      <c r="O1975" t="s">
        <v>46</v>
      </c>
      <c r="P1975" t="s">
        <v>45</v>
      </c>
      <c r="Q1975" t="s">
        <v>47</v>
      </c>
      <c r="R1975" t="s">
        <v>44</v>
      </c>
      <c r="S1975">
        <v>0</v>
      </c>
      <c r="W1975" s="3">
        <v>1.6550925925925926E-3</v>
      </c>
      <c r="X1975" t="s">
        <v>4338</v>
      </c>
      <c r="Y1975">
        <v>14</v>
      </c>
      <c r="Z1975">
        <v>0</v>
      </c>
      <c r="AA1975" t="s">
        <v>49</v>
      </c>
      <c r="AB1975">
        <v>0</v>
      </c>
      <c r="AC1975" t="s">
        <v>49</v>
      </c>
      <c r="AD1975">
        <v>0</v>
      </c>
      <c r="AE1975">
        <v>11271276</v>
      </c>
      <c r="AF1975" t="s">
        <v>50</v>
      </c>
      <c r="AG1975" t="s">
        <v>118</v>
      </c>
    </row>
    <row r="1976" spans="1:33" x14ac:dyDescent="0.35">
      <c r="A1976" s="1">
        <v>44849.426388888889</v>
      </c>
      <c r="B1976">
        <v>5996727</v>
      </c>
      <c r="C1976" t="s">
        <v>4339</v>
      </c>
      <c r="D1976" t="s">
        <v>4340</v>
      </c>
      <c r="E1976" s="2">
        <v>43678</v>
      </c>
      <c r="F1976" t="str">
        <f>"9781935306436"</f>
        <v>9781935306436</v>
      </c>
      <c r="G1976" t="str">
        <f>"9781935306702"</f>
        <v>9781935306702</v>
      </c>
      <c r="H1976" t="s">
        <v>1396</v>
      </c>
      <c r="I1976">
        <v>909</v>
      </c>
      <c r="J1976" t="s">
        <v>4341</v>
      </c>
      <c r="K1976" t="s">
        <v>55</v>
      </c>
      <c r="Q1976" t="s">
        <v>47</v>
      </c>
      <c r="R1976" t="s">
        <v>44</v>
      </c>
      <c r="S1976">
        <v>0</v>
      </c>
      <c r="W1976" s="3">
        <v>5.4398148148148144E-4</v>
      </c>
      <c r="X1976" t="s">
        <v>1879</v>
      </c>
      <c r="Y1976">
        <v>18</v>
      </c>
      <c r="Z1976">
        <v>0</v>
      </c>
      <c r="AA1976" t="s">
        <v>49</v>
      </c>
      <c r="AB1976">
        <v>0</v>
      </c>
      <c r="AC1976" t="s">
        <v>49</v>
      </c>
      <c r="AD1976">
        <v>0</v>
      </c>
      <c r="AE1976">
        <v>-1</v>
      </c>
      <c r="AF1976" t="s">
        <v>50</v>
      </c>
      <c r="AG1976" t="s">
        <v>118</v>
      </c>
    </row>
    <row r="1977" spans="1:33" x14ac:dyDescent="0.35">
      <c r="A1977" s="1">
        <v>44849.019444444442</v>
      </c>
      <c r="B1977">
        <v>6012516</v>
      </c>
      <c r="C1977" t="s">
        <v>4342</v>
      </c>
      <c r="D1977" t="s">
        <v>4343</v>
      </c>
      <c r="E1977" s="2">
        <v>43845</v>
      </c>
      <c r="F1977" t="str">
        <f>"9781644900550"</f>
        <v>9781644900550</v>
      </c>
      <c r="G1977" t="str">
        <f>"9781644900543"</f>
        <v>9781644900543</v>
      </c>
      <c r="H1977" t="s">
        <v>100</v>
      </c>
      <c r="I1977">
        <v>620.11500000000001</v>
      </c>
      <c r="J1977" t="s">
        <v>4344</v>
      </c>
      <c r="K1977" t="s">
        <v>55</v>
      </c>
      <c r="Q1977" t="s">
        <v>47</v>
      </c>
      <c r="R1977" t="s">
        <v>44</v>
      </c>
      <c r="S1977">
        <v>0</v>
      </c>
      <c r="W1977" s="3">
        <v>5.6712962962962956E-4</v>
      </c>
      <c r="X1977" t="s">
        <v>4345</v>
      </c>
      <c r="Y1977">
        <v>5</v>
      </c>
      <c r="Z1977">
        <v>0</v>
      </c>
      <c r="AA1977" t="s">
        <v>49</v>
      </c>
      <c r="AB1977">
        <v>0</v>
      </c>
      <c r="AC1977" t="s">
        <v>49</v>
      </c>
      <c r="AD1977">
        <v>0</v>
      </c>
      <c r="AE1977">
        <v>-1</v>
      </c>
      <c r="AF1977" t="s">
        <v>50</v>
      </c>
      <c r="AG1977" t="s">
        <v>1536</v>
      </c>
    </row>
    <row r="1978" spans="1:33" x14ac:dyDescent="0.35">
      <c r="A1978" s="1">
        <v>44848.986805555556</v>
      </c>
      <c r="B1978">
        <v>5829217</v>
      </c>
      <c r="C1978" t="s">
        <v>626</v>
      </c>
      <c r="D1978" t="s">
        <v>627</v>
      </c>
      <c r="E1978" s="2">
        <v>43259</v>
      </c>
      <c r="F1978" t="str">
        <f>"9781496395139"</f>
        <v>9781496395139</v>
      </c>
      <c r="G1978" t="str">
        <f>"9781496335418"</f>
        <v>9781496335418</v>
      </c>
      <c r="H1978" t="s">
        <v>77</v>
      </c>
      <c r="I1978" t="s">
        <v>628</v>
      </c>
      <c r="J1978" t="s">
        <v>629</v>
      </c>
      <c r="K1978" t="s">
        <v>44</v>
      </c>
      <c r="N1978" t="s">
        <v>45</v>
      </c>
      <c r="O1978" t="s">
        <v>46</v>
      </c>
      <c r="P1978" t="s">
        <v>45</v>
      </c>
      <c r="Q1978" t="s">
        <v>47</v>
      </c>
      <c r="R1978" t="s">
        <v>44</v>
      </c>
      <c r="S1978">
        <v>0</v>
      </c>
      <c r="W1978" s="3">
        <v>1.283564814814815E-2</v>
      </c>
      <c r="X1978" t="s">
        <v>4346</v>
      </c>
      <c r="Y1978">
        <v>8</v>
      </c>
      <c r="Z1978">
        <v>0</v>
      </c>
      <c r="AA1978" t="s">
        <v>49</v>
      </c>
      <c r="AB1978">
        <v>0</v>
      </c>
      <c r="AC1978" t="s">
        <v>49</v>
      </c>
      <c r="AD1978">
        <v>0</v>
      </c>
      <c r="AE1978">
        <v>-1</v>
      </c>
      <c r="AF1978" t="s">
        <v>50</v>
      </c>
      <c r="AG1978" t="s">
        <v>866</v>
      </c>
    </row>
    <row r="1979" spans="1:33" x14ac:dyDescent="0.35">
      <c r="A1979" s="1">
        <v>44848.905555555553</v>
      </c>
      <c r="B1979">
        <v>5829217</v>
      </c>
      <c r="C1979" t="s">
        <v>626</v>
      </c>
      <c r="D1979" t="s">
        <v>627</v>
      </c>
      <c r="E1979" s="2">
        <v>43259</v>
      </c>
      <c r="F1979" t="str">
        <f>"9781496395139"</f>
        <v>9781496395139</v>
      </c>
      <c r="G1979" t="str">
        <f>"9781496335418"</f>
        <v>9781496335418</v>
      </c>
      <c r="H1979" t="s">
        <v>77</v>
      </c>
      <c r="I1979" t="s">
        <v>628</v>
      </c>
      <c r="J1979" t="s">
        <v>629</v>
      </c>
      <c r="K1979" t="s">
        <v>44</v>
      </c>
      <c r="N1979" t="s">
        <v>45</v>
      </c>
      <c r="O1979" t="s">
        <v>46</v>
      </c>
      <c r="P1979" t="s">
        <v>45</v>
      </c>
      <c r="Q1979" t="s">
        <v>47</v>
      </c>
      <c r="R1979" t="s">
        <v>44</v>
      </c>
      <c r="S1979">
        <v>0</v>
      </c>
      <c r="W1979" s="3">
        <v>5.9930555555555563E-2</v>
      </c>
      <c r="X1979" t="s">
        <v>4347</v>
      </c>
      <c r="Y1979">
        <v>35</v>
      </c>
      <c r="Z1979">
        <v>0</v>
      </c>
      <c r="AA1979" t="s">
        <v>49</v>
      </c>
      <c r="AB1979">
        <v>0</v>
      </c>
      <c r="AC1979" t="s">
        <v>49</v>
      </c>
      <c r="AD1979">
        <v>0</v>
      </c>
      <c r="AE1979">
        <v>-1</v>
      </c>
      <c r="AF1979" t="s">
        <v>50</v>
      </c>
      <c r="AG1979" t="s">
        <v>866</v>
      </c>
    </row>
    <row r="1980" spans="1:33" x14ac:dyDescent="0.35">
      <c r="A1980" s="1">
        <v>44848.863888888889</v>
      </c>
      <c r="B1980">
        <v>5829217</v>
      </c>
      <c r="C1980" t="s">
        <v>626</v>
      </c>
      <c r="D1980" t="s">
        <v>627</v>
      </c>
      <c r="E1980" s="2">
        <v>43259</v>
      </c>
      <c r="F1980" t="str">
        <f>"9781496395139"</f>
        <v>9781496395139</v>
      </c>
      <c r="G1980" t="str">
        <f>"9781496335418"</f>
        <v>9781496335418</v>
      </c>
      <c r="H1980" t="s">
        <v>77</v>
      </c>
      <c r="I1980" t="s">
        <v>628</v>
      </c>
      <c r="J1980" t="s">
        <v>629</v>
      </c>
      <c r="K1980" t="s">
        <v>44</v>
      </c>
      <c r="N1980" t="s">
        <v>45</v>
      </c>
      <c r="O1980" t="s">
        <v>46</v>
      </c>
      <c r="P1980" t="s">
        <v>45</v>
      </c>
      <c r="Q1980" t="s">
        <v>47</v>
      </c>
      <c r="R1980" t="s">
        <v>44</v>
      </c>
      <c r="S1980">
        <v>0</v>
      </c>
      <c r="W1980" s="3">
        <v>2.3148148148148147E-5</v>
      </c>
      <c r="X1980" t="s">
        <v>196</v>
      </c>
      <c r="Y1980">
        <v>2</v>
      </c>
      <c r="Z1980">
        <v>0</v>
      </c>
      <c r="AA1980" t="s">
        <v>49</v>
      </c>
      <c r="AB1980">
        <v>0</v>
      </c>
      <c r="AC1980" t="s">
        <v>49</v>
      </c>
      <c r="AD1980">
        <v>0</v>
      </c>
      <c r="AE1980">
        <v>-1</v>
      </c>
      <c r="AF1980" t="s">
        <v>50</v>
      </c>
      <c r="AG1980" t="s">
        <v>866</v>
      </c>
    </row>
    <row r="1981" spans="1:33" x14ac:dyDescent="0.35">
      <c r="A1981" s="1">
        <v>44848.789583333331</v>
      </c>
      <c r="B1981">
        <v>6417005</v>
      </c>
      <c r="C1981" t="s">
        <v>4348</v>
      </c>
      <c r="D1981" t="s">
        <v>347</v>
      </c>
      <c r="E1981" s="2">
        <v>44222</v>
      </c>
      <c r="F1981" t="str">
        <f>"9780300256123"</f>
        <v>9780300256123</v>
      </c>
      <c r="G1981" t="str">
        <f>"9780300242799"</f>
        <v>9780300242799</v>
      </c>
      <c r="H1981" t="s">
        <v>43</v>
      </c>
      <c r="I1981" t="s">
        <v>4349</v>
      </c>
      <c r="J1981" t="s">
        <v>4350</v>
      </c>
      <c r="K1981" t="s">
        <v>55</v>
      </c>
      <c r="Q1981" t="s">
        <v>47</v>
      </c>
      <c r="R1981" t="s">
        <v>44</v>
      </c>
      <c r="S1981">
        <v>0</v>
      </c>
      <c r="W1981" s="3">
        <v>8.1597222222222227E-3</v>
      </c>
      <c r="X1981" t="s">
        <v>4351</v>
      </c>
      <c r="Y1981">
        <v>8</v>
      </c>
      <c r="Z1981">
        <v>0</v>
      </c>
      <c r="AA1981" t="s">
        <v>49</v>
      </c>
      <c r="AB1981">
        <v>0</v>
      </c>
      <c r="AC1981" t="s">
        <v>49</v>
      </c>
      <c r="AD1981">
        <v>0</v>
      </c>
      <c r="AE1981">
        <v>-1</v>
      </c>
      <c r="AF1981" t="s">
        <v>50</v>
      </c>
      <c r="AG1981" t="s">
        <v>1816</v>
      </c>
    </row>
    <row r="1982" spans="1:33" x14ac:dyDescent="0.35">
      <c r="A1982" s="1">
        <v>44848.777083333334</v>
      </c>
      <c r="B1982">
        <v>5829217</v>
      </c>
      <c r="C1982" t="s">
        <v>626</v>
      </c>
      <c r="D1982" t="s">
        <v>627</v>
      </c>
      <c r="E1982" s="2">
        <v>43259</v>
      </c>
      <c r="F1982" t="str">
        <f>"9781496395139"</f>
        <v>9781496395139</v>
      </c>
      <c r="G1982" t="str">
        <f>"9781496335418"</f>
        <v>9781496335418</v>
      </c>
      <c r="H1982" t="s">
        <v>77</v>
      </c>
      <c r="I1982" t="s">
        <v>628</v>
      </c>
      <c r="J1982" t="s">
        <v>629</v>
      </c>
      <c r="K1982" t="s">
        <v>44</v>
      </c>
      <c r="N1982" t="s">
        <v>45</v>
      </c>
      <c r="O1982" t="s">
        <v>46</v>
      </c>
      <c r="P1982" t="s">
        <v>45</v>
      </c>
      <c r="Q1982" t="s">
        <v>47</v>
      </c>
      <c r="R1982" t="s">
        <v>44</v>
      </c>
      <c r="S1982">
        <v>0</v>
      </c>
      <c r="W1982" s="3">
        <v>3.0162037037037032E-2</v>
      </c>
      <c r="X1982" t="s">
        <v>4352</v>
      </c>
      <c r="Y1982">
        <v>16</v>
      </c>
      <c r="Z1982">
        <v>0</v>
      </c>
      <c r="AA1982" t="s">
        <v>49</v>
      </c>
      <c r="AB1982">
        <v>0</v>
      </c>
      <c r="AC1982" t="s">
        <v>49</v>
      </c>
      <c r="AD1982">
        <v>0</v>
      </c>
      <c r="AE1982">
        <v>-1</v>
      </c>
      <c r="AF1982" t="s">
        <v>50</v>
      </c>
      <c r="AG1982" t="s">
        <v>866</v>
      </c>
    </row>
    <row r="1983" spans="1:33" x14ac:dyDescent="0.35">
      <c r="A1983" s="1">
        <v>44848.761805555558</v>
      </c>
      <c r="B1983">
        <v>6630978</v>
      </c>
      <c r="C1983" t="s">
        <v>4353</v>
      </c>
      <c r="D1983" t="s">
        <v>213</v>
      </c>
      <c r="E1983" s="2">
        <v>44342</v>
      </c>
      <c r="F1983" t="str">
        <f>"9780128241820"</f>
        <v>9780128241820</v>
      </c>
      <c r="G1983" t="str">
        <f>"9780128237670"</f>
        <v>9780128237670</v>
      </c>
      <c r="H1983" t="s">
        <v>4354</v>
      </c>
      <c r="I1983">
        <v>363.73874000000001</v>
      </c>
      <c r="J1983" t="s">
        <v>4355</v>
      </c>
      <c r="K1983" t="s">
        <v>55</v>
      </c>
      <c r="Q1983" t="s">
        <v>47</v>
      </c>
      <c r="R1983" t="s">
        <v>44</v>
      </c>
      <c r="S1983">
        <v>0</v>
      </c>
      <c r="W1983" s="3">
        <v>1.0648148148148147E-3</v>
      </c>
      <c r="X1983" t="s">
        <v>4356</v>
      </c>
      <c r="Y1983">
        <v>13</v>
      </c>
      <c r="Z1983">
        <v>0</v>
      </c>
      <c r="AA1983" t="s">
        <v>49</v>
      </c>
      <c r="AB1983">
        <v>0</v>
      </c>
      <c r="AC1983" t="s">
        <v>49</v>
      </c>
      <c r="AD1983">
        <v>0</v>
      </c>
      <c r="AE1983">
        <v>-1</v>
      </c>
      <c r="AF1983" t="s">
        <v>50</v>
      </c>
      <c r="AG1983" t="s">
        <v>866</v>
      </c>
    </row>
    <row r="1984" spans="1:33" x14ac:dyDescent="0.35">
      <c r="A1984" s="1">
        <v>44848.756944444445</v>
      </c>
      <c r="B1984">
        <v>5829217</v>
      </c>
      <c r="C1984" t="s">
        <v>626</v>
      </c>
      <c r="D1984" t="s">
        <v>627</v>
      </c>
      <c r="E1984" s="2">
        <v>43259</v>
      </c>
      <c r="F1984" t="str">
        <f>"9781496395139"</f>
        <v>9781496395139</v>
      </c>
      <c r="G1984" t="str">
        <f>"9781496335418"</f>
        <v>9781496335418</v>
      </c>
      <c r="H1984" t="s">
        <v>77</v>
      </c>
      <c r="I1984" t="s">
        <v>628</v>
      </c>
      <c r="J1984" t="s">
        <v>629</v>
      </c>
      <c r="K1984" t="s">
        <v>44</v>
      </c>
      <c r="N1984" t="s">
        <v>45</v>
      </c>
      <c r="O1984" t="s">
        <v>46</v>
      </c>
      <c r="P1984" t="s">
        <v>45</v>
      </c>
      <c r="Q1984" t="s">
        <v>47</v>
      </c>
      <c r="R1984" t="s">
        <v>44</v>
      </c>
      <c r="S1984">
        <v>0</v>
      </c>
      <c r="W1984" s="3">
        <v>1.667824074074074E-2</v>
      </c>
      <c r="X1984" t="s">
        <v>4357</v>
      </c>
      <c r="Y1984">
        <v>26</v>
      </c>
      <c r="Z1984">
        <v>0</v>
      </c>
      <c r="AA1984" t="s">
        <v>49</v>
      </c>
      <c r="AB1984">
        <v>0</v>
      </c>
      <c r="AC1984" t="s">
        <v>49</v>
      </c>
      <c r="AD1984">
        <v>0</v>
      </c>
      <c r="AE1984">
        <v>-1</v>
      </c>
      <c r="AF1984" t="s">
        <v>50</v>
      </c>
      <c r="AG1984" t="s">
        <v>866</v>
      </c>
    </row>
    <row r="1985" spans="1:33" x14ac:dyDescent="0.35">
      <c r="A1985" s="1">
        <v>44848.710416666669</v>
      </c>
      <c r="B1985">
        <v>5538949</v>
      </c>
      <c r="C1985" t="s">
        <v>4118</v>
      </c>
      <c r="D1985" t="s">
        <v>76</v>
      </c>
      <c r="E1985" s="2">
        <v>43377</v>
      </c>
      <c r="F1985" t="str">
        <f>"9780429766763"</f>
        <v>9780429766763</v>
      </c>
      <c r="G1985" t="str">
        <f>"9781138369887"</f>
        <v>9781138369887</v>
      </c>
      <c r="H1985" t="s">
        <v>538</v>
      </c>
      <c r="I1985" t="s">
        <v>4119</v>
      </c>
      <c r="J1985" t="s">
        <v>4120</v>
      </c>
      <c r="K1985" t="s">
        <v>55</v>
      </c>
      <c r="Q1985" t="s">
        <v>47</v>
      </c>
      <c r="R1985" t="s">
        <v>44</v>
      </c>
      <c r="S1985">
        <v>0</v>
      </c>
      <c r="W1985" s="3">
        <v>1.1574074074074073E-4</v>
      </c>
      <c r="X1985" t="s">
        <v>3020</v>
      </c>
      <c r="Y1985">
        <v>1</v>
      </c>
      <c r="Z1985">
        <v>0</v>
      </c>
      <c r="AA1985" t="s">
        <v>49</v>
      </c>
      <c r="AB1985">
        <v>0</v>
      </c>
      <c r="AC1985" t="s">
        <v>49</v>
      </c>
      <c r="AD1985">
        <v>0</v>
      </c>
      <c r="AE1985">
        <v>11617824</v>
      </c>
      <c r="AF1985" t="s">
        <v>50</v>
      </c>
      <c r="AG1985" t="s">
        <v>118</v>
      </c>
    </row>
    <row r="1986" spans="1:33" x14ac:dyDescent="0.35">
      <c r="A1986" s="1">
        <v>44848.618055555555</v>
      </c>
      <c r="B1986">
        <v>665565</v>
      </c>
      <c r="C1986" t="s">
        <v>2309</v>
      </c>
      <c r="D1986" t="s">
        <v>2125</v>
      </c>
      <c r="E1986" s="2">
        <v>40483</v>
      </c>
      <c r="F1986" t="str">
        <f>"9781439828151"</f>
        <v>9781439828151</v>
      </c>
      <c r="G1986" t="str">
        <f>"9781439828144"</f>
        <v>9781439828144</v>
      </c>
      <c r="H1986" t="s">
        <v>60</v>
      </c>
      <c r="I1986">
        <v>658.7</v>
      </c>
      <c r="J1986" t="s">
        <v>2310</v>
      </c>
      <c r="K1986" t="s">
        <v>44</v>
      </c>
      <c r="N1986" t="s">
        <v>45</v>
      </c>
      <c r="O1986" t="s">
        <v>46</v>
      </c>
      <c r="P1986" t="s">
        <v>45</v>
      </c>
      <c r="Q1986" t="s">
        <v>47</v>
      </c>
      <c r="R1986" t="s">
        <v>44</v>
      </c>
      <c r="S1986">
        <v>0</v>
      </c>
      <c r="W1986" s="3">
        <v>5.7870370370370366E-5</v>
      </c>
      <c r="X1986" t="s">
        <v>121</v>
      </c>
      <c r="Y1986">
        <v>1</v>
      </c>
      <c r="Z1986">
        <v>0</v>
      </c>
      <c r="AA1986" t="s">
        <v>49</v>
      </c>
      <c r="AB1986">
        <v>0</v>
      </c>
      <c r="AC1986" t="s">
        <v>49</v>
      </c>
      <c r="AD1986">
        <v>0</v>
      </c>
      <c r="AE1986">
        <v>10449865</v>
      </c>
      <c r="AF1986" t="s">
        <v>50</v>
      </c>
      <c r="AG1986" t="s">
        <v>1536</v>
      </c>
    </row>
    <row r="1987" spans="1:33" x14ac:dyDescent="0.35">
      <c r="A1987" s="1">
        <v>44848.527777777781</v>
      </c>
      <c r="B1987">
        <v>6129310</v>
      </c>
      <c r="C1987" t="s">
        <v>4358</v>
      </c>
      <c r="D1987" t="s">
        <v>105</v>
      </c>
      <c r="E1987" s="2">
        <v>43894</v>
      </c>
      <c r="F1987" t="str">
        <f>"9783030430139"</f>
        <v>9783030430139</v>
      </c>
      <c r="G1987" t="str">
        <f>"9783030430122"</f>
        <v>9783030430122</v>
      </c>
      <c r="H1987" t="s">
        <v>546</v>
      </c>
      <c r="I1987">
        <v>621.31700000000001</v>
      </c>
      <c r="J1987" t="s">
        <v>567</v>
      </c>
      <c r="K1987" t="s">
        <v>55</v>
      </c>
      <c r="Q1987" t="s">
        <v>47</v>
      </c>
      <c r="R1987" t="s">
        <v>44</v>
      </c>
      <c r="S1987">
        <v>0</v>
      </c>
      <c r="W1987" s="3">
        <v>3.0092592592592588E-3</v>
      </c>
      <c r="X1987" t="s">
        <v>4359</v>
      </c>
      <c r="Y1987">
        <v>9</v>
      </c>
      <c r="Z1987">
        <v>0</v>
      </c>
      <c r="AA1987" t="s">
        <v>49</v>
      </c>
      <c r="AB1987">
        <v>0</v>
      </c>
      <c r="AC1987" t="s">
        <v>49</v>
      </c>
      <c r="AD1987">
        <v>0</v>
      </c>
      <c r="AE1987">
        <v>-1</v>
      </c>
      <c r="AF1987" t="s">
        <v>63</v>
      </c>
      <c r="AG1987" t="s">
        <v>118</v>
      </c>
    </row>
    <row r="1988" spans="1:33" x14ac:dyDescent="0.35">
      <c r="A1988" s="1">
        <v>44848.525694444441</v>
      </c>
      <c r="B1988">
        <v>6129310</v>
      </c>
      <c r="C1988" t="s">
        <v>4358</v>
      </c>
      <c r="D1988" t="s">
        <v>105</v>
      </c>
      <c r="E1988" s="2">
        <v>43894</v>
      </c>
      <c r="F1988" t="str">
        <f>"9783030430139"</f>
        <v>9783030430139</v>
      </c>
      <c r="G1988" t="str">
        <f>"9783030430122"</f>
        <v>9783030430122</v>
      </c>
      <c r="H1988" t="s">
        <v>546</v>
      </c>
      <c r="I1988">
        <v>621.31700000000001</v>
      </c>
      <c r="J1988" t="s">
        <v>567</v>
      </c>
      <c r="K1988" t="s">
        <v>55</v>
      </c>
      <c r="Q1988" t="s">
        <v>47</v>
      </c>
      <c r="R1988" t="s">
        <v>44</v>
      </c>
      <c r="S1988">
        <v>0</v>
      </c>
      <c r="W1988" s="3">
        <v>8.8657407407407417E-3</v>
      </c>
      <c r="X1988" t="s">
        <v>4360</v>
      </c>
      <c r="Y1988">
        <v>5</v>
      </c>
      <c r="Z1988">
        <v>0</v>
      </c>
      <c r="AA1988" t="s">
        <v>49</v>
      </c>
      <c r="AB1988">
        <v>0</v>
      </c>
      <c r="AC1988" t="s">
        <v>49</v>
      </c>
      <c r="AD1988">
        <v>0</v>
      </c>
      <c r="AE1988">
        <v>-1</v>
      </c>
      <c r="AF1988" t="s">
        <v>63</v>
      </c>
      <c r="AG1988" t="s">
        <v>118</v>
      </c>
    </row>
    <row r="1989" spans="1:33" x14ac:dyDescent="0.35">
      <c r="A1989" s="1">
        <v>44848.524305555555</v>
      </c>
      <c r="B1989">
        <v>6129310</v>
      </c>
      <c r="C1989" t="s">
        <v>4358</v>
      </c>
      <c r="D1989" t="s">
        <v>105</v>
      </c>
      <c r="E1989" s="2">
        <v>43894</v>
      </c>
      <c r="F1989" t="str">
        <f>"9783030430139"</f>
        <v>9783030430139</v>
      </c>
      <c r="G1989" t="str">
        <f>"9783030430122"</f>
        <v>9783030430122</v>
      </c>
      <c r="H1989" t="s">
        <v>546</v>
      </c>
      <c r="I1989">
        <v>621.31700000000001</v>
      </c>
      <c r="J1989" t="s">
        <v>567</v>
      </c>
      <c r="K1989" t="s">
        <v>55</v>
      </c>
      <c r="Q1989" t="s">
        <v>47</v>
      </c>
      <c r="R1989" t="s">
        <v>44</v>
      </c>
      <c r="S1989">
        <v>0</v>
      </c>
      <c r="W1989" s="3">
        <v>5.6712962962962956E-4</v>
      </c>
      <c r="X1989" t="s">
        <v>4361</v>
      </c>
      <c r="Y1989">
        <v>7</v>
      </c>
      <c r="Z1989">
        <v>0</v>
      </c>
      <c r="AA1989" t="s">
        <v>49</v>
      </c>
      <c r="AB1989">
        <v>0</v>
      </c>
      <c r="AC1989" t="s">
        <v>49</v>
      </c>
      <c r="AD1989">
        <v>0</v>
      </c>
      <c r="AE1989">
        <v>-1</v>
      </c>
      <c r="AF1989" t="s">
        <v>63</v>
      </c>
      <c r="AG1989" t="s">
        <v>118</v>
      </c>
    </row>
    <row r="1990" spans="1:33" x14ac:dyDescent="0.35">
      <c r="A1990" s="1">
        <v>44848.519444444442</v>
      </c>
      <c r="B1990">
        <v>5497270</v>
      </c>
      <c r="C1990" t="s">
        <v>4362</v>
      </c>
      <c r="D1990" t="s">
        <v>65</v>
      </c>
      <c r="E1990" s="2">
        <v>43335</v>
      </c>
      <c r="F1990" t="str">
        <f>"9780081023402"</f>
        <v>9780081023402</v>
      </c>
      <c r="G1990" t="str">
        <f>"9780081023396"</f>
        <v>9780081023396</v>
      </c>
      <c r="H1990" t="s">
        <v>4363</v>
      </c>
      <c r="I1990">
        <v>321.31243999999998</v>
      </c>
      <c r="J1990" t="s">
        <v>4364</v>
      </c>
      <c r="K1990" t="s">
        <v>55</v>
      </c>
      <c r="N1990" t="s">
        <v>79</v>
      </c>
      <c r="P1990" t="s">
        <v>80</v>
      </c>
      <c r="Q1990" t="s">
        <v>47</v>
      </c>
      <c r="R1990" t="s">
        <v>44</v>
      </c>
      <c r="S1990">
        <v>1</v>
      </c>
      <c r="T1990">
        <v>30</v>
      </c>
      <c r="U1990" s="1">
        <v>44848.519444444442</v>
      </c>
      <c r="V1990" s="1">
        <v>44878.519444444442</v>
      </c>
      <c r="W1990" s="3">
        <v>0</v>
      </c>
      <c r="X1990" t="s">
        <v>49</v>
      </c>
      <c r="Y1990">
        <v>0</v>
      </c>
      <c r="Z1990">
        <v>0</v>
      </c>
      <c r="AA1990" t="s">
        <v>49</v>
      </c>
      <c r="AB1990">
        <v>0</v>
      </c>
      <c r="AC1990" t="s">
        <v>49</v>
      </c>
      <c r="AD1990">
        <v>0</v>
      </c>
      <c r="AE1990">
        <v>-1</v>
      </c>
      <c r="AF1990" t="s">
        <v>63</v>
      </c>
      <c r="AG1990" t="s">
        <v>118</v>
      </c>
    </row>
    <row r="1991" spans="1:33" x14ac:dyDescent="0.35">
      <c r="A1991" s="1">
        <v>44848.501388888886</v>
      </c>
      <c r="B1991">
        <v>6710080</v>
      </c>
      <c r="C1991" t="s">
        <v>4237</v>
      </c>
      <c r="D1991" t="s">
        <v>76</v>
      </c>
      <c r="E1991" s="2">
        <v>44460</v>
      </c>
      <c r="F1991" t="str">
        <f>"9781000424966"</f>
        <v>9781000424966</v>
      </c>
      <c r="G1991" t="str">
        <f>"9780367709853"</f>
        <v>9780367709853</v>
      </c>
      <c r="H1991" t="s">
        <v>233</v>
      </c>
      <c r="I1991">
        <v>629.89499999999998</v>
      </c>
      <c r="J1991" t="s">
        <v>4238</v>
      </c>
      <c r="K1991" t="s">
        <v>55</v>
      </c>
      <c r="Q1991" t="s">
        <v>47</v>
      </c>
      <c r="R1991" t="s">
        <v>44</v>
      </c>
      <c r="S1991">
        <v>0</v>
      </c>
      <c r="W1991" s="3">
        <v>7.5000000000000006E-3</v>
      </c>
      <c r="X1991" t="s">
        <v>4365</v>
      </c>
      <c r="Y1991">
        <v>42</v>
      </c>
      <c r="Z1991">
        <v>0</v>
      </c>
      <c r="AA1991" t="s">
        <v>49</v>
      </c>
      <c r="AB1991">
        <v>0</v>
      </c>
      <c r="AC1991" t="s">
        <v>49</v>
      </c>
      <c r="AD1991">
        <v>0</v>
      </c>
      <c r="AE1991">
        <v>-1</v>
      </c>
      <c r="AF1991" t="s">
        <v>63</v>
      </c>
      <c r="AG1991" t="s">
        <v>118</v>
      </c>
    </row>
    <row r="1992" spans="1:33" x14ac:dyDescent="0.35">
      <c r="A1992" s="1">
        <v>44848.103472222225</v>
      </c>
      <c r="B1992">
        <v>4931949</v>
      </c>
      <c r="C1992" t="s">
        <v>3575</v>
      </c>
      <c r="D1992" t="s">
        <v>76</v>
      </c>
      <c r="E1992" s="2">
        <v>42971</v>
      </c>
      <c r="F1992" t="str">
        <f>"9781351705097"</f>
        <v>9781351705097</v>
      </c>
      <c r="G1992" t="str">
        <f>"9781138040687"</f>
        <v>9781138040687</v>
      </c>
      <c r="H1992" t="s">
        <v>133</v>
      </c>
      <c r="I1992">
        <v>338.95360699999998</v>
      </c>
      <c r="J1992" t="s">
        <v>3576</v>
      </c>
      <c r="K1992" t="s">
        <v>55</v>
      </c>
      <c r="N1992" t="s">
        <v>79</v>
      </c>
      <c r="P1992" t="s">
        <v>80</v>
      </c>
      <c r="Q1992" t="s">
        <v>47</v>
      </c>
      <c r="R1992" t="s">
        <v>44</v>
      </c>
      <c r="S1992">
        <v>0</v>
      </c>
      <c r="W1992" s="3">
        <v>3.3912037037037036E-3</v>
      </c>
      <c r="X1992" t="s">
        <v>4366</v>
      </c>
      <c r="Y1992">
        <v>29</v>
      </c>
      <c r="Z1992">
        <v>0</v>
      </c>
      <c r="AA1992" t="s">
        <v>49</v>
      </c>
      <c r="AB1992">
        <v>0</v>
      </c>
      <c r="AC1992" t="s">
        <v>49</v>
      </c>
      <c r="AD1992">
        <v>0</v>
      </c>
      <c r="AE1992">
        <v>11419775</v>
      </c>
      <c r="AF1992" t="s">
        <v>50</v>
      </c>
      <c r="AG1992" t="s">
        <v>3419</v>
      </c>
    </row>
    <row r="1993" spans="1:33" x14ac:dyDescent="0.35">
      <c r="A1993" s="1">
        <v>44847.973611111112</v>
      </c>
      <c r="B1993">
        <v>822084</v>
      </c>
      <c r="C1993" t="s">
        <v>4367</v>
      </c>
      <c r="D1993" t="s">
        <v>59</v>
      </c>
      <c r="E1993" s="2">
        <v>41100</v>
      </c>
      <c r="F1993" t="str">
        <f>"9781118229163"</f>
        <v>9781118229163</v>
      </c>
      <c r="G1993" t="str">
        <f>"9781118119969"</f>
        <v>9781118119969</v>
      </c>
      <c r="H1993" t="s">
        <v>214</v>
      </c>
      <c r="I1993">
        <v>541.28</v>
      </c>
      <c r="J1993" t="s">
        <v>4368</v>
      </c>
      <c r="K1993" t="s">
        <v>44</v>
      </c>
      <c r="N1993" t="s">
        <v>45</v>
      </c>
      <c r="O1993" t="s">
        <v>46</v>
      </c>
      <c r="P1993" t="s">
        <v>45</v>
      </c>
      <c r="Q1993" t="s">
        <v>47</v>
      </c>
      <c r="R1993" t="s">
        <v>44</v>
      </c>
      <c r="S1993">
        <v>0</v>
      </c>
      <c r="W1993" s="3">
        <v>1.2662037037037039E-2</v>
      </c>
      <c r="X1993" t="s">
        <v>4369</v>
      </c>
      <c r="Y1993">
        <v>27</v>
      </c>
      <c r="Z1993">
        <v>2</v>
      </c>
      <c r="AA1993" t="s">
        <v>4370</v>
      </c>
      <c r="AB1993">
        <v>29</v>
      </c>
      <c r="AC1993" t="s">
        <v>49</v>
      </c>
      <c r="AD1993">
        <v>0</v>
      </c>
      <c r="AE1993">
        <v>10575517</v>
      </c>
      <c r="AF1993" t="s">
        <v>50</v>
      </c>
      <c r="AG1993" t="s">
        <v>3419</v>
      </c>
    </row>
    <row r="1994" spans="1:33" x14ac:dyDescent="0.35">
      <c r="A1994" s="1">
        <v>44847.783333333333</v>
      </c>
      <c r="B1994">
        <v>4183127</v>
      </c>
      <c r="C1994" t="s">
        <v>190</v>
      </c>
      <c r="D1994" t="s">
        <v>59</v>
      </c>
      <c r="E1994" s="2">
        <v>42310</v>
      </c>
      <c r="F1994" t="str">
        <f>"9783527684649"</f>
        <v>9783527684649</v>
      </c>
      <c r="G1994" t="str">
        <f>"9783527331659"</f>
        <v>9783527331659</v>
      </c>
      <c r="H1994" t="s">
        <v>191</v>
      </c>
      <c r="I1994" t="s">
        <v>192</v>
      </c>
      <c r="J1994" t="s">
        <v>193</v>
      </c>
      <c r="K1994" t="s">
        <v>44</v>
      </c>
      <c r="N1994" t="s">
        <v>45</v>
      </c>
      <c r="O1994" t="s">
        <v>46</v>
      </c>
      <c r="P1994" t="s">
        <v>45</v>
      </c>
      <c r="Q1994" t="s">
        <v>47</v>
      </c>
      <c r="R1994" t="s">
        <v>44</v>
      </c>
      <c r="S1994">
        <v>0</v>
      </c>
      <c r="W1994" s="3">
        <v>0</v>
      </c>
      <c r="X1994" t="s">
        <v>49</v>
      </c>
      <c r="Y1994">
        <v>0</v>
      </c>
      <c r="Z1994">
        <v>0</v>
      </c>
      <c r="AA1994" t="s">
        <v>49</v>
      </c>
      <c r="AB1994">
        <v>0</v>
      </c>
      <c r="AC1994" t="s">
        <v>49</v>
      </c>
      <c r="AD1994">
        <v>0</v>
      </c>
      <c r="AE1994">
        <v>11125579</v>
      </c>
      <c r="AF1994" t="s">
        <v>50</v>
      </c>
      <c r="AG1994" t="s">
        <v>4371</v>
      </c>
    </row>
    <row r="1995" spans="1:33" x14ac:dyDescent="0.35">
      <c r="A1995" s="1">
        <v>44847.75277777778</v>
      </c>
      <c r="B1995">
        <v>6361314</v>
      </c>
      <c r="C1995" t="s">
        <v>437</v>
      </c>
      <c r="D1995" t="s">
        <v>438</v>
      </c>
      <c r="E1995" s="2">
        <v>44105</v>
      </c>
      <c r="F1995" t="str">
        <f>"9781642872828"</f>
        <v>9781642872828</v>
      </c>
      <c r="G1995" t="str">
        <f>""</f>
        <v/>
      </c>
      <c r="H1995" t="s">
        <v>43</v>
      </c>
      <c r="I1995">
        <v>515.35299999999995</v>
      </c>
      <c r="J1995" t="s">
        <v>439</v>
      </c>
      <c r="K1995" t="s">
        <v>55</v>
      </c>
      <c r="Q1995" t="s">
        <v>47</v>
      </c>
      <c r="R1995" t="s">
        <v>44</v>
      </c>
      <c r="S1995">
        <v>0</v>
      </c>
      <c r="W1995" s="3">
        <v>9.2592592592592588E-5</v>
      </c>
      <c r="X1995" t="s">
        <v>4372</v>
      </c>
      <c r="Y1995">
        <v>2</v>
      </c>
      <c r="Z1995">
        <v>0</v>
      </c>
      <c r="AA1995" t="s">
        <v>49</v>
      </c>
      <c r="AB1995">
        <v>0</v>
      </c>
      <c r="AC1995" t="s">
        <v>49</v>
      </c>
      <c r="AD1995">
        <v>0</v>
      </c>
      <c r="AE1995">
        <v>-1</v>
      </c>
      <c r="AF1995" t="s">
        <v>50</v>
      </c>
      <c r="AG1995" t="s">
        <v>1536</v>
      </c>
    </row>
    <row r="1996" spans="1:33" x14ac:dyDescent="0.35">
      <c r="A1996" s="1">
        <v>44847.717361111114</v>
      </c>
      <c r="B1996">
        <v>6361314</v>
      </c>
      <c r="C1996" t="s">
        <v>437</v>
      </c>
      <c r="D1996" t="s">
        <v>438</v>
      </c>
      <c r="E1996" s="2">
        <v>44105</v>
      </c>
      <c r="F1996" t="str">
        <f>"9781642872828"</f>
        <v>9781642872828</v>
      </c>
      <c r="G1996" t="str">
        <f>""</f>
        <v/>
      </c>
      <c r="H1996" t="s">
        <v>43</v>
      </c>
      <c r="I1996">
        <v>515.35299999999995</v>
      </c>
      <c r="J1996" t="s">
        <v>439</v>
      </c>
      <c r="K1996" t="s">
        <v>55</v>
      </c>
      <c r="Q1996" t="s">
        <v>47</v>
      </c>
      <c r="R1996" t="s">
        <v>44</v>
      </c>
      <c r="S1996">
        <v>0</v>
      </c>
      <c r="W1996" s="3">
        <v>6.2500000000000001E-4</v>
      </c>
      <c r="X1996" t="s">
        <v>103</v>
      </c>
      <c r="Y1996">
        <v>3</v>
      </c>
      <c r="Z1996">
        <v>0</v>
      </c>
      <c r="AA1996" t="s">
        <v>49</v>
      </c>
      <c r="AB1996">
        <v>0</v>
      </c>
      <c r="AC1996" t="s">
        <v>49</v>
      </c>
      <c r="AD1996">
        <v>0</v>
      </c>
      <c r="AE1996">
        <v>-1</v>
      </c>
      <c r="AF1996" t="s">
        <v>50</v>
      </c>
      <c r="AG1996" t="s">
        <v>1536</v>
      </c>
    </row>
    <row r="1997" spans="1:33" x14ac:dyDescent="0.35">
      <c r="A1997" s="1">
        <v>44847.657638888886</v>
      </c>
      <c r="B1997">
        <v>4183127</v>
      </c>
      <c r="C1997" t="s">
        <v>190</v>
      </c>
      <c r="D1997" t="s">
        <v>59</v>
      </c>
      <c r="E1997" s="2">
        <v>42310</v>
      </c>
      <c r="F1997" t="str">
        <f>"9783527684649"</f>
        <v>9783527684649</v>
      </c>
      <c r="G1997" t="str">
        <f>"9783527331659"</f>
        <v>9783527331659</v>
      </c>
      <c r="H1997" t="s">
        <v>191</v>
      </c>
      <c r="I1997" t="s">
        <v>192</v>
      </c>
      <c r="J1997" t="s">
        <v>193</v>
      </c>
      <c r="K1997" t="s">
        <v>44</v>
      </c>
      <c r="N1997" t="s">
        <v>45</v>
      </c>
      <c r="O1997" t="s">
        <v>46</v>
      </c>
      <c r="P1997" t="s">
        <v>45</v>
      </c>
      <c r="Q1997" t="s">
        <v>47</v>
      </c>
      <c r="R1997" t="s">
        <v>44</v>
      </c>
      <c r="S1997">
        <v>0</v>
      </c>
      <c r="W1997" s="3">
        <v>4.3981481481481481E-4</v>
      </c>
      <c r="X1997" t="s">
        <v>4373</v>
      </c>
      <c r="Y1997">
        <v>6</v>
      </c>
      <c r="Z1997">
        <v>0</v>
      </c>
      <c r="AA1997" t="s">
        <v>49</v>
      </c>
      <c r="AB1997">
        <v>0</v>
      </c>
      <c r="AC1997" t="s">
        <v>49</v>
      </c>
      <c r="AD1997">
        <v>0</v>
      </c>
      <c r="AE1997">
        <v>11125579</v>
      </c>
      <c r="AF1997" t="s">
        <v>50</v>
      </c>
      <c r="AG1997" t="s">
        <v>4371</v>
      </c>
    </row>
    <row r="1998" spans="1:33" x14ac:dyDescent="0.35">
      <c r="A1998" s="1">
        <v>44847.65</v>
      </c>
      <c r="B1998">
        <v>5139938</v>
      </c>
      <c r="C1998" t="s">
        <v>295</v>
      </c>
      <c r="D1998" t="s">
        <v>296</v>
      </c>
      <c r="E1998" s="2">
        <v>41852</v>
      </c>
      <c r="F1998" t="str">
        <f>"9781613994078"</f>
        <v>9781613994078</v>
      </c>
      <c r="G1998" t="str">
        <f>"9781613993286"</f>
        <v>9781613993286</v>
      </c>
      <c r="H1998" t="s">
        <v>297</v>
      </c>
      <c r="I1998">
        <v>622.33820000000003</v>
      </c>
      <c r="J1998" t="s">
        <v>298</v>
      </c>
      <c r="K1998" t="s">
        <v>44</v>
      </c>
      <c r="N1998" t="s">
        <v>45</v>
      </c>
      <c r="O1998" t="s">
        <v>46</v>
      </c>
      <c r="P1998" t="s">
        <v>45</v>
      </c>
      <c r="Q1998" t="s">
        <v>47</v>
      </c>
      <c r="R1998" t="s">
        <v>44</v>
      </c>
      <c r="S1998">
        <v>0</v>
      </c>
      <c r="W1998" s="3">
        <v>0</v>
      </c>
      <c r="X1998" t="s">
        <v>49</v>
      </c>
      <c r="Y1998">
        <v>0</v>
      </c>
      <c r="Z1998">
        <v>2</v>
      </c>
      <c r="AA1998" t="s">
        <v>4374</v>
      </c>
      <c r="AB1998">
        <v>95</v>
      </c>
      <c r="AC1998" t="s">
        <v>49</v>
      </c>
      <c r="AD1998">
        <v>0</v>
      </c>
      <c r="AE1998">
        <v>11465346</v>
      </c>
      <c r="AF1998" t="s">
        <v>50</v>
      </c>
      <c r="AG1998" t="s">
        <v>1536</v>
      </c>
    </row>
    <row r="1999" spans="1:33" x14ac:dyDescent="0.35">
      <c r="A1999" s="1">
        <v>44847.647916666669</v>
      </c>
      <c r="B1999">
        <v>5139938</v>
      </c>
      <c r="C1999" t="s">
        <v>295</v>
      </c>
      <c r="D1999" t="s">
        <v>296</v>
      </c>
      <c r="E1999" s="2">
        <v>41852</v>
      </c>
      <c r="F1999" t="str">
        <f>"9781613994078"</f>
        <v>9781613994078</v>
      </c>
      <c r="G1999" t="str">
        <f>"9781613993286"</f>
        <v>9781613993286</v>
      </c>
      <c r="H1999" t="s">
        <v>297</v>
      </c>
      <c r="I1999">
        <v>622.33820000000003</v>
      </c>
      <c r="J1999" t="s">
        <v>298</v>
      </c>
      <c r="K1999" t="s">
        <v>44</v>
      </c>
      <c r="N1999" t="s">
        <v>45</v>
      </c>
      <c r="O1999" t="s">
        <v>46</v>
      </c>
      <c r="P1999" t="s">
        <v>45</v>
      </c>
      <c r="Q1999" t="s">
        <v>47</v>
      </c>
      <c r="R1999" t="s">
        <v>44</v>
      </c>
      <c r="S1999">
        <v>0</v>
      </c>
      <c r="W1999" s="3">
        <v>1.1574074074074073E-5</v>
      </c>
      <c r="X1999" t="s">
        <v>49</v>
      </c>
      <c r="Y1999">
        <v>0</v>
      </c>
      <c r="Z1999">
        <v>8</v>
      </c>
      <c r="AA1999" t="s">
        <v>4375</v>
      </c>
      <c r="AB1999">
        <v>144</v>
      </c>
      <c r="AC1999" t="s">
        <v>49</v>
      </c>
      <c r="AD1999">
        <v>0</v>
      </c>
      <c r="AE1999">
        <v>11465346</v>
      </c>
      <c r="AF1999" t="s">
        <v>50</v>
      </c>
      <c r="AG1999" t="s">
        <v>1536</v>
      </c>
    </row>
    <row r="2000" spans="1:33" x14ac:dyDescent="0.35">
      <c r="A2000" s="1">
        <v>44847.647222222222</v>
      </c>
      <c r="B2000">
        <v>5139938</v>
      </c>
      <c r="C2000" t="s">
        <v>295</v>
      </c>
      <c r="D2000" t="s">
        <v>296</v>
      </c>
      <c r="E2000" s="2">
        <v>41852</v>
      </c>
      <c r="F2000" t="str">
        <f>"9781613994078"</f>
        <v>9781613994078</v>
      </c>
      <c r="G2000" t="str">
        <f>"9781613993286"</f>
        <v>9781613993286</v>
      </c>
      <c r="H2000" t="s">
        <v>297</v>
      </c>
      <c r="I2000">
        <v>622.33820000000003</v>
      </c>
      <c r="J2000" t="s">
        <v>298</v>
      </c>
      <c r="K2000" t="s">
        <v>44</v>
      </c>
      <c r="N2000" t="s">
        <v>45</v>
      </c>
      <c r="O2000" t="s">
        <v>46</v>
      </c>
      <c r="P2000" t="s">
        <v>45</v>
      </c>
      <c r="Q2000" t="s">
        <v>47</v>
      </c>
      <c r="R2000" t="s">
        <v>44</v>
      </c>
      <c r="S2000">
        <v>0</v>
      </c>
      <c r="W2000" s="3">
        <v>0</v>
      </c>
      <c r="X2000" t="s">
        <v>49</v>
      </c>
      <c r="Y2000">
        <v>0</v>
      </c>
      <c r="Z2000">
        <v>3</v>
      </c>
      <c r="AA2000" t="s">
        <v>4376</v>
      </c>
      <c r="AB2000">
        <v>128</v>
      </c>
      <c r="AC2000" t="s">
        <v>49</v>
      </c>
      <c r="AD2000">
        <v>0</v>
      </c>
      <c r="AE2000">
        <v>11465346</v>
      </c>
      <c r="AF2000" t="s">
        <v>50</v>
      </c>
      <c r="AG2000" t="s">
        <v>1536</v>
      </c>
    </row>
    <row r="2001" spans="1:33" x14ac:dyDescent="0.35">
      <c r="A2001" s="1">
        <v>44847.644444444442</v>
      </c>
      <c r="B2001">
        <v>5139938</v>
      </c>
      <c r="C2001" t="s">
        <v>295</v>
      </c>
      <c r="D2001" t="s">
        <v>296</v>
      </c>
      <c r="E2001" s="2">
        <v>41852</v>
      </c>
      <c r="F2001" t="str">
        <f>"9781613994078"</f>
        <v>9781613994078</v>
      </c>
      <c r="G2001" t="str">
        <f>"9781613993286"</f>
        <v>9781613993286</v>
      </c>
      <c r="H2001" t="s">
        <v>297</v>
      </c>
      <c r="I2001">
        <v>622.33820000000003</v>
      </c>
      <c r="J2001" t="s">
        <v>298</v>
      </c>
      <c r="K2001" t="s">
        <v>44</v>
      </c>
      <c r="N2001" t="s">
        <v>45</v>
      </c>
      <c r="O2001" t="s">
        <v>46</v>
      </c>
      <c r="P2001" t="s">
        <v>45</v>
      </c>
      <c r="Q2001" t="s">
        <v>47</v>
      </c>
      <c r="R2001" t="s">
        <v>44</v>
      </c>
      <c r="S2001">
        <v>0</v>
      </c>
      <c r="W2001" s="3">
        <v>0</v>
      </c>
      <c r="X2001" t="s">
        <v>49</v>
      </c>
      <c r="Y2001">
        <v>0</v>
      </c>
      <c r="Z2001">
        <v>4</v>
      </c>
      <c r="AA2001" t="s">
        <v>4377</v>
      </c>
      <c r="AB2001">
        <v>130</v>
      </c>
      <c r="AC2001" t="s">
        <v>49</v>
      </c>
      <c r="AD2001">
        <v>0</v>
      </c>
      <c r="AE2001">
        <v>11465346</v>
      </c>
      <c r="AF2001" t="s">
        <v>50</v>
      </c>
      <c r="AG2001" t="s">
        <v>1536</v>
      </c>
    </row>
    <row r="2002" spans="1:33" x14ac:dyDescent="0.35">
      <c r="A2002" s="1">
        <v>44847.625694444447</v>
      </c>
      <c r="B2002">
        <v>1273074</v>
      </c>
      <c r="C2002" t="s">
        <v>3590</v>
      </c>
      <c r="D2002" t="s">
        <v>76</v>
      </c>
      <c r="E2002" s="2">
        <v>36372</v>
      </c>
      <c r="F2002" t="str">
        <f>"9781136318030"</f>
        <v>9781136318030</v>
      </c>
      <c r="G2002" t="str">
        <f>"9780415210058"</f>
        <v>9780415210058</v>
      </c>
      <c r="H2002" t="s">
        <v>244</v>
      </c>
      <c r="I2002">
        <v>155.41200000000001</v>
      </c>
      <c r="J2002" t="s">
        <v>3591</v>
      </c>
      <c r="K2002" t="s">
        <v>44</v>
      </c>
      <c r="N2002" t="s">
        <v>45</v>
      </c>
      <c r="O2002" t="s">
        <v>46</v>
      </c>
      <c r="P2002" t="s">
        <v>45</v>
      </c>
      <c r="Q2002" t="s">
        <v>47</v>
      </c>
      <c r="R2002" t="s">
        <v>44</v>
      </c>
      <c r="S2002">
        <v>0</v>
      </c>
      <c r="W2002" s="3">
        <v>7.8472222222222224E-3</v>
      </c>
      <c r="X2002" t="s">
        <v>4378</v>
      </c>
      <c r="Y2002">
        <v>11</v>
      </c>
      <c r="Z2002">
        <v>0</v>
      </c>
      <c r="AA2002" t="s">
        <v>49</v>
      </c>
      <c r="AB2002">
        <v>0</v>
      </c>
      <c r="AC2002" t="s">
        <v>49</v>
      </c>
      <c r="AD2002">
        <v>0</v>
      </c>
      <c r="AE2002">
        <v>10017405</v>
      </c>
      <c r="AF2002" t="s">
        <v>50</v>
      </c>
      <c r="AG2002" t="s">
        <v>4379</v>
      </c>
    </row>
    <row r="2003" spans="1:33" x14ac:dyDescent="0.35">
      <c r="A2003" s="1">
        <v>44847.618750000001</v>
      </c>
      <c r="B2003">
        <v>168637</v>
      </c>
      <c r="C2003" t="s">
        <v>4380</v>
      </c>
      <c r="D2003" t="s">
        <v>76</v>
      </c>
      <c r="E2003" s="2">
        <v>35209</v>
      </c>
      <c r="F2003" t="str">
        <f>"9780203196557"</f>
        <v>9780203196557</v>
      </c>
      <c r="G2003" t="str">
        <f>"9780415100922"</f>
        <v>9780415100922</v>
      </c>
      <c r="H2003" t="s">
        <v>498</v>
      </c>
      <c r="I2003">
        <v>193</v>
      </c>
      <c r="J2003" t="s">
        <v>4381</v>
      </c>
      <c r="K2003" t="s">
        <v>44</v>
      </c>
      <c r="N2003" t="s">
        <v>45</v>
      </c>
      <c r="O2003" t="s">
        <v>46</v>
      </c>
      <c r="P2003" t="s">
        <v>45</v>
      </c>
      <c r="Q2003" t="s">
        <v>47</v>
      </c>
      <c r="R2003" t="s">
        <v>44</v>
      </c>
      <c r="S2003">
        <v>0</v>
      </c>
      <c r="W2003" s="3">
        <v>1.8634259259259261E-3</v>
      </c>
      <c r="X2003" t="s">
        <v>357</v>
      </c>
      <c r="Y2003">
        <v>10</v>
      </c>
      <c r="Z2003">
        <v>0</v>
      </c>
      <c r="AA2003" t="s">
        <v>49</v>
      </c>
      <c r="AB2003">
        <v>0</v>
      </c>
      <c r="AC2003" t="s">
        <v>49</v>
      </c>
      <c r="AD2003">
        <v>0</v>
      </c>
      <c r="AE2003">
        <v>10058106</v>
      </c>
      <c r="AF2003" t="s">
        <v>50</v>
      </c>
      <c r="AG2003" t="s">
        <v>1536</v>
      </c>
    </row>
    <row r="2004" spans="1:33" x14ac:dyDescent="0.35">
      <c r="A2004" s="1">
        <v>44847.618055555555</v>
      </c>
      <c r="B2004">
        <v>5139938</v>
      </c>
      <c r="C2004" t="s">
        <v>295</v>
      </c>
      <c r="D2004" t="s">
        <v>296</v>
      </c>
      <c r="E2004" s="2">
        <v>41852</v>
      </c>
      <c r="F2004" t="str">
        <f>"9781613994078"</f>
        <v>9781613994078</v>
      </c>
      <c r="G2004" t="str">
        <f>"9781613993286"</f>
        <v>9781613993286</v>
      </c>
      <c r="H2004" t="s">
        <v>297</v>
      </c>
      <c r="I2004">
        <v>622.33820000000003</v>
      </c>
      <c r="J2004" t="s">
        <v>298</v>
      </c>
      <c r="K2004" t="s">
        <v>44</v>
      </c>
      <c r="N2004" t="s">
        <v>45</v>
      </c>
      <c r="O2004" t="s">
        <v>46</v>
      </c>
      <c r="P2004" t="s">
        <v>45</v>
      </c>
      <c r="Q2004" t="s">
        <v>47</v>
      </c>
      <c r="R2004" t="s">
        <v>44</v>
      </c>
      <c r="S2004">
        <v>0</v>
      </c>
      <c r="W2004" s="3">
        <v>0</v>
      </c>
      <c r="X2004" t="s">
        <v>49</v>
      </c>
      <c r="Y2004">
        <v>0</v>
      </c>
      <c r="Z2004">
        <v>3</v>
      </c>
      <c r="AA2004" t="s">
        <v>4382</v>
      </c>
      <c r="AB2004">
        <v>128</v>
      </c>
      <c r="AC2004" t="s">
        <v>49</v>
      </c>
      <c r="AD2004">
        <v>0</v>
      </c>
      <c r="AE2004">
        <v>11465346</v>
      </c>
      <c r="AF2004" t="s">
        <v>50</v>
      </c>
      <c r="AG2004" t="s">
        <v>1536</v>
      </c>
    </row>
    <row r="2005" spans="1:33" x14ac:dyDescent="0.35">
      <c r="A2005" s="1">
        <v>44847.61041666667</v>
      </c>
      <c r="B2005">
        <v>691931</v>
      </c>
      <c r="C2005" t="s">
        <v>4383</v>
      </c>
      <c r="D2005" t="s">
        <v>502</v>
      </c>
      <c r="E2005" s="2">
        <v>40662</v>
      </c>
      <c r="F2005" t="str">
        <f>"9781139080491"</f>
        <v>9781139080491</v>
      </c>
      <c r="G2005" t="str">
        <f>"9781107001503"</f>
        <v>9781107001503</v>
      </c>
      <c r="H2005" t="s">
        <v>498</v>
      </c>
      <c r="I2005">
        <v>193</v>
      </c>
      <c r="J2005" t="s">
        <v>4384</v>
      </c>
      <c r="K2005" t="s">
        <v>44</v>
      </c>
      <c r="N2005" t="s">
        <v>45</v>
      </c>
      <c r="O2005" t="s">
        <v>46</v>
      </c>
      <c r="P2005" t="s">
        <v>45</v>
      </c>
      <c r="Q2005" t="s">
        <v>47</v>
      </c>
      <c r="R2005" t="s">
        <v>44</v>
      </c>
      <c r="S2005">
        <v>0</v>
      </c>
      <c r="W2005" s="3">
        <v>1.273148148148148E-4</v>
      </c>
      <c r="X2005" t="s">
        <v>4385</v>
      </c>
      <c r="Y2005">
        <v>2</v>
      </c>
      <c r="Z2005">
        <v>0</v>
      </c>
      <c r="AA2005" t="s">
        <v>49</v>
      </c>
      <c r="AB2005">
        <v>0</v>
      </c>
      <c r="AC2005" t="s">
        <v>49</v>
      </c>
      <c r="AD2005">
        <v>0</v>
      </c>
      <c r="AE2005">
        <v>10470825</v>
      </c>
      <c r="AF2005" t="s">
        <v>50</v>
      </c>
      <c r="AG2005" t="s">
        <v>1536</v>
      </c>
    </row>
    <row r="2006" spans="1:33" x14ac:dyDescent="0.35">
      <c r="A2006" s="1">
        <v>44847.603472222225</v>
      </c>
      <c r="B2006">
        <v>5139938</v>
      </c>
      <c r="C2006" t="s">
        <v>295</v>
      </c>
      <c r="D2006" t="s">
        <v>296</v>
      </c>
      <c r="E2006" s="2">
        <v>41852</v>
      </c>
      <c r="F2006" t="str">
        <f>"9781613994078"</f>
        <v>9781613994078</v>
      </c>
      <c r="G2006" t="str">
        <f>"9781613993286"</f>
        <v>9781613993286</v>
      </c>
      <c r="H2006" t="s">
        <v>297</v>
      </c>
      <c r="I2006">
        <v>622.33820000000003</v>
      </c>
      <c r="J2006" t="s">
        <v>298</v>
      </c>
      <c r="K2006" t="s">
        <v>44</v>
      </c>
      <c r="N2006" t="s">
        <v>45</v>
      </c>
      <c r="O2006" t="s">
        <v>46</v>
      </c>
      <c r="P2006" t="s">
        <v>45</v>
      </c>
      <c r="Q2006" t="s">
        <v>47</v>
      </c>
      <c r="R2006" t="s">
        <v>44</v>
      </c>
      <c r="S2006">
        <v>0</v>
      </c>
      <c r="W2006" s="3">
        <v>2.7777777777777778E-4</v>
      </c>
      <c r="X2006" t="s">
        <v>4386</v>
      </c>
      <c r="Y2006">
        <v>3</v>
      </c>
      <c r="Z2006">
        <v>0</v>
      </c>
      <c r="AA2006" t="s">
        <v>49</v>
      </c>
      <c r="AB2006">
        <v>0</v>
      </c>
      <c r="AC2006" t="s">
        <v>49</v>
      </c>
      <c r="AD2006">
        <v>0</v>
      </c>
      <c r="AE2006">
        <v>11465346</v>
      </c>
      <c r="AF2006" t="s">
        <v>50</v>
      </c>
      <c r="AG2006" t="s">
        <v>4387</v>
      </c>
    </row>
    <row r="2007" spans="1:33" x14ac:dyDescent="0.35">
      <c r="A2007" s="1">
        <v>44847.586805555555</v>
      </c>
      <c r="B2007">
        <v>279494</v>
      </c>
      <c r="C2007" t="s">
        <v>1333</v>
      </c>
      <c r="D2007" t="s">
        <v>125</v>
      </c>
      <c r="E2007" s="2">
        <v>37280</v>
      </c>
      <c r="F2007" t="str">
        <f>"9780198032953"</f>
        <v>9780198032953</v>
      </c>
      <c r="G2007" t="str">
        <f>"9780195144208"</f>
        <v>9780195144208</v>
      </c>
      <c r="H2007" t="s">
        <v>667</v>
      </c>
      <c r="I2007" t="s">
        <v>1334</v>
      </c>
      <c r="J2007" t="s">
        <v>1335</v>
      </c>
      <c r="K2007" t="s">
        <v>44</v>
      </c>
      <c r="N2007" t="s">
        <v>45</v>
      </c>
      <c r="O2007" t="s">
        <v>46</v>
      </c>
      <c r="P2007" t="s">
        <v>45</v>
      </c>
      <c r="Q2007" t="s">
        <v>47</v>
      </c>
      <c r="R2007" t="s">
        <v>44</v>
      </c>
      <c r="S2007">
        <v>0</v>
      </c>
      <c r="W2007" s="3">
        <v>8.5416666666666679E-3</v>
      </c>
      <c r="X2007" t="s">
        <v>4388</v>
      </c>
      <c r="Y2007">
        <v>25</v>
      </c>
      <c r="Z2007">
        <v>0</v>
      </c>
      <c r="AA2007" t="s">
        <v>49</v>
      </c>
      <c r="AB2007">
        <v>0</v>
      </c>
      <c r="AC2007" t="s">
        <v>49</v>
      </c>
      <c r="AD2007">
        <v>0</v>
      </c>
      <c r="AE2007">
        <v>11303309</v>
      </c>
      <c r="AF2007" t="s">
        <v>50</v>
      </c>
      <c r="AG2007" t="s">
        <v>3098</v>
      </c>
    </row>
    <row r="2008" spans="1:33" x14ac:dyDescent="0.35">
      <c r="A2008" s="1">
        <v>44847.537499999999</v>
      </c>
      <c r="B2008">
        <v>469749</v>
      </c>
      <c r="C2008" t="s">
        <v>2784</v>
      </c>
      <c r="D2008" t="s">
        <v>1458</v>
      </c>
      <c r="E2008" s="2">
        <v>39693</v>
      </c>
      <c r="F2008" t="str">
        <f>"9780470282069"</f>
        <v>9780470282069</v>
      </c>
      <c r="G2008" t="str">
        <f>"9780470105252"</f>
        <v>9780470105252</v>
      </c>
      <c r="H2008" t="s">
        <v>1112</v>
      </c>
      <c r="I2008">
        <v>660.28319999999997</v>
      </c>
      <c r="J2008" t="s">
        <v>2785</v>
      </c>
      <c r="K2008" t="s">
        <v>44</v>
      </c>
      <c r="N2008" t="s">
        <v>45</v>
      </c>
      <c r="O2008" t="s">
        <v>46</v>
      </c>
      <c r="P2008" t="s">
        <v>45</v>
      </c>
      <c r="Q2008" t="s">
        <v>47</v>
      </c>
      <c r="R2008" t="s">
        <v>44</v>
      </c>
      <c r="S2008">
        <v>0</v>
      </c>
      <c r="W2008" s="3">
        <v>5.7870370370370366E-5</v>
      </c>
      <c r="X2008" t="s">
        <v>121</v>
      </c>
      <c r="Y2008">
        <v>1</v>
      </c>
      <c r="Z2008">
        <v>0</v>
      </c>
      <c r="AA2008" t="s">
        <v>49</v>
      </c>
      <c r="AB2008">
        <v>0</v>
      </c>
      <c r="AC2008" t="s">
        <v>49</v>
      </c>
      <c r="AD2008">
        <v>0</v>
      </c>
      <c r="AE2008">
        <v>10296771</v>
      </c>
      <c r="AF2008" t="s">
        <v>50</v>
      </c>
      <c r="AG2008" t="s">
        <v>118</v>
      </c>
    </row>
    <row r="2009" spans="1:33" x14ac:dyDescent="0.35">
      <c r="A2009" s="1">
        <v>44847.496527777781</v>
      </c>
      <c r="B2009">
        <v>3338641</v>
      </c>
      <c r="C2009" t="s">
        <v>302</v>
      </c>
      <c r="D2009" t="s">
        <v>303</v>
      </c>
      <c r="E2009" s="2">
        <v>39143</v>
      </c>
      <c r="F2009" t="str">
        <f>"9780262282888"</f>
        <v>9780262282888</v>
      </c>
      <c r="G2009" t="str">
        <f>"9780262195577"</f>
        <v>9780262195577</v>
      </c>
      <c r="H2009" t="s">
        <v>304</v>
      </c>
      <c r="I2009" t="s">
        <v>305</v>
      </c>
      <c r="K2009" t="s">
        <v>44</v>
      </c>
      <c r="N2009" t="s">
        <v>45</v>
      </c>
      <c r="O2009" t="s">
        <v>46</v>
      </c>
      <c r="P2009" t="s">
        <v>45</v>
      </c>
      <c r="Q2009" t="s">
        <v>47</v>
      </c>
      <c r="R2009" t="s">
        <v>44</v>
      </c>
      <c r="S2009">
        <v>0</v>
      </c>
      <c r="W2009" s="3">
        <v>9.4212962962962957E-3</v>
      </c>
      <c r="X2009" t="s">
        <v>4389</v>
      </c>
      <c r="Y2009">
        <v>6</v>
      </c>
      <c r="Z2009">
        <v>0</v>
      </c>
      <c r="AA2009" t="s">
        <v>49</v>
      </c>
      <c r="AB2009">
        <v>0</v>
      </c>
      <c r="AC2009" t="s">
        <v>49</v>
      </c>
      <c r="AD2009">
        <v>0</v>
      </c>
      <c r="AE2009">
        <v>10173702</v>
      </c>
      <c r="AF2009" t="s">
        <v>50</v>
      </c>
      <c r="AG2009" t="s">
        <v>118</v>
      </c>
    </row>
    <row r="2010" spans="1:33" x14ac:dyDescent="0.35">
      <c r="A2010" s="1">
        <v>44847.493750000001</v>
      </c>
      <c r="B2010">
        <v>6361314</v>
      </c>
      <c r="C2010" t="s">
        <v>437</v>
      </c>
      <c r="D2010" t="s">
        <v>438</v>
      </c>
      <c r="E2010" s="2">
        <v>44105</v>
      </c>
      <c r="F2010" t="str">
        <f>"9781642872828"</f>
        <v>9781642872828</v>
      </c>
      <c r="G2010" t="str">
        <f>""</f>
        <v/>
      </c>
      <c r="H2010" t="s">
        <v>43</v>
      </c>
      <c r="I2010">
        <v>515.35299999999995</v>
      </c>
      <c r="J2010" t="s">
        <v>439</v>
      </c>
      <c r="K2010" t="s">
        <v>55</v>
      </c>
      <c r="Q2010" t="s">
        <v>47</v>
      </c>
      <c r="R2010" t="s">
        <v>44</v>
      </c>
      <c r="S2010">
        <v>0</v>
      </c>
      <c r="W2010" s="3">
        <v>2.615740740740741E-3</v>
      </c>
      <c r="X2010" t="s">
        <v>4390</v>
      </c>
      <c r="Y2010">
        <v>38</v>
      </c>
      <c r="Z2010">
        <v>0</v>
      </c>
      <c r="AA2010" t="s">
        <v>49</v>
      </c>
      <c r="AB2010">
        <v>0</v>
      </c>
      <c r="AC2010" t="s">
        <v>49</v>
      </c>
      <c r="AD2010">
        <v>0</v>
      </c>
      <c r="AE2010">
        <v>-1</v>
      </c>
      <c r="AF2010" t="s">
        <v>63</v>
      </c>
      <c r="AG2010" t="s">
        <v>1536</v>
      </c>
    </row>
    <row r="2011" spans="1:33" x14ac:dyDescent="0.35">
      <c r="A2011" s="1">
        <v>44847.456944444442</v>
      </c>
      <c r="B2011">
        <v>3564030</v>
      </c>
      <c r="C2011" t="s">
        <v>4153</v>
      </c>
      <c r="D2011" t="s">
        <v>175</v>
      </c>
      <c r="E2011" s="2">
        <v>38058</v>
      </c>
      <c r="F2011" t="str">
        <f>"9780309527200"</f>
        <v>9780309527200</v>
      </c>
      <c r="G2011" t="str">
        <f>"9780309090636"</f>
        <v>9780309090636</v>
      </c>
      <c r="H2011" t="s">
        <v>4154</v>
      </c>
      <c r="I2011" t="s">
        <v>4155</v>
      </c>
      <c r="J2011" t="s">
        <v>4156</v>
      </c>
      <c r="K2011" t="s">
        <v>44</v>
      </c>
      <c r="N2011" t="s">
        <v>45</v>
      </c>
      <c r="O2011" t="s">
        <v>46</v>
      </c>
      <c r="P2011" t="s">
        <v>177</v>
      </c>
      <c r="Q2011" t="s">
        <v>47</v>
      </c>
      <c r="R2011" t="s">
        <v>55</v>
      </c>
      <c r="S2011">
        <v>0</v>
      </c>
      <c r="W2011" s="3">
        <v>5.7870370370370366E-5</v>
      </c>
      <c r="X2011" t="s">
        <v>121</v>
      </c>
      <c r="Y2011">
        <v>1</v>
      </c>
      <c r="Z2011">
        <v>0</v>
      </c>
      <c r="AA2011" t="s">
        <v>49</v>
      </c>
      <c r="AB2011">
        <v>0</v>
      </c>
      <c r="AC2011" t="s">
        <v>49</v>
      </c>
      <c r="AD2011">
        <v>0</v>
      </c>
      <c r="AE2011">
        <v>10051648</v>
      </c>
      <c r="AF2011" t="s">
        <v>50</v>
      </c>
      <c r="AG2011" t="s">
        <v>1536</v>
      </c>
    </row>
    <row r="2012" spans="1:33" x14ac:dyDescent="0.35">
      <c r="A2012" s="1">
        <v>44847.456250000003</v>
      </c>
      <c r="B2012">
        <v>3338641</v>
      </c>
      <c r="C2012" t="s">
        <v>302</v>
      </c>
      <c r="D2012" t="s">
        <v>303</v>
      </c>
      <c r="E2012" s="2">
        <v>39143</v>
      </c>
      <c r="F2012" t="str">
        <f>"9780262282888"</f>
        <v>9780262282888</v>
      </c>
      <c r="G2012" t="str">
        <f>"9780262195577"</f>
        <v>9780262195577</v>
      </c>
      <c r="H2012" t="s">
        <v>304</v>
      </c>
      <c r="I2012" t="s">
        <v>305</v>
      </c>
      <c r="K2012" t="s">
        <v>44</v>
      </c>
      <c r="N2012" t="s">
        <v>45</v>
      </c>
      <c r="O2012" t="s">
        <v>46</v>
      </c>
      <c r="P2012" t="s">
        <v>45</v>
      </c>
      <c r="Q2012" t="s">
        <v>47</v>
      </c>
      <c r="R2012" t="s">
        <v>44</v>
      </c>
      <c r="S2012">
        <v>0</v>
      </c>
      <c r="W2012" s="3">
        <v>4.3981481481481481E-4</v>
      </c>
      <c r="X2012" t="s">
        <v>4391</v>
      </c>
      <c r="Y2012">
        <v>9</v>
      </c>
      <c r="Z2012">
        <v>0</v>
      </c>
      <c r="AA2012" t="s">
        <v>49</v>
      </c>
      <c r="AB2012">
        <v>0</v>
      </c>
      <c r="AC2012" t="s">
        <v>49</v>
      </c>
      <c r="AD2012">
        <v>0</v>
      </c>
      <c r="AE2012">
        <v>10173702</v>
      </c>
      <c r="AF2012" t="s">
        <v>50</v>
      </c>
      <c r="AG2012" t="s">
        <v>3975</v>
      </c>
    </row>
    <row r="2013" spans="1:33" x14ac:dyDescent="0.35">
      <c r="A2013" s="1">
        <v>44847.356944444444</v>
      </c>
      <c r="B2013">
        <v>3338641</v>
      </c>
      <c r="C2013" t="s">
        <v>302</v>
      </c>
      <c r="D2013" t="s">
        <v>303</v>
      </c>
      <c r="E2013" s="2">
        <v>39143</v>
      </c>
      <c r="F2013" t="str">
        <f>"9780262282888"</f>
        <v>9780262282888</v>
      </c>
      <c r="G2013" t="str">
        <f>"9780262195577"</f>
        <v>9780262195577</v>
      </c>
      <c r="H2013" t="s">
        <v>304</v>
      </c>
      <c r="I2013" t="s">
        <v>305</v>
      </c>
      <c r="K2013" t="s">
        <v>44</v>
      </c>
      <c r="N2013" t="s">
        <v>45</v>
      </c>
      <c r="O2013" t="s">
        <v>46</v>
      </c>
      <c r="P2013" t="s">
        <v>45</v>
      </c>
      <c r="Q2013" t="s">
        <v>47</v>
      </c>
      <c r="R2013" t="s">
        <v>44</v>
      </c>
      <c r="S2013">
        <v>0</v>
      </c>
      <c r="W2013" s="3">
        <v>2.2060185185185183E-2</v>
      </c>
      <c r="X2013" t="s">
        <v>4392</v>
      </c>
      <c r="Y2013">
        <v>15</v>
      </c>
      <c r="Z2013">
        <v>0</v>
      </c>
      <c r="AA2013" t="s">
        <v>49</v>
      </c>
      <c r="AB2013">
        <v>0</v>
      </c>
      <c r="AC2013" t="s">
        <v>49</v>
      </c>
      <c r="AD2013">
        <v>0</v>
      </c>
      <c r="AE2013">
        <v>10173702</v>
      </c>
      <c r="AF2013" t="s">
        <v>50</v>
      </c>
      <c r="AG2013" t="s">
        <v>118</v>
      </c>
    </row>
    <row r="2014" spans="1:33" x14ac:dyDescent="0.35">
      <c r="A2014" s="1">
        <v>44847.275694444441</v>
      </c>
      <c r="B2014">
        <v>6421552</v>
      </c>
      <c r="C2014" t="s">
        <v>4393</v>
      </c>
      <c r="D2014" t="s">
        <v>76</v>
      </c>
      <c r="E2014" s="2">
        <v>44195</v>
      </c>
      <c r="F2014" t="str">
        <f>"9781000317565"</f>
        <v>9781000317565</v>
      </c>
      <c r="G2014" t="str">
        <f>"9780367220822"</f>
        <v>9780367220822</v>
      </c>
      <c r="H2014" t="s">
        <v>171</v>
      </c>
      <c r="I2014">
        <v>492.77095357000002</v>
      </c>
      <c r="J2014" t="s">
        <v>4394</v>
      </c>
      <c r="K2014" t="s">
        <v>55</v>
      </c>
      <c r="Q2014" t="s">
        <v>47</v>
      </c>
      <c r="R2014" t="s">
        <v>44</v>
      </c>
      <c r="S2014">
        <v>0</v>
      </c>
      <c r="W2014" s="3">
        <v>3.530092592592592E-3</v>
      </c>
      <c r="X2014" t="s">
        <v>4395</v>
      </c>
      <c r="Y2014">
        <v>96</v>
      </c>
      <c r="Z2014">
        <v>0</v>
      </c>
      <c r="AA2014" t="s">
        <v>49</v>
      </c>
      <c r="AB2014">
        <v>0</v>
      </c>
      <c r="AC2014" t="s">
        <v>49</v>
      </c>
      <c r="AD2014">
        <v>0</v>
      </c>
      <c r="AE2014">
        <v>-1</v>
      </c>
      <c r="AF2014" t="s">
        <v>50</v>
      </c>
      <c r="AG2014" t="s">
        <v>4396</v>
      </c>
    </row>
    <row r="2015" spans="1:33" x14ac:dyDescent="0.35">
      <c r="A2015" s="1">
        <v>44847.263194444444</v>
      </c>
      <c r="B2015">
        <v>6421552</v>
      </c>
      <c r="C2015" t="s">
        <v>4393</v>
      </c>
      <c r="D2015" t="s">
        <v>76</v>
      </c>
      <c r="E2015" s="2">
        <v>44195</v>
      </c>
      <c r="F2015" t="str">
        <f>"9781000317565"</f>
        <v>9781000317565</v>
      </c>
      <c r="G2015" t="str">
        <f>"9780367220822"</f>
        <v>9780367220822</v>
      </c>
      <c r="H2015" t="s">
        <v>171</v>
      </c>
      <c r="I2015">
        <v>492.77095357000002</v>
      </c>
      <c r="J2015" t="s">
        <v>4394</v>
      </c>
      <c r="K2015" t="s">
        <v>55</v>
      </c>
      <c r="Q2015" t="s">
        <v>47</v>
      </c>
      <c r="R2015" t="s">
        <v>44</v>
      </c>
      <c r="S2015">
        <v>0</v>
      </c>
      <c r="W2015" s="3">
        <v>9.6064814814814815E-3</v>
      </c>
      <c r="X2015" t="s">
        <v>4397</v>
      </c>
      <c r="Y2015">
        <v>49</v>
      </c>
      <c r="Z2015">
        <v>0</v>
      </c>
      <c r="AA2015" t="s">
        <v>49</v>
      </c>
      <c r="AB2015">
        <v>0</v>
      </c>
      <c r="AC2015" t="s">
        <v>49</v>
      </c>
      <c r="AD2015">
        <v>0</v>
      </c>
      <c r="AE2015">
        <v>-1</v>
      </c>
      <c r="AF2015" t="s">
        <v>63</v>
      </c>
      <c r="AG2015" t="s">
        <v>4396</v>
      </c>
    </row>
    <row r="2016" spans="1:33" x14ac:dyDescent="0.35">
      <c r="A2016" s="1">
        <v>44847.081944444442</v>
      </c>
      <c r="B2016">
        <v>6682805</v>
      </c>
      <c r="C2016" t="s">
        <v>4398</v>
      </c>
      <c r="D2016" t="s">
        <v>213</v>
      </c>
      <c r="E2016" s="2">
        <v>44489</v>
      </c>
      <c r="F2016" t="str">
        <f>"9780323758789"</f>
        <v>9780323758789</v>
      </c>
      <c r="G2016" t="str">
        <f>"9780323758772"</f>
        <v>9780323758772</v>
      </c>
      <c r="H2016" t="s">
        <v>77</v>
      </c>
      <c r="I2016">
        <v>617.57207540000002</v>
      </c>
      <c r="J2016" t="s">
        <v>4399</v>
      </c>
      <c r="K2016" t="s">
        <v>55</v>
      </c>
      <c r="Q2016" t="s">
        <v>47</v>
      </c>
      <c r="R2016" t="s">
        <v>44</v>
      </c>
      <c r="S2016">
        <v>0</v>
      </c>
      <c r="W2016" s="3">
        <v>9.0972222222222218E-3</v>
      </c>
      <c r="X2016" t="s">
        <v>4400</v>
      </c>
      <c r="Y2016">
        <v>11</v>
      </c>
      <c r="Z2016">
        <v>0</v>
      </c>
      <c r="AA2016" t="s">
        <v>49</v>
      </c>
      <c r="AB2016">
        <v>0</v>
      </c>
      <c r="AC2016" t="s">
        <v>49</v>
      </c>
      <c r="AD2016">
        <v>0</v>
      </c>
      <c r="AE2016">
        <v>-1</v>
      </c>
      <c r="AF2016" t="s">
        <v>63</v>
      </c>
      <c r="AG2016" t="s">
        <v>1536</v>
      </c>
    </row>
    <row r="2017" spans="1:33" x14ac:dyDescent="0.35">
      <c r="A2017" s="1">
        <v>44847.056250000001</v>
      </c>
      <c r="B2017">
        <v>3060898</v>
      </c>
      <c r="C2017" t="s">
        <v>4401</v>
      </c>
      <c r="D2017" t="s">
        <v>76</v>
      </c>
      <c r="E2017" s="2">
        <v>39799</v>
      </c>
      <c r="F2017" t="str">
        <f>"9780203890004"</f>
        <v>9780203890004</v>
      </c>
      <c r="G2017" t="str">
        <f>"9781841698960"</f>
        <v>9781841698960</v>
      </c>
      <c r="H2017" t="s">
        <v>3769</v>
      </c>
      <c r="I2017" t="s">
        <v>4402</v>
      </c>
      <c r="J2017" t="s">
        <v>4403</v>
      </c>
      <c r="K2017" t="s">
        <v>44</v>
      </c>
      <c r="N2017" t="s">
        <v>45</v>
      </c>
      <c r="O2017" t="s">
        <v>46</v>
      </c>
      <c r="P2017" t="s">
        <v>45</v>
      </c>
      <c r="Q2017" t="s">
        <v>47</v>
      </c>
      <c r="R2017" t="s">
        <v>44</v>
      </c>
      <c r="S2017">
        <v>0</v>
      </c>
      <c r="W2017" s="3">
        <v>1.9791666666666668E-3</v>
      </c>
      <c r="X2017" t="s">
        <v>4404</v>
      </c>
      <c r="Y2017">
        <v>21</v>
      </c>
      <c r="Z2017">
        <v>1</v>
      </c>
      <c r="AA2017" t="s">
        <v>56</v>
      </c>
      <c r="AB2017">
        <v>3</v>
      </c>
      <c r="AC2017" t="s">
        <v>49</v>
      </c>
      <c r="AD2017">
        <v>0</v>
      </c>
      <c r="AE2017">
        <v>10442791</v>
      </c>
      <c r="AF2017" t="s">
        <v>50</v>
      </c>
      <c r="AG2017" t="s">
        <v>118</v>
      </c>
    </row>
    <row r="2018" spans="1:33" x14ac:dyDescent="0.35">
      <c r="A2018" s="1">
        <v>44847.040277777778</v>
      </c>
      <c r="B2018">
        <v>6723190</v>
      </c>
      <c r="C2018" t="s">
        <v>4405</v>
      </c>
      <c r="D2018" t="s">
        <v>65</v>
      </c>
      <c r="E2018" s="2">
        <v>44447</v>
      </c>
      <c r="F2018" t="str">
        <f>"9780323860147"</f>
        <v>9780323860147</v>
      </c>
      <c r="G2018" t="str">
        <f>"9780128235508"</f>
        <v>9780128235508</v>
      </c>
      <c r="H2018" t="s">
        <v>1945</v>
      </c>
      <c r="I2018">
        <v>624.25</v>
      </c>
      <c r="J2018" t="s">
        <v>4406</v>
      </c>
      <c r="K2018" t="s">
        <v>55</v>
      </c>
      <c r="Q2018" t="s">
        <v>47</v>
      </c>
      <c r="R2018" t="s">
        <v>44</v>
      </c>
      <c r="S2018">
        <v>0</v>
      </c>
      <c r="W2018" s="3">
        <v>3.483796296296296E-3</v>
      </c>
      <c r="X2018" t="s">
        <v>4407</v>
      </c>
      <c r="Y2018">
        <v>35</v>
      </c>
      <c r="Z2018">
        <v>0</v>
      </c>
      <c r="AA2018" t="s">
        <v>49</v>
      </c>
      <c r="AB2018">
        <v>0</v>
      </c>
      <c r="AC2018" t="s">
        <v>49</v>
      </c>
      <c r="AD2018">
        <v>0</v>
      </c>
      <c r="AE2018">
        <v>-1</v>
      </c>
      <c r="AF2018" t="s">
        <v>63</v>
      </c>
      <c r="AG2018" t="s">
        <v>3419</v>
      </c>
    </row>
    <row r="2019" spans="1:33" x14ac:dyDescent="0.35">
      <c r="A2019" s="1">
        <v>44847.038888888892</v>
      </c>
      <c r="B2019">
        <v>4188279</v>
      </c>
      <c r="C2019" t="s">
        <v>4405</v>
      </c>
      <c r="D2019" t="s">
        <v>65</v>
      </c>
      <c r="E2019" s="2">
        <v>42408</v>
      </c>
      <c r="F2019" t="str">
        <f>"9780128004876"</f>
        <v>9780128004876</v>
      </c>
      <c r="G2019" t="str">
        <f>"9780128000588"</f>
        <v>9780128000588</v>
      </c>
      <c r="H2019" t="s">
        <v>1945</v>
      </c>
      <c r="I2019">
        <v>624.25</v>
      </c>
      <c r="J2019" t="s">
        <v>4408</v>
      </c>
      <c r="K2019" t="s">
        <v>44</v>
      </c>
      <c r="N2019" t="s">
        <v>45</v>
      </c>
      <c r="O2019" t="s">
        <v>46</v>
      </c>
      <c r="P2019" t="s">
        <v>45</v>
      </c>
      <c r="Q2019" t="s">
        <v>47</v>
      </c>
      <c r="R2019" t="s">
        <v>44</v>
      </c>
      <c r="S2019">
        <v>0</v>
      </c>
      <c r="W2019" s="3">
        <v>1.3310185185185185E-3</v>
      </c>
      <c r="X2019" t="s">
        <v>4409</v>
      </c>
      <c r="Y2019">
        <v>11</v>
      </c>
      <c r="Z2019">
        <v>0</v>
      </c>
      <c r="AA2019" t="s">
        <v>49</v>
      </c>
      <c r="AB2019">
        <v>0</v>
      </c>
      <c r="AC2019" t="s">
        <v>49</v>
      </c>
      <c r="AD2019">
        <v>0</v>
      </c>
      <c r="AE2019">
        <v>11134918</v>
      </c>
      <c r="AF2019" t="s">
        <v>63</v>
      </c>
      <c r="AG2019" t="s">
        <v>3419</v>
      </c>
    </row>
    <row r="2020" spans="1:33" x14ac:dyDescent="0.35">
      <c r="A2020" s="1">
        <v>44846.97152777778</v>
      </c>
      <c r="B2020">
        <v>5789240</v>
      </c>
      <c r="C2020" t="s">
        <v>4410</v>
      </c>
      <c r="D2020" t="s">
        <v>76</v>
      </c>
      <c r="E2020" s="2">
        <v>43640</v>
      </c>
      <c r="F2020" t="str">
        <f>"9780429947711"</f>
        <v>9780429947711</v>
      </c>
      <c r="G2020" t="str">
        <f>"9781138593756"</f>
        <v>9781138593756</v>
      </c>
      <c r="H2020" t="s">
        <v>811</v>
      </c>
      <c r="I2020">
        <v>620.001171</v>
      </c>
      <c r="J2020" t="s">
        <v>4411</v>
      </c>
      <c r="K2020" t="s">
        <v>55</v>
      </c>
      <c r="Q2020" t="s">
        <v>47</v>
      </c>
      <c r="R2020" t="s">
        <v>44</v>
      </c>
      <c r="S2020">
        <v>0</v>
      </c>
      <c r="W2020" s="3">
        <v>2.1759259259259258E-3</v>
      </c>
      <c r="X2020" t="s">
        <v>4412</v>
      </c>
      <c r="Y2020">
        <v>26</v>
      </c>
      <c r="Z2020">
        <v>0</v>
      </c>
      <c r="AA2020" t="s">
        <v>49</v>
      </c>
      <c r="AB2020">
        <v>0</v>
      </c>
      <c r="AC2020" t="s">
        <v>49</v>
      </c>
      <c r="AD2020">
        <v>0</v>
      </c>
      <c r="AE2020">
        <v>-1</v>
      </c>
      <c r="AF2020" t="s">
        <v>50</v>
      </c>
      <c r="AG2020" t="s">
        <v>118</v>
      </c>
    </row>
    <row r="2021" spans="1:33" x14ac:dyDescent="0.35">
      <c r="A2021" s="1">
        <v>44846.945138888892</v>
      </c>
      <c r="B2021">
        <v>1637361</v>
      </c>
      <c r="C2021" t="s">
        <v>1108</v>
      </c>
      <c r="D2021" t="s">
        <v>65</v>
      </c>
      <c r="E2021" s="2">
        <v>41677</v>
      </c>
      <c r="F2021" t="str">
        <f>"9780857097026"</f>
        <v>9780857097026</v>
      </c>
      <c r="G2021" t="str">
        <f>"9780857096951"</f>
        <v>9780857096951</v>
      </c>
      <c r="H2021" t="s">
        <v>252</v>
      </c>
      <c r="I2021">
        <v>620.19200000000001</v>
      </c>
      <c r="J2021" t="s">
        <v>1109</v>
      </c>
      <c r="K2021" t="s">
        <v>44</v>
      </c>
      <c r="N2021" t="s">
        <v>45</v>
      </c>
      <c r="O2021" t="s">
        <v>46</v>
      </c>
      <c r="P2021" t="s">
        <v>45</v>
      </c>
      <c r="Q2021" t="s">
        <v>47</v>
      </c>
      <c r="R2021" t="s">
        <v>44</v>
      </c>
      <c r="S2021">
        <v>0</v>
      </c>
      <c r="W2021" s="3">
        <v>3.394675925925926E-2</v>
      </c>
      <c r="X2021" t="s">
        <v>4413</v>
      </c>
      <c r="Y2021">
        <v>30</v>
      </c>
      <c r="Z2021">
        <v>1</v>
      </c>
      <c r="AA2021" t="s">
        <v>4414</v>
      </c>
      <c r="AB2021">
        <v>5</v>
      </c>
      <c r="AC2021" t="s">
        <v>49</v>
      </c>
      <c r="AD2021">
        <v>0</v>
      </c>
      <c r="AE2021">
        <v>10839271</v>
      </c>
      <c r="AF2021" t="s">
        <v>50</v>
      </c>
      <c r="AG2021" t="s">
        <v>118</v>
      </c>
    </row>
    <row r="2022" spans="1:33" x14ac:dyDescent="0.35">
      <c r="A2022" s="1">
        <v>44846.93472222222</v>
      </c>
      <c r="B2022">
        <v>6790680</v>
      </c>
      <c r="C2022" t="s">
        <v>4415</v>
      </c>
      <c r="D2022" t="s">
        <v>213</v>
      </c>
      <c r="E2022" s="2">
        <v>44504</v>
      </c>
      <c r="F2022" t="str">
        <f>"9780128225882"</f>
        <v>9780128225882</v>
      </c>
      <c r="G2022" t="str">
        <f>"9780128233948"</f>
        <v>9780128233948</v>
      </c>
      <c r="H2022" t="s">
        <v>811</v>
      </c>
      <c r="I2022">
        <v>620.5</v>
      </c>
      <c r="J2022" t="s">
        <v>4416</v>
      </c>
      <c r="K2022" t="s">
        <v>55</v>
      </c>
      <c r="Q2022" t="s">
        <v>47</v>
      </c>
      <c r="R2022" t="s">
        <v>44</v>
      </c>
      <c r="S2022">
        <v>0</v>
      </c>
      <c r="W2022" s="3">
        <v>5.0347222222222225E-3</v>
      </c>
      <c r="X2022" t="s">
        <v>4417</v>
      </c>
      <c r="Y2022">
        <v>13</v>
      </c>
      <c r="Z2022">
        <v>0</v>
      </c>
      <c r="AA2022" t="s">
        <v>49</v>
      </c>
      <c r="AB2022">
        <v>0</v>
      </c>
      <c r="AC2022" t="s">
        <v>49</v>
      </c>
      <c r="AD2022">
        <v>0</v>
      </c>
      <c r="AE2022">
        <v>-1</v>
      </c>
      <c r="AF2022" t="s">
        <v>50</v>
      </c>
      <c r="AG2022" t="s">
        <v>118</v>
      </c>
    </row>
    <row r="2023" spans="1:33" x14ac:dyDescent="0.35">
      <c r="A2023" s="1">
        <v>44846.819444444445</v>
      </c>
      <c r="B2023">
        <v>665565</v>
      </c>
      <c r="C2023" t="s">
        <v>2309</v>
      </c>
      <c r="D2023" t="s">
        <v>2125</v>
      </c>
      <c r="E2023" s="2">
        <v>40483</v>
      </c>
      <c r="F2023" t="str">
        <f>"9781439828151"</f>
        <v>9781439828151</v>
      </c>
      <c r="G2023" t="str">
        <f>"9781439828144"</f>
        <v>9781439828144</v>
      </c>
      <c r="H2023" t="s">
        <v>60</v>
      </c>
      <c r="I2023">
        <v>658.7</v>
      </c>
      <c r="J2023" t="s">
        <v>2310</v>
      </c>
      <c r="K2023" t="s">
        <v>44</v>
      </c>
      <c r="N2023" t="s">
        <v>45</v>
      </c>
      <c r="O2023" t="s">
        <v>46</v>
      </c>
      <c r="P2023" t="s">
        <v>45</v>
      </c>
      <c r="Q2023" t="s">
        <v>47</v>
      </c>
      <c r="R2023" t="s">
        <v>44</v>
      </c>
      <c r="S2023">
        <v>0</v>
      </c>
      <c r="W2023" s="3">
        <v>1.1921296296296296E-3</v>
      </c>
      <c r="X2023" t="s">
        <v>4418</v>
      </c>
      <c r="Y2023">
        <v>14</v>
      </c>
      <c r="Z2023">
        <v>0</v>
      </c>
      <c r="AA2023" t="s">
        <v>49</v>
      </c>
      <c r="AB2023">
        <v>0</v>
      </c>
      <c r="AC2023" t="s">
        <v>49</v>
      </c>
      <c r="AD2023">
        <v>0</v>
      </c>
      <c r="AE2023">
        <v>10449865</v>
      </c>
      <c r="AF2023" t="s">
        <v>50</v>
      </c>
      <c r="AG2023" t="s">
        <v>118</v>
      </c>
    </row>
    <row r="2024" spans="1:33" x14ac:dyDescent="0.35">
      <c r="A2024" s="1">
        <v>44846.717361111114</v>
      </c>
      <c r="B2024">
        <v>981957</v>
      </c>
      <c r="C2024" t="s">
        <v>4419</v>
      </c>
      <c r="D2024" t="s">
        <v>76</v>
      </c>
      <c r="E2024" s="2">
        <v>41046</v>
      </c>
      <c r="F2024" t="str">
        <f>"9781136341380"</f>
        <v>9781136341380</v>
      </c>
      <c r="G2024" t="str">
        <f>"9780415782906"</f>
        <v>9780415782906</v>
      </c>
      <c r="H2024" t="s">
        <v>4420</v>
      </c>
      <c r="I2024">
        <v>341.2</v>
      </c>
      <c r="J2024" t="s">
        <v>4421</v>
      </c>
      <c r="K2024" t="s">
        <v>44</v>
      </c>
      <c r="N2024" t="s">
        <v>45</v>
      </c>
      <c r="O2024" t="s">
        <v>46</v>
      </c>
      <c r="P2024" t="s">
        <v>45</v>
      </c>
      <c r="Q2024" t="s">
        <v>47</v>
      </c>
      <c r="R2024" t="s">
        <v>44</v>
      </c>
      <c r="S2024">
        <v>1</v>
      </c>
      <c r="W2024" s="3">
        <v>9.2592592592592585E-4</v>
      </c>
      <c r="X2024" t="s">
        <v>4422</v>
      </c>
      <c r="Y2024">
        <v>8</v>
      </c>
      <c r="Z2024">
        <v>0</v>
      </c>
      <c r="AA2024" t="s">
        <v>49</v>
      </c>
      <c r="AB2024">
        <v>0</v>
      </c>
      <c r="AC2024" t="s">
        <v>49</v>
      </c>
      <c r="AD2024">
        <v>0</v>
      </c>
      <c r="AE2024">
        <v>10568480</v>
      </c>
      <c r="AF2024" t="s">
        <v>63</v>
      </c>
      <c r="AG2024" t="s">
        <v>1355</v>
      </c>
    </row>
    <row r="2025" spans="1:33" x14ac:dyDescent="0.35">
      <c r="A2025" s="1">
        <v>44846.717361111114</v>
      </c>
      <c r="B2025">
        <v>3564603</v>
      </c>
      <c r="C2025" t="s">
        <v>4423</v>
      </c>
      <c r="D2025" t="s">
        <v>125</v>
      </c>
      <c r="E2025" s="2">
        <v>42234</v>
      </c>
      <c r="F2025" t="str">
        <f>"9780191008559"</f>
        <v>9780191008559</v>
      </c>
      <c r="G2025" t="str">
        <f>"9780199652112"</f>
        <v>9780199652112</v>
      </c>
      <c r="H2025" t="s">
        <v>538</v>
      </c>
      <c r="I2025">
        <v>621.47</v>
      </c>
      <c r="J2025" t="s">
        <v>4424</v>
      </c>
      <c r="K2025" t="s">
        <v>55</v>
      </c>
      <c r="N2025" t="s">
        <v>79</v>
      </c>
      <c r="P2025" t="s">
        <v>80</v>
      </c>
      <c r="Q2025" t="s">
        <v>47</v>
      </c>
      <c r="R2025" t="s">
        <v>44</v>
      </c>
      <c r="S2025">
        <v>0</v>
      </c>
      <c r="W2025" s="3">
        <v>8.1018518518518516E-5</v>
      </c>
      <c r="X2025" t="s">
        <v>1542</v>
      </c>
      <c r="Y2025">
        <v>1</v>
      </c>
      <c r="Z2025">
        <v>0</v>
      </c>
      <c r="AA2025" t="s">
        <v>49</v>
      </c>
      <c r="AB2025">
        <v>0</v>
      </c>
      <c r="AC2025" t="s">
        <v>49</v>
      </c>
      <c r="AD2025">
        <v>0</v>
      </c>
      <c r="AE2025">
        <v>11058629</v>
      </c>
      <c r="AF2025" t="s">
        <v>50</v>
      </c>
      <c r="AG2025" t="s">
        <v>866</v>
      </c>
    </row>
    <row r="2026" spans="1:33" x14ac:dyDescent="0.35">
      <c r="A2026" s="1">
        <v>44846.580555555556</v>
      </c>
      <c r="B2026">
        <v>6565012</v>
      </c>
      <c r="C2026" t="s">
        <v>3933</v>
      </c>
      <c r="D2026" t="s">
        <v>137</v>
      </c>
      <c r="E2026" s="2">
        <v>44357</v>
      </c>
      <c r="F2026" t="str">
        <f>"9781536196153"</f>
        <v>9781536196153</v>
      </c>
      <c r="G2026" t="str">
        <f>"9781536195125"</f>
        <v>9781536195125</v>
      </c>
      <c r="H2026" t="s">
        <v>138</v>
      </c>
      <c r="K2026" t="s">
        <v>55</v>
      </c>
      <c r="Q2026" t="s">
        <v>47</v>
      </c>
      <c r="R2026" t="s">
        <v>44</v>
      </c>
      <c r="S2026">
        <v>0</v>
      </c>
      <c r="W2026" s="3">
        <v>3.4722222222222222E-5</v>
      </c>
      <c r="X2026" t="s">
        <v>121</v>
      </c>
      <c r="Y2026">
        <v>1</v>
      </c>
      <c r="Z2026">
        <v>0</v>
      </c>
      <c r="AA2026" t="s">
        <v>49</v>
      </c>
      <c r="AB2026">
        <v>0</v>
      </c>
      <c r="AC2026" t="s">
        <v>49</v>
      </c>
      <c r="AD2026">
        <v>0</v>
      </c>
      <c r="AE2026">
        <v>-1</v>
      </c>
      <c r="AF2026" t="s">
        <v>50</v>
      </c>
      <c r="AG2026" t="s">
        <v>3419</v>
      </c>
    </row>
    <row r="2027" spans="1:33" x14ac:dyDescent="0.35">
      <c r="A2027" s="1">
        <v>44846.580555555556</v>
      </c>
      <c r="B2027">
        <v>4749335</v>
      </c>
      <c r="C2027" t="s">
        <v>4425</v>
      </c>
      <c r="D2027" t="s">
        <v>141</v>
      </c>
      <c r="E2027" s="2">
        <v>42699</v>
      </c>
      <c r="F2027" t="str">
        <f>"9781785889851"</f>
        <v>9781785889851</v>
      </c>
      <c r="G2027" t="str">
        <f>""</f>
        <v/>
      </c>
      <c r="H2027" t="s">
        <v>138</v>
      </c>
      <c r="I2027">
        <v>5.133</v>
      </c>
      <c r="J2027" t="s">
        <v>4426</v>
      </c>
      <c r="K2027" t="s">
        <v>44</v>
      </c>
      <c r="N2027" t="s">
        <v>45</v>
      </c>
      <c r="O2027" t="s">
        <v>46</v>
      </c>
      <c r="P2027" t="s">
        <v>177</v>
      </c>
      <c r="Q2027" t="s">
        <v>47</v>
      </c>
      <c r="R2027" t="s">
        <v>55</v>
      </c>
      <c r="S2027">
        <v>0</v>
      </c>
      <c r="W2027" s="3">
        <v>5.7870370370370366E-5</v>
      </c>
      <c r="X2027" t="s">
        <v>121</v>
      </c>
      <c r="Y2027">
        <v>1</v>
      </c>
      <c r="Z2027">
        <v>0</v>
      </c>
      <c r="AA2027" t="s">
        <v>49</v>
      </c>
      <c r="AB2027">
        <v>0</v>
      </c>
      <c r="AC2027" t="s">
        <v>49</v>
      </c>
      <c r="AD2027">
        <v>0</v>
      </c>
      <c r="AE2027">
        <v>11351048</v>
      </c>
      <c r="AF2027" t="s">
        <v>50</v>
      </c>
      <c r="AG2027" t="s">
        <v>3419</v>
      </c>
    </row>
    <row r="2028" spans="1:33" x14ac:dyDescent="0.35">
      <c r="A2028" s="1">
        <v>44846.575694444444</v>
      </c>
      <c r="B2028">
        <v>6565012</v>
      </c>
      <c r="C2028" t="s">
        <v>3933</v>
      </c>
      <c r="D2028" t="s">
        <v>137</v>
      </c>
      <c r="E2028" s="2">
        <v>44357</v>
      </c>
      <c r="F2028" t="str">
        <f>"9781536196153"</f>
        <v>9781536196153</v>
      </c>
      <c r="G2028" t="str">
        <f>"9781536195125"</f>
        <v>9781536195125</v>
      </c>
      <c r="H2028" t="s">
        <v>138</v>
      </c>
      <c r="K2028" t="s">
        <v>55</v>
      </c>
      <c r="Q2028" t="s">
        <v>47</v>
      </c>
      <c r="R2028" t="s">
        <v>44</v>
      </c>
      <c r="S2028">
        <v>0</v>
      </c>
      <c r="W2028" s="3">
        <v>3.4722222222222222E-5</v>
      </c>
      <c r="X2028" t="s">
        <v>121</v>
      </c>
      <c r="Y2028">
        <v>1</v>
      </c>
      <c r="Z2028">
        <v>0</v>
      </c>
      <c r="AA2028" t="s">
        <v>49</v>
      </c>
      <c r="AB2028">
        <v>0</v>
      </c>
      <c r="AC2028" t="s">
        <v>49</v>
      </c>
      <c r="AD2028">
        <v>0</v>
      </c>
      <c r="AE2028">
        <v>-1</v>
      </c>
      <c r="AF2028" t="s">
        <v>50</v>
      </c>
      <c r="AG2028" t="s">
        <v>1536</v>
      </c>
    </row>
    <row r="2029" spans="1:33" x14ac:dyDescent="0.35">
      <c r="A2029" s="1">
        <v>44846.574999999997</v>
      </c>
      <c r="B2029">
        <v>4749335</v>
      </c>
      <c r="C2029" t="s">
        <v>4425</v>
      </c>
      <c r="D2029" t="s">
        <v>141</v>
      </c>
      <c r="E2029" s="2">
        <v>42699</v>
      </c>
      <c r="F2029" t="str">
        <f>"9781785889851"</f>
        <v>9781785889851</v>
      </c>
      <c r="G2029" t="str">
        <f>""</f>
        <v/>
      </c>
      <c r="H2029" t="s">
        <v>138</v>
      </c>
      <c r="I2029">
        <v>5.133</v>
      </c>
      <c r="J2029" t="s">
        <v>4426</v>
      </c>
      <c r="K2029" t="s">
        <v>44</v>
      </c>
      <c r="N2029" t="s">
        <v>45</v>
      </c>
      <c r="O2029" t="s">
        <v>46</v>
      </c>
      <c r="P2029" t="s">
        <v>177</v>
      </c>
      <c r="Q2029" t="s">
        <v>47</v>
      </c>
      <c r="R2029" t="s">
        <v>55</v>
      </c>
      <c r="S2029">
        <v>0</v>
      </c>
      <c r="W2029" s="3">
        <v>5.7870370370370366E-5</v>
      </c>
      <c r="X2029" t="s">
        <v>121</v>
      </c>
      <c r="Y2029">
        <v>1</v>
      </c>
      <c r="Z2029">
        <v>0</v>
      </c>
      <c r="AA2029" t="s">
        <v>49</v>
      </c>
      <c r="AB2029">
        <v>0</v>
      </c>
      <c r="AC2029" t="s">
        <v>49</v>
      </c>
      <c r="AD2029">
        <v>0</v>
      </c>
      <c r="AE2029">
        <v>11351048</v>
      </c>
      <c r="AF2029" t="s">
        <v>50</v>
      </c>
      <c r="AG2029" t="s">
        <v>1536</v>
      </c>
    </row>
    <row r="2030" spans="1:33" x14ac:dyDescent="0.35">
      <c r="A2030" s="1">
        <v>44846.568055555559</v>
      </c>
      <c r="B2030">
        <v>5485013</v>
      </c>
      <c r="C2030" t="s">
        <v>4427</v>
      </c>
      <c r="D2030" t="s">
        <v>141</v>
      </c>
      <c r="E2030" s="2">
        <v>43312</v>
      </c>
      <c r="F2030" t="str">
        <f>"9781787283220"</f>
        <v>9781787283220</v>
      </c>
      <c r="G2030" t="str">
        <f>"9781787286702"</f>
        <v>9781787286702</v>
      </c>
      <c r="H2030" t="s">
        <v>77</v>
      </c>
      <c r="J2030" t="s">
        <v>4428</v>
      </c>
      <c r="K2030" t="s">
        <v>44</v>
      </c>
      <c r="N2030" t="s">
        <v>45</v>
      </c>
      <c r="O2030" t="s">
        <v>46</v>
      </c>
      <c r="P2030" t="s">
        <v>177</v>
      </c>
      <c r="Q2030" t="s">
        <v>47</v>
      </c>
      <c r="R2030" t="s">
        <v>55</v>
      </c>
      <c r="S2030">
        <v>1</v>
      </c>
      <c r="W2030" s="3">
        <v>0</v>
      </c>
      <c r="X2030" t="s">
        <v>49</v>
      </c>
      <c r="Y2030">
        <v>0</v>
      </c>
      <c r="Z2030">
        <v>0</v>
      </c>
      <c r="AA2030" t="s">
        <v>49</v>
      </c>
      <c r="AB2030">
        <v>0</v>
      </c>
      <c r="AC2030" t="s">
        <v>49</v>
      </c>
      <c r="AD2030">
        <v>0</v>
      </c>
      <c r="AE2030">
        <v>-1</v>
      </c>
      <c r="AF2030" t="s">
        <v>63</v>
      </c>
      <c r="AG2030" t="s">
        <v>4236</v>
      </c>
    </row>
    <row r="2031" spans="1:33" x14ac:dyDescent="0.35">
      <c r="A2031" s="1">
        <v>44846.568055555559</v>
      </c>
      <c r="B2031">
        <v>6565012</v>
      </c>
      <c r="C2031" t="s">
        <v>3933</v>
      </c>
      <c r="D2031" t="s">
        <v>137</v>
      </c>
      <c r="E2031" s="2">
        <v>44357</v>
      </c>
      <c r="F2031" t="str">
        <f>"9781536196153"</f>
        <v>9781536196153</v>
      </c>
      <c r="G2031" t="str">
        <f>"9781536195125"</f>
        <v>9781536195125</v>
      </c>
      <c r="H2031" t="s">
        <v>138</v>
      </c>
      <c r="K2031" t="s">
        <v>55</v>
      </c>
      <c r="Q2031" t="s">
        <v>47</v>
      </c>
      <c r="R2031" t="s">
        <v>44</v>
      </c>
      <c r="S2031">
        <v>0</v>
      </c>
      <c r="W2031" s="3">
        <v>3.4953703703703705E-3</v>
      </c>
      <c r="X2031" t="s">
        <v>4429</v>
      </c>
      <c r="Y2031">
        <v>32</v>
      </c>
      <c r="Z2031">
        <v>0</v>
      </c>
      <c r="AA2031" t="s">
        <v>49</v>
      </c>
      <c r="AB2031">
        <v>0</v>
      </c>
      <c r="AC2031" t="s">
        <v>49</v>
      </c>
      <c r="AD2031">
        <v>0</v>
      </c>
      <c r="AE2031">
        <v>-1</v>
      </c>
      <c r="AF2031" t="s">
        <v>63</v>
      </c>
      <c r="AG2031" t="s">
        <v>4236</v>
      </c>
    </row>
    <row r="2032" spans="1:33" x14ac:dyDescent="0.35">
      <c r="A2032" s="1">
        <v>44846.566666666666</v>
      </c>
      <c r="B2032">
        <v>5721798</v>
      </c>
      <c r="C2032" t="s">
        <v>4430</v>
      </c>
      <c r="D2032" t="s">
        <v>141</v>
      </c>
      <c r="E2032" s="2">
        <v>43524</v>
      </c>
      <c r="F2032" t="str">
        <f>"9781789617559"</f>
        <v>9781789617559</v>
      </c>
      <c r="G2032" t="str">
        <f>"9781789616729"</f>
        <v>9781789616729</v>
      </c>
      <c r="H2032" t="s">
        <v>138</v>
      </c>
      <c r="I2032">
        <v>5.133</v>
      </c>
      <c r="J2032" t="s">
        <v>4431</v>
      </c>
      <c r="K2032" t="s">
        <v>55</v>
      </c>
      <c r="Q2032" t="s">
        <v>47</v>
      </c>
      <c r="R2032" t="s">
        <v>44</v>
      </c>
      <c r="S2032">
        <v>0</v>
      </c>
      <c r="W2032" s="3">
        <v>4.0277777777777777E-3</v>
      </c>
      <c r="X2032" t="s">
        <v>4432</v>
      </c>
      <c r="Y2032">
        <v>15</v>
      </c>
      <c r="Z2032">
        <v>0</v>
      </c>
      <c r="AA2032" t="s">
        <v>49</v>
      </c>
      <c r="AB2032">
        <v>0</v>
      </c>
      <c r="AC2032" t="s">
        <v>49</v>
      </c>
      <c r="AD2032">
        <v>0</v>
      </c>
      <c r="AE2032">
        <v>11657212</v>
      </c>
      <c r="AF2032" t="s">
        <v>63</v>
      </c>
      <c r="AG2032" t="s">
        <v>4236</v>
      </c>
    </row>
    <row r="2033" spans="1:33" x14ac:dyDescent="0.35">
      <c r="A2033" s="1">
        <v>44846.5625</v>
      </c>
      <c r="B2033">
        <v>4749335</v>
      </c>
      <c r="C2033" t="s">
        <v>4425</v>
      </c>
      <c r="D2033" t="s">
        <v>141</v>
      </c>
      <c r="E2033" s="2">
        <v>42699</v>
      </c>
      <c r="F2033" t="str">
        <f>"9781785889851"</f>
        <v>9781785889851</v>
      </c>
      <c r="G2033" t="str">
        <f>""</f>
        <v/>
      </c>
      <c r="H2033" t="s">
        <v>138</v>
      </c>
      <c r="I2033">
        <v>5.133</v>
      </c>
      <c r="J2033" t="s">
        <v>4426</v>
      </c>
      <c r="K2033" t="s">
        <v>44</v>
      </c>
      <c r="N2033" t="s">
        <v>45</v>
      </c>
      <c r="O2033" t="s">
        <v>46</v>
      </c>
      <c r="P2033" t="s">
        <v>177</v>
      </c>
      <c r="Q2033" t="s">
        <v>47</v>
      </c>
      <c r="R2033" t="s">
        <v>55</v>
      </c>
      <c r="S2033">
        <v>1</v>
      </c>
      <c r="W2033" s="3">
        <v>0</v>
      </c>
      <c r="X2033" t="s">
        <v>49</v>
      </c>
      <c r="Y2033">
        <v>0</v>
      </c>
      <c r="Z2033">
        <v>0</v>
      </c>
      <c r="AA2033" t="s">
        <v>49</v>
      </c>
      <c r="AB2033">
        <v>0</v>
      </c>
      <c r="AC2033" t="s">
        <v>49</v>
      </c>
      <c r="AD2033">
        <v>0</v>
      </c>
      <c r="AE2033">
        <v>11351048</v>
      </c>
      <c r="AF2033" t="s">
        <v>63</v>
      </c>
      <c r="AG2033" t="s">
        <v>4236</v>
      </c>
    </row>
    <row r="2034" spans="1:33" x14ac:dyDescent="0.35">
      <c r="A2034" s="1">
        <v>44846.367361111108</v>
      </c>
      <c r="B2034">
        <v>5139938</v>
      </c>
      <c r="C2034" t="s">
        <v>295</v>
      </c>
      <c r="D2034" t="s">
        <v>296</v>
      </c>
      <c r="E2034" s="2">
        <v>41852</v>
      </c>
      <c r="F2034" t="str">
        <f>"9781613994078"</f>
        <v>9781613994078</v>
      </c>
      <c r="G2034" t="str">
        <f>"9781613993286"</f>
        <v>9781613993286</v>
      </c>
      <c r="H2034" t="s">
        <v>297</v>
      </c>
      <c r="I2034">
        <v>622.33820000000003</v>
      </c>
      <c r="J2034" t="s">
        <v>298</v>
      </c>
      <c r="K2034" t="s">
        <v>44</v>
      </c>
      <c r="N2034" t="s">
        <v>45</v>
      </c>
      <c r="O2034" t="s">
        <v>46</v>
      </c>
      <c r="P2034" t="s">
        <v>45</v>
      </c>
      <c r="Q2034" t="s">
        <v>47</v>
      </c>
      <c r="R2034" t="s">
        <v>44</v>
      </c>
      <c r="S2034">
        <v>0</v>
      </c>
      <c r="W2034" s="3">
        <v>6.4814814814814813E-4</v>
      </c>
      <c r="X2034" t="s">
        <v>4433</v>
      </c>
      <c r="Y2034">
        <v>6</v>
      </c>
      <c r="Z2034">
        <v>0</v>
      </c>
      <c r="AA2034" t="s">
        <v>49</v>
      </c>
      <c r="AB2034">
        <v>0</v>
      </c>
      <c r="AC2034" t="s">
        <v>49</v>
      </c>
      <c r="AD2034">
        <v>0</v>
      </c>
      <c r="AE2034">
        <v>11465346</v>
      </c>
      <c r="AF2034" t="s">
        <v>50</v>
      </c>
      <c r="AG2034" t="s">
        <v>1355</v>
      </c>
    </row>
    <row r="2035" spans="1:33" x14ac:dyDescent="0.35">
      <c r="A2035" s="1">
        <v>44846.15625</v>
      </c>
      <c r="B2035">
        <v>6607535</v>
      </c>
      <c r="C2035" t="s">
        <v>4434</v>
      </c>
      <c r="D2035" t="s">
        <v>105</v>
      </c>
      <c r="E2035" s="2">
        <v>44324</v>
      </c>
      <c r="F2035" t="str">
        <f>"9783030682071"</f>
        <v>9783030682071</v>
      </c>
      <c r="G2035" t="str">
        <f>"9783030682064"</f>
        <v>9783030682064</v>
      </c>
      <c r="H2035" t="s">
        <v>3824</v>
      </c>
      <c r="I2035">
        <v>303.39999999999998</v>
      </c>
      <c r="J2035" t="s">
        <v>1794</v>
      </c>
      <c r="K2035" t="s">
        <v>55</v>
      </c>
      <c r="Q2035" t="s">
        <v>47</v>
      </c>
      <c r="R2035" t="s">
        <v>44</v>
      </c>
      <c r="S2035">
        <v>0</v>
      </c>
      <c r="W2035" s="3">
        <v>6.4120370370370364E-3</v>
      </c>
      <c r="X2035" t="s">
        <v>4435</v>
      </c>
      <c r="Y2035">
        <v>8</v>
      </c>
      <c r="Z2035">
        <v>0</v>
      </c>
      <c r="AA2035" t="s">
        <v>49</v>
      </c>
      <c r="AB2035">
        <v>0</v>
      </c>
      <c r="AC2035" t="s">
        <v>49</v>
      </c>
      <c r="AD2035">
        <v>0</v>
      </c>
      <c r="AE2035">
        <v>-1</v>
      </c>
      <c r="AF2035" t="s">
        <v>50</v>
      </c>
      <c r="AG2035" t="s">
        <v>1536</v>
      </c>
    </row>
    <row r="2036" spans="1:33" x14ac:dyDescent="0.35">
      <c r="A2036" s="1">
        <v>44846.15</v>
      </c>
      <c r="B2036">
        <v>6450202</v>
      </c>
      <c r="C2036" t="s">
        <v>4436</v>
      </c>
      <c r="D2036" t="s">
        <v>76</v>
      </c>
      <c r="E2036" s="2">
        <v>44287</v>
      </c>
      <c r="F2036" t="str">
        <f>"9781000351057"</f>
        <v>9781000351057</v>
      </c>
      <c r="G2036" t="str">
        <f>"9780367321185"</f>
        <v>9780367321185</v>
      </c>
      <c r="H2036" t="s">
        <v>60</v>
      </c>
      <c r="I2036">
        <v>658.40353000000005</v>
      </c>
      <c r="J2036" t="s">
        <v>4437</v>
      </c>
      <c r="K2036" t="s">
        <v>55</v>
      </c>
      <c r="Q2036" t="s">
        <v>47</v>
      </c>
      <c r="R2036" t="s">
        <v>44</v>
      </c>
      <c r="S2036">
        <v>0</v>
      </c>
      <c r="W2036" s="3">
        <v>2.3148148148148151E-3</v>
      </c>
      <c r="X2036" t="s">
        <v>4438</v>
      </c>
      <c r="Y2036">
        <v>6</v>
      </c>
      <c r="Z2036">
        <v>0</v>
      </c>
      <c r="AA2036" t="s">
        <v>49</v>
      </c>
      <c r="AB2036">
        <v>0</v>
      </c>
      <c r="AC2036" t="s">
        <v>49</v>
      </c>
      <c r="AD2036">
        <v>0</v>
      </c>
      <c r="AE2036">
        <v>-1</v>
      </c>
      <c r="AF2036" t="s">
        <v>50</v>
      </c>
      <c r="AG2036" t="s">
        <v>1536</v>
      </c>
    </row>
    <row r="2037" spans="1:33" x14ac:dyDescent="0.35">
      <c r="A2037" s="1">
        <v>44846.15</v>
      </c>
      <c r="B2037">
        <v>4790366</v>
      </c>
      <c r="C2037" t="s">
        <v>4439</v>
      </c>
      <c r="D2037" t="s">
        <v>59</v>
      </c>
      <c r="E2037" s="2">
        <v>42787</v>
      </c>
      <c r="F2037" t="str">
        <f>"9781119384540"</f>
        <v>9781119384540</v>
      </c>
      <c r="G2037" t="str">
        <f>"9781786301239"</f>
        <v>9781786301239</v>
      </c>
      <c r="H2037" t="s">
        <v>43</v>
      </c>
      <c r="I2037">
        <v>519.29999999999905</v>
      </c>
      <c r="J2037" t="s">
        <v>4440</v>
      </c>
      <c r="K2037" t="s">
        <v>44</v>
      </c>
      <c r="N2037" t="s">
        <v>45</v>
      </c>
      <c r="O2037" t="s">
        <v>46</v>
      </c>
      <c r="P2037" t="s">
        <v>45</v>
      </c>
      <c r="Q2037" t="s">
        <v>47</v>
      </c>
      <c r="R2037" t="s">
        <v>44</v>
      </c>
      <c r="S2037">
        <v>0</v>
      </c>
      <c r="W2037" s="3">
        <v>2.5694444444444445E-3</v>
      </c>
      <c r="X2037" t="s">
        <v>4441</v>
      </c>
      <c r="Y2037">
        <v>8</v>
      </c>
      <c r="Z2037">
        <v>1</v>
      </c>
      <c r="AA2037" t="s">
        <v>2257</v>
      </c>
      <c r="AB2037">
        <v>14</v>
      </c>
      <c r="AC2037" t="s">
        <v>49</v>
      </c>
      <c r="AD2037">
        <v>0</v>
      </c>
      <c r="AE2037">
        <v>11332857</v>
      </c>
      <c r="AF2037" t="s">
        <v>50</v>
      </c>
      <c r="AG2037" t="s">
        <v>1536</v>
      </c>
    </row>
    <row r="2038" spans="1:33" x14ac:dyDescent="0.35">
      <c r="A2038" s="1">
        <v>44846.113888888889</v>
      </c>
      <c r="B2038">
        <v>6450202</v>
      </c>
      <c r="C2038" t="s">
        <v>4436</v>
      </c>
      <c r="D2038" t="s">
        <v>76</v>
      </c>
      <c r="E2038" s="2">
        <v>44287</v>
      </c>
      <c r="F2038" t="str">
        <f>"9781000351057"</f>
        <v>9781000351057</v>
      </c>
      <c r="G2038" t="str">
        <f>"9780367321185"</f>
        <v>9780367321185</v>
      </c>
      <c r="H2038" t="s">
        <v>60</v>
      </c>
      <c r="I2038">
        <v>658.40353000000005</v>
      </c>
      <c r="J2038" t="s">
        <v>4437</v>
      </c>
      <c r="K2038" t="s">
        <v>55</v>
      </c>
      <c r="Q2038" t="s">
        <v>47</v>
      </c>
      <c r="R2038" t="s">
        <v>44</v>
      </c>
      <c r="S2038">
        <v>0</v>
      </c>
      <c r="W2038" s="3">
        <v>3.4722222222222222E-5</v>
      </c>
      <c r="X2038" t="s">
        <v>121</v>
      </c>
      <c r="Y2038">
        <v>1</v>
      </c>
      <c r="Z2038">
        <v>0</v>
      </c>
      <c r="AA2038" t="s">
        <v>49</v>
      </c>
      <c r="AB2038">
        <v>0</v>
      </c>
      <c r="AC2038" t="s">
        <v>49</v>
      </c>
      <c r="AD2038">
        <v>0</v>
      </c>
      <c r="AE2038">
        <v>-1</v>
      </c>
      <c r="AF2038" t="s">
        <v>50</v>
      </c>
      <c r="AG2038" t="s">
        <v>1536</v>
      </c>
    </row>
    <row r="2039" spans="1:33" x14ac:dyDescent="0.35">
      <c r="A2039" s="1">
        <v>44846.112500000003</v>
      </c>
      <c r="B2039">
        <v>4790366</v>
      </c>
      <c r="C2039" t="s">
        <v>4439</v>
      </c>
      <c r="D2039" t="s">
        <v>59</v>
      </c>
      <c r="E2039" s="2">
        <v>42787</v>
      </c>
      <c r="F2039" t="str">
        <f>"9781119384540"</f>
        <v>9781119384540</v>
      </c>
      <c r="G2039" t="str">
        <f>"9781786301239"</f>
        <v>9781786301239</v>
      </c>
      <c r="H2039" t="s">
        <v>43</v>
      </c>
      <c r="I2039">
        <v>519.29999999999905</v>
      </c>
      <c r="J2039" t="s">
        <v>4440</v>
      </c>
      <c r="K2039" t="s">
        <v>44</v>
      </c>
      <c r="N2039" t="s">
        <v>45</v>
      </c>
      <c r="O2039" t="s">
        <v>46</v>
      </c>
      <c r="P2039" t="s">
        <v>45</v>
      </c>
      <c r="Q2039" t="s">
        <v>47</v>
      </c>
      <c r="R2039" t="s">
        <v>44</v>
      </c>
      <c r="S2039">
        <v>0</v>
      </c>
      <c r="W2039" s="3">
        <v>1.8518518518518518E-4</v>
      </c>
      <c r="X2039" t="s">
        <v>4442</v>
      </c>
      <c r="Y2039">
        <v>4</v>
      </c>
      <c r="Z2039">
        <v>0</v>
      </c>
      <c r="AA2039" t="s">
        <v>49</v>
      </c>
      <c r="AB2039">
        <v>0</v>
      </c>
      <c r="AC2039" t="s">
        <v>49</v>
      </c>
      <c r="AD2039">
        <v>0</v>
      </c>
      <c r="AE2039">
        <v>11332857</v>
      </c>
      <c r="AF2039" t="s">
        <v>50</v>
      </c>
      <c r="AG2039" t="s">
        <v>1536</v>
      </c>
    </row>
    <row r="2040" spans="1:33" x14ac:dyDescent="0.35">
      <c r="A2040" s="1">
        <v>44846.10833333333</v>
      </c>
      <c r="B2040">
        <v>4669093</v>
      </c>
      <c r="C2040" t="s">
        <v>4443</v>
      </c>
      <c r="D2040" t="s">
        <v>65</v>
      </c>
      <c r="E2040" s="2">
        <v>42622</v>
      </c>
      <c r="F2040" t="str">
        <f>"9780081005583"</f>
        <v>9780081005583</v>
      </c>
      <c r="G2040" t="str">
        <f>"9780081005521"</f>
        <v>9780081005521</v>
      </c>
      <c r="H2040" t="s">
        <v>4444</v>
      </c>
      <c r="I2040">
        <v>621.31209999999999</v>
      </c>
      <c r="J2040" t="s">
        <v>4445</v>
      </c>
      <c r="K2040" t="s">
        <v>44</v>
      </c>
      <c r="N2040" t="s">
        <v>45</v>
      </c>
      <c r="O2040" t="s">
        <v>46</v>
      </c>
      <c r="P2040" t="s">
        <v>45</v>
      </c>
      <c r="Q2040" t="s">
        <v>47</v>
      </c>
      <c r="R2040" t="s">
        <v>44</v>
      </c>
      <c r="S2040">
        <v>0</v>
      </c>
      <c r="W2040" s="3">
        <v>7.0601851851851847E-4</v>
      </c>
      <c r="X2040" t="s">
        <v>4446</v>
      </c>
      <c r="Y2040">
        <v>23</v>
      </c>
      <c r="Z2040">
        <v>0</v>
      </c>
      <c r="AA2040" t="s">
        <v>49</v>
      </c>
      <c r="AB2040">
        <v>0</v>
      </c>
      <c r="AC2040" t="s">
        <v>49</v>
      </c>
      <c r="AD2040">
        <v>0</v>
      </c>
      <c r="AE2040">
        <v>11253860</v>
      </c>
      <c r="AF2040" t="s">
        <v>50</v>
      </c>
      <c r="AG2040" t="s">
        <v>300</v>
      </c>
    </row>
    <row r="2041" spans="1:33" x14ac:dyDescent="0.35">
      <c r="A2041" s="1">
        <v>44845.949305555558</v>
      </c>
      <c r="B2041">
        <v>5829217</v>
      </c>
      <c r="C2041" t="s">
        <v>626</v>
      </c>
      <c r="D2041" t="s">
        <v>627</v>
      </c>
      <c r="E2041" s="2">
        <v>43259</v>
      </c>
      <c r="F2041" t="str">
        <f>"9781496395139"</f>
        <v>9781496395139</v>
      </c>
      <c r="G2041" t="str">
        <f>"9781496335418"</f>
        <v>9781496335418</v>
      </c>
      <c r="H2041" t="s">
        <v>77</v>
      </c>
      <c r="I2041" t="s">
        <v>628</v>
      </c>
      <c r="J2041" t="s">
        <v>629</v>
      </c>
      <c r="K2041" t="s">
        <v>44</v>
      </c>
      <c r="N2041" t="s">
        <v>45</v>
      </c>
      <c r="O2041" t="s">
        <v>46</v>
      </c>
      <c r="P2041" t="s">
        <v>45</v>
      </c>
      <c r="Q2041" t="s">
        <v>47</v>
      </c>
      <c r="R2041" t="s">
        <v>44</v>
      </c>
      <c r="S2041">
        <v>0</v>
      </c>
      <c r="W2041" s="3">
        <v>4.8587962962962965E-2</v>
      </c>
      <c r="X2041" t="s">
        <v>4447</v>
      </c>
      <c r="Y2041">
        <v>13</v>
      </c>
      <c r="Z2041">
        <v>0</v>
      </c>
      <c r="AA2041" t="s">
        <v>49</v>
      </c>
      <c r="AB2041">
        <v>0</v>
      </c>
      <c r="AC2041" t="s">
        <v>49</v>
      </c>
      <c r="AD2041">
        <v>0</v>
      </c>
      <c r="AE2041">
        <v>-1</v>
      </c>
      <c r="AF2041" t="s">
        <v>50</v>
      </c>
      <c r="AG2041" t="s">
        <v>630</v>
      </c>
    </row>
    <row r="2042" spans="1:33" x14ac:dyDescent="0.35">
      <c r="A2042" s="1">
        <v>44845.916666666664</v>
      </c>
      <c r="B2042">
        <v>6624015</v>
      </c>
      <c r="C2042" t="s">
        <v>2410</v>
      </c>
      <c r="D2042" t="s">
        <v>65</v>
      </c>
      <c r="E2042" s="2">
        <v>44336</v>
      </c>
      <c r="F2042" t="str">
        <f>"9780128235980"</f>
        <v>9780128235980</v>
      </c>
      <c r="G2042" t="str">
        <f>"9780128235386"</f>
        <v>9780128235386</v>
      </c>
      <c r="H2042" t="s">
        <v>2223</v>
      </c>
      <c r="I2042">
        <v>333.79399999999998</v>
      </c>
      <c r="J2042" t="s">
        <v>2411</v>
      </c>
      <c r="K2042" t="s">
        <v>55</v>
      </c>
      <c r="N2042" t="s">
        <v>293</v>
      </c>
      <c r="P2042" t="s">
        <v>80</v>
      </c>
      <c r="Q2042" t="s">
        <v>47</v>
      </c>
      <c r="R2042" t="s">
        <v>44</v>
      </c>
      <c r="S2042">
        <v>0</v>
      </c>
      <c r="W2042" s="3">
        <v>3.784722222222222E-2</v>
      </c>
      <c r="X2042" t="s">
        <v>4448</v>
      </c>
      <c r="Y2042">
        <v>27</v>
      </c>
      <c r="Z2042">
        <v>0</v>
      </c>
      <c r="AA2042" t="s">
        <v>49</v>
      </c>
      <c r="AB2042">
        <v>0</v>
      </c>
      <c r="AC2042" t="s">
        <v>49</v>
      </c>
      <c r="AD2042">
        <v>0</v>
      </c>
      <c r="AE2042">
        <v>-1</v>
      </c>
      <c r="AF2042" t="s">
        <v>50</v>
      </c>
      <c r="AG2042" t="s">
        <v>118</v>
      </c>
    </row>
    <row r="2043" spans="1:33" x14ac:dyDescent="0.35">
      <c r="A2043" s="1">
        <v>44845.821527777778</v>
      </c>
      <c r="B2043">
        <v>6730028</v>
      </c>
      <c r="C2043" t="s">
        <v>4449</v>
      </c>
      <c r="D2043" t="s">
        <v>76</v>
      </c>
      <c r="E2043" s="2">
        <v>44470</v>
      </c>
      <c r="F2043" t="str">
        <f>"9781000469295"</f>
        <v>9781000469295</v>
      </c>
      <c r="G2043" t="str">
        <f>"9780367505080"</f>
        <v>9780367505080</v>
      </c>
      <c r="H2043" t="s">
        <v>2373</v>
      </c>
      <c r="I2043">
        <v>620.11</v>
      </c>
      <c r="J2043" t="s">
        <v>4450</v>
      </c>
      <c r="K2043" t="s">
        <v>55</v>
      </c>
      <c r="Q2043" t="s">
        <v>47</v>
      </c>
      <c r="R2043" t="s">
        <v>44</v>
      </c>
      <c r="S2043">
        <v>0</v>
      </c>
      <c r="W2043" s="3">
        <v>1.2847222222222223E-3</v>
      </c>
      <c r="X2043" t="s">
        <v>4451</v>
      </c>
      <c r="Y2043">
        <v>13</v>
      </c>
      <c r="Z2043">
        <v>0</v>
      </c>
      <c r="AA2043" t="s">
        <v>49</v>
      </c>
      <c r="AB2043">
        <v>0</v>
      </c>
      <c r="AC2043" t="s">
        <v>49</v>
      </c>
      <c r="AD2043">
        <v>0</v>
      </c>
      <c r="AE2043">
        <v>-1</v>
      </c>
      <c r="AF2043" t="s">
        <v>50</v>
      </c>
      <c r="AG2043" t="s">
        <v>1536</v>
      </c>
    </row>
    <row r="2044" spans="1:33" x14ac:dyDescent="0.35">
      <c r="A2044" s="1">
        <v>44845.800694444442</v>
      </c>
      <c r="B2044">
        <v>5829217</v>
      </c>
      <c r="C2044" t="s">
        <v>626</v>
      </c>
      <c r="D2044" t="s">
        <v>627</v>
      </c>
      <c r="E2044" s="2">
        <v>43259</v>
      </c>
      <c r="F2044" t="str">
        <f>"9781496395139"</f>
        <v>9781496395139</v>
      </c>
      <c r="G2044" t="str">
        <f>"9781496335418"</f>
        <v>9781496335418</v>
      </c>
      <c r="H2044" t="s">
        <v>77</v>
      </c>
      <c r="I2044" t="s">
        <v>628</v>
      </c>
      <c r="J2044" t="s">
        <v>629</v>
      </c>
      <c r="K2044" t="s">
        <v>44</v>
      </c>
      <c r="N2044" t="s">
        <v>45</v>
      </c>
      <c r="O2044" t="s">
        <v>46</v>
      </c>
      <c r="P2044" t="s">
        <v>45</v>
      </c>
      <c r="Q2044" t="s">
        <v>47</v>
      </c>
      <c r="R2044" t="s">
        <v>44</v>
      </c>
      <c r="S2044">
        <v>0</v>
      </c>
      <c r="W2044" s="3">
        <v>2.6087962962962966E-2</v>
      </c>
      <c r="X2044" t="s">
        <v>4452</v>
      </c>
      <c r="Y2044">
        <v>9</v>
      </c>
      <c r="Z2044">
        <v>0</v>
      </c>
      <c r="AA2044" t="s">
        <v>49</v>
      </c>
      <c r="AB2044">
        <v>0</v>
      </c>
      <c r="AC2044" t="s">
        <v>49</v>
      </c>
      <c r="AD2044">
        <v>0</v>
      </c>
      <c r="AE2044">
        <v>-1</v>
      </c>
      <c r="AF2044" t="s">
        <v>50</v>
      </c>
      <c r="AG2044" t="s">
        <v>630</v>
      </c>
    </row>
    <row r="2045" spans="1:33" x14ac:dyDescent="0.35">
      <c r="A2045" s="1">
        <v>44845.782638888886</v>
      </c>
      <c r="B2045">
        <v>7075855</v>
      </c>
      <c r="C2045" t="s">
        <v>4453</v>
      </c>
      <c r="D2045" t="s">
        <v>105</v>
      </c>
      <c r="E2045" s="2">
        <v>44792</v>
      </c>
      <c r="F2045" t="str">
        <f>"9783030992613"</f>
        <v>9783030992613</v>
      </c>
      <c r="G2045" t="str">
        <f>"9783030992606"</f>
        <v>9783030992606</v>
      </c>
      <c r="H2045" t="s">
        <v>171</v>
      </c>
      <c r="I2045">
        <v>428.00709999999998</v>
      </c>
      <c r="J2045" t="s">
        <v>4454</v>
      </c>
      <c r="K2045" t="s">
        <v>55</v>
      </c>
      <c r="N2045" t="s">
        <v>79</v>
      </c>
      <c r="P2045" t="s">
        <v>80</v>
      </c>
      <c r="Q2045" t="s">
        <v>47</v>
      </c>
      <c r="R2045" t="s">
        <v>44</v>
      </c>
      <c r="S2045">
        <v>0</v>
      </c>
      <c r="W2045" s="3">
        <v>0</v>
      </c>
      <c r="X2045" t="s">
        <v>49</v>
      </c>
      <c r="Y2045">
        <v>0</v>
      </c>
      <c r="Z2045">
        <v>4</v>
      </c>
      <c r="AA2045" t="s">
        <v>4455</v>
      </c>
      <c r="AB2045">
        <v>65</v>
      </c>
      <c r="AC2045" t="s">
        <v>49</v>
      </c>
      <c r="AD2045">
        <v>0</v>
      </c>
      <c r="AE2045">
        <v>-1</v>
      </c>
      <c r="AF2045" t="s">
        <v>50</v>
      </c>
      <c r="AG2045" t="s">
        <v>118</v>
      </c>
    </row>
    <row r="2046" spans="1:33" x14ac:dyDescent="0.35">
      <c r="A2046" s="1">
        <v>44845.77847222222</v>
      </c>
      <c r="B2046">
        <v>279494</v>
      </c>
      <c r="C2046" t="s">
        <v>1333</v>
      </c>
      <c r="D2046" t="s">
        <v>125</v>
      </c>
      <c r="E2046" s="2">
        <v>37280</v>
      </c>
      <c r="F2046" t="str">
        <f>"9780198032953"</f>
        <v>9780198032953</v>
      </c>
      <c r="G2046" t="str">
        <f>"9780195144208"</f>
        <v>9780195144208</v>
      </c>
      <c r="H2046" t="s">
        <v>667</v>
      </c>
      <c r="I2046" t="s">
        <v>1334</v>
      </c>
      <c r="J2046" t="s">
        <v>1335</v>
      </c>
      <c r="K2046" t="s">
        <v>44</v>
      </c>
      <c r="N2046" t="s">
        <v>45</v>
      </c>
      <c r="O2046" t="s">
        <v>46</v>
      </c>
      <c r="P2046" t="s">
        <v>45</v>
      </c>
      <c r="Q2046" t="s">
        <v>47</v>
      </c>
      <c r="R2046" t="s">
        <v>44</v>
      </c>
      <c r="S2046">
        <v>0</v>
      </c>
      <c r="W2046" s="3">
        <v>4.6296296296296294E-5</v>
      </c>
      <c r="X2046" t="s">
        <v>121</v>
      </c>
      <c r="Y2046">
        <v>1</v>
      </c>
      <c r="Z2046">
        <v>0</v>
      </c>
      <c r="AA2046" t="s">
        <v>49</v>
      </c>
      <c r="AB2046">
        <v>0</v>
      </c>
      <c r="AC2046" t="s">
        <v>49</v>
      </c>
      <c r="AD2046">
        <v>0</v>
      </c>
      <c r="AE2046">
        <v>11303309</v>
      </c>
      <c r="AF2046" t="s">
        <v>50</v>
      </c>
      <c r="AG2046" t="s">
        <v>1355</v>
      </c>
    </row>
    <row r="2047" spans="1:33" x14ac:dyDescent="0.35">
      <c r="A2047" s="1">
        <v>44845.728472222225</v>
      </c>
      <c r="B2047">
        <v>3338641</v>
      </c>
      <c r="C2047" t="s">
        <v>302</v>
      </c>
      <c r="D2047" t="s">
        <v>303</v>
      </c>
      <c r="E2047" s="2">
        <v>39143</v>
      </c>
      <c r="F2047" t="str">
        <f>"9780262282888"</f>
        <v>9780262282888</v>
      </c>
      <c r="G2047" t="str">
        <f>"9780262195577"</f>
        <v>9780262195577</v>
      </c>
      <c r="H2047" t="s">
        <v>304</v>
      </c>
      <c r="I2047" t="s">
        <v>305</v>
      </c>
      <c r="K2047" t="s">
        <v>44</v>
      </c>
      <c r="N2047" t="s">
        <v>45</v>
      </c>
      <c r="O2047" t="s">
        <v>46</v>
      </c>
      <c r="P2047" t="s">
        <v>45</v>
      </c>
      <c r="Q2047" t="s">
        <v>47</v>
      </c>
      <c r="R2047" t="s">
        <v>44</v>
      </c>
      <c r="S2047">
        <v>0</v>
      </c>
      <c r="W2047" s="3">
        <v>6.9444444444444444E-5</v>
      </c>
      <c r="X2047" t="s">
        <v>113</v>
      </c>
      <c r="Y2047">
        <v>2</v>
      </c>
      <c r="Z2047">
        <v>0</v>
      </c>
      <c r="AA2047" t="s">
        <v>49</v>
      </c>
      <c r="AB2047">
        <v>0</v>
      </c>
      <c r="AC2047" t="s">
        <v>49</v>
      </c>
      <c r="AD2047">
        <v>0</v>
      </c>
      <c r="AE2047">
        <v>10173702</v>
      </c>
      <c r="AF2047" t="s">
        <v>50</v>
      </c>
      <c r="AG2047" t="s">
        <v>1355</v>
      </c>
    </row>
    <row r="2048" spans="1:33" x14ac:dyDescent="0.35">
      <c r="A2048" s="1">
        <v>44845.711111111108</v>
      </c>
      <c r="B2048">
        <v>279494</v>
      </c>
      <c r="C2048" t="s">
        <v>1333</v>
      </c>
      <c r="D2048" t="s">
        <v>125</v>
      </c>
      <c r="E2048" s="2">
        <v>37280</v>
      </c>
      <c r="F2048" t="str">
        <f>"9780198032953"</f>
        <v>9780198032953</v>
      </c>
      <c r="G2048" t="str">
        <f>"9780195144208"</f>
        <v>9780195144208</v>
      </c>
      <c r="H2048" t="s">
        <v>667</v>
      </c>
      <c r="I2048" t="s">
        <v>1334</v>
      </c>
      <c r="J2048" t="s">
        <v>1335</v>
      </c>
      <c r="K2048" t="s">
        <v>44</v>
      </c>
      <c r="N2048" t="s">
        <v>45</v>
      </c>
      <c r="O2048" t="s">
        <v>46</v>
      </c>
      <c r="P2048" t="s">
        <v>45</v>
      </c>
      <c r="Q2048" t="s">
        <v>47</v>
      </c>
      <c r="R2048" t="s">
        <v>44</v>
      </c>
      <c r="S2048">
        <v>0</v>
      </c>
      <c r="W2048" s="3">
        <v>1.3541666666666667E-3</v>
      </c>
      <c r="X2048" t="s">
        <v>4456</v>
      </c>
      <c r="Y2048">
        <v>9</v>
      </c>
      <c r="Z2048">
        <v>3</v>
      </c>
      <c r="AA2048" t="s">
        <v>4457</v>
      </c>
      <c r="AB2048">
        <v>32</v>
      </c>
      <c r="AC2048" t="s">
        <v>49</v>
      </c>
      <c r="AD2048">
        <v>0</v>
      </c>
      <c r="AE2048">
        <v>11303309</v>
      </c>
      <c r="AF2048" t="s">
        <v>50</v>
      </c>
      <c r="AG2048" t="s">
        <v>1355</v>
      </c>
    </row>
    <row r="2049" spans="1:33" x14ac:dyDescent="0.35">
      <c r="A2049" s="1">
        <v>44845.700694444444</v>
      </c>
      <c r="B2049">
        <v>3377343</v>
      </c>
      <c r="C2049" t="s">
        <v>4458</v>
      </c>
      <c r="D2049" t="s">
        <v>175</v>
      </c>
      <c r="E2049" s="2">
        <v>31444</v>
      </c>
      <c r="F2049" t="str">
        <f>"9780309568043"</f>
        <v>9780309568043</v>
      </c>
      <c r="G2049" t="str">
        <f>"9780309035774"</f>
        <v>9780309035774</v>
      </c>
      <c r="H2049" t="s">
        <v>585</v>
      </c>
      <c r="I2049">
        <v>530.4</v>
      </c>
      <c r="J2049" t="s">
        <v>4459</v>
      </c>
      <c r="K2049" t="s">
        <v>44</v>
      </c>
      <c r="N2049" t="s">
        <v>45</v>
      </c>
      <c r="O2049" t="s">
        <v>46</v>
      </c>
      <c r="P2049" t="s">
        <v>177</v>
      </c>
      <c r="Q2049" t="s">
        <v>47</v>
      </c>
      <c r="R2049" t="s">
        <v>55</v>
      </c>
      <c r="S2049">
        <v>1</v>
      </c>
      <c r="W2049" s="3">
        <v>0</v>
      </c>
      <c r="X2049" t="s">
        <v>49</v>
      </c>
      <c r="Y2049">
        <v>0</v>
      </c>
      <c r="Z2049">
        <v>0</v>
      </c>
      <c r="AA2049" t="s">
        <v>49</v>
      </c>
      <c r="AB2049">
        <v>0</v>
      </c>
      <c r="AC2049" t="s">
        <v>49</v>
      </c>
      <c r="AD2049">
        <v>0</v>
      </c>
      <c r="AE2049">
        <v>10071368</v>
      </c>
      <c r="AF2049" t="s">
        <v>63</v>
      </c>
      <c r="AG2049" t="s">
        <v>1536</v>
      </c>
    </row>
    <row r="2050" spans="1:33" x14ac:dyDescent="0.35">
      <c r="A2050" s="1">
        <v>44845.691666666666</v>
      </c>
      <c r="B2050">
        <v>3377343</v>
      </c>
      <c r="C2050" t="s">
        <v>4458</v>
      </c>
      <c r="D2050" t="s">
        <v>175</v>
      </c>
      <c r="E2050" s="2">
        <v>31444</v>
      </c>
      <c r="F2050" t="str">
        <f>"9780309568043"</f>
        <v>9780309568043</v>
      </c>
      <c r="G2050" t="str">
        <f>"9780309035774"</f>
        <v>9780309035774</v>
      </c>
      <c r="H2050" t="s">
        <v>585</v>
      </c>
      <c r="I2050">
        <v>530.4</v>
      </c>
      <c r="J2050" t="s">
        <v>4459</v>
      </c>
      <c r="K2050" t="s">
        <v>44</v>
      </c>
      <c r="N2050" t="s">
        <v>45</v>
      </c>
      <c r="O2050" t="s">
        <v>46</v>
      </c>
      <c r="P2050" t="s">
        <v>177</v>
      </c>
      <c r="Q2050" t="s">
        <v>47</v>
      </c>
      <c r="R2050" t="s">
        <v>55</v>
      </c>
      <c r="S2050">
        <v>0</v>
      </c>
      <c r="W2050" s="3">
        <v>1.5509259259259261E-3</v>
      </c>
      <c r="X2050" t="s">
        <v>4460</v>
      </c>
      <c r="Y2050">
        <v>23</v>
      </c>
      <c r="Z2050">
        <v>2</v>
      </c>
      <c r="AA2050" t="s">
        <v>4461</v>
      </c>
      <c r="AB2050">
        <v>199</v>
      </c>
      <c r="AC2050" t="s">
        <v>49</v>
      </c>
      <c r="AD2050">
        <v>0</v>
      </c>
      <c r="AE2050">
        <v>10071368</v>
      </c>
      <c r="AF2050" t="s">
        <v>63</v>
      </c>
      <c r="AG2050" t="s">
        <v>1536</v>
      </c>
    </row>
    <row r="2051" spans="1:33" x14ac:dyDescent="0.35">
      <c r="A2051" s="1">
        <v>44845.677083333336</v>
      </c>
      <c r="B2051">
        <v>4183127</v>
      </c>
      <c r="C2051" t="s">
        <v>190</v>
      </c>
      <c r="D2051" t="s">
        <v>59</v>
      </c>
      <c r="E2051" s="2">
        <v>42310</v>
      </c>
      <c r="F2051" t="str">
        <f>"9783527684649"</f>
        <v>9783527684649</v>
      </c>
      <c r="G2051" t="str">
        <f>"9783527331659"</f>
        <v>9783527331659</v>
      </c>
      <c r="H2051" t="s">
        <v>191</v>
      </c>
      <c r="I2051" t="s">
        <v>192</v>
      </c>
      <c r="J2051" t="s">
        <v>193</v>
      </c>
      <c r="K2051" t="s">
        <v>44</v>
      </c>
      <c r="N2051" t="s">
        <v>45</v>
      </c>
      <c r="O2051" t="s">
        <v>46</v>
      </c>
      <c r="P2051" t="s">
        <v>45</v>
      </c>
      <c r="Q2051" t="s">
        <v>47</v>
      </c>
      <c r="R2051" t="s">
        <v>44</v>
      </c>
      <c r="S2051">
        <v>0</v>
      </c>
      <c r="W2051" s="3">
        <v>5.7870370370370366E-5</v>
      </c>
      <c r="X2051" t="s">
        <v>196</v>
      </c>
      <c r="Y2051">
        <v>2</v>
      </c>
      <c r="Z2051">
        <v>0</v>
      </c>
      <c r="AA2051" t="s">
        <v>49</v>
      </c>
      <c r="AB2051">
        <v>0</v>
      </c>
      <c r="AC2051" t="s">
        <v>49</v>
      </c>
      <c r="AD2051">
        <v>0</v>
      </c>
      <c r="AE2051">
        <v>11125579</v>
      </c>
      <c r="AF2051" t="s">
        <v>50</v>
      </c>
      <c r="AG2051" t="s">
        <v>4241</v>
      </c>
    </row>
    <row r="2052" spans="1:33" x14ac:dyDescent="0.35">
      <c r="A2052" s="1">
        <v>44845.67083333333</v>
      </c>
      <c r="B2052">
        <v>5829217</v>
      </c>
      <c r="C2052" t="s">
        <v>626</v>
      </c>
      <c r="D2052" t="s">
        <v>627</v>
      </c>
      <c r="E2052" s="2">
        <v>43259</v>
      </c>
      <c r="F2052" t="str">
        <f>"9781496395139"</f>
        <v>9781496395139</v>
      </c>
      <c r="G2052" t="str">
        <f>"9781496335418"</f>
        <v>9781496335418</v>
      </c>
      <c r="H2052" t="s">
        <v>77</v>
      </c>
      <c r="I2052" t="s">
        <v>628</v>
      </c>
      <c r="J2052" t="s">
        <v>629</v>
      </c>
      <c r="K2052" t="s">
        <v>44</v>
      </c>
      <c r="N2052" t="s">
        <v>45</v>
      </c>
      <c r="O2052" t="s">
        <v>46</v>
      </c>
      <c r="P2052" t="s">
        <v>45</v>
      </c>
      <c r="Q2052" t="s">
        <v>47</v>
      </c>
      <c r="R2052" t="s">
        <v>44</v>
      </c>
      <c r="S2052">
        <v>0</v>
      </c>
      <c r="W2052" s="3">
        <v>8.1122685185185187E-2</v>
      </c>
      <c r="X2052" t="s">
        <v>4462</v>
      </c>
      <c r="Y2052">
        <v>21</v>
      </c>
      <c r="Z2052">
        <v>0</v>
      </c>
      <c r="AA2052" t="s">
        <v>49</v>
      </c>
      <c r="AB2052">
        <v>0</v>
      </c>
      <c r="AC2052" t="s">
        <v>49</v>
      </c>
      <c r="AD2052">
        <v>0</v>
      </c>
      <c r="AE2052">
        <v>-1</v>
      </c>
      <c r="AF2052" t="s">
        <v>50</v>
      </c>
      <c r="AG2052" t="s">
        <v>630</v>
      </c>
    </row>
    <row r="2053" spans="1:33" x14ac:dyDescent="0.35">
      <c r="A2053" s="1">
        <v>44845.655555555553</v>
      </c>
      <c r="B2053">
        <v>886617</v>
      </c>
      <c r="C2053" t="s">
        <v>4463</v>
      </c>
      <c r="D2053" t="s">
        <v>125</v>
      </c>
      <c r="E2053" s="2">
        <v>40926</v>
      </c>
      <c r="F2053" t="str">
        <f>"9780199909889"</f>
        <v>9780199909889</v>
      </c>
      <c r="G2053" t="str">
        <f>"9780199765652"</f>
        <v>9780199765652</v>
      </c>
      <c r="H2053" t="s">
        <v>214</v>
      </c>
      <c r="I2053" t="s">
        <v>4464</v>
      </c>
      <c r="J2053" t="s">
        <v>4465</v>
      </c>
      <c r="K2053" t="s">
        <v>44</v>
      </c>
      <c r="N2053" t="s">
        <v>45</v>
      </c>
      <c r="O2053" t="s">
        <v>46</v>
      </c>
      <c r="P2053" t="s">
        <v>45</v>
      </c>
      <c r="Q2053" t="s">
        <v>47</v>
      </c>
      <c r="R2053" t="s">
        <v>44</v>
      </c>
      <c r="S2053">
        <v>0</v>
      </c>
      <c r="W2053" s="3">
        <v>0</v>
      </c>
      <c r="X2053" t="s">
        <v>49</v>
      </c>
      <c r="Y2053">
        <v>0</v>
      </c>
      <c r="Z2053">
        <v>10</v>
      </c>
      <c r="AA2053" t="s">
        <v>4466</v>
      </c>
      <c r="AB2053">
        <v>116</v>
      </c>
      <c r="AC2053" t="s">
        <v>49</v>
      </c>
      <c r="AD2053">
        <v>0</v>
      </c>
      <c r="AE2053">
        <v>10531084</v>
      </c>
      <c r="AF2053" t="s">
        <v>63</v>
      </c>
      <c r="AG2053" t="s">
        <v>1536</v>
      </c>
    </row>
    <row r="2054" spans="1:33" x14ac:dyDescent="0.35">
      <c r="A2054" s="1">
        <v>44845.62222222222</v>
      </c>
      <c r="B2054">
        <v>886617</v>
      </c>
      <c r="C2054" t="s">
        <v>4463</v>
      </c>
      <c r="D2054" t="s">
        <v>125</v>
      </c>
      <c r="E2054" s="2">
        <v>40926</v>
      </c>
      <c r="F2054" t="str">
        <f>"9780199909889"</f>
        <v>9780199909889</v>
      </c>
      <c r="G2054" t="str">
        <f>"9780199765652"</f>
        <v>9780199765652</v>
      </c>
      <c r="H2054" t="s">
        <v>214</v>
      </c>
      <c r="I2054" t="s">
        <v>4464</v>
      </c>
      <c r="J2054" t="s">
        <v>4465</v>
      </c>
      <c r="K2054" t="s">
        <v>44</v>
      </c>
      <c r="N2054" t="s">
        <v>45</v>
      </c>
      <c r="O2054" t="s">
        <v>46</v>
      </c>
      <c r="P2054" t="s">
        <v>45</v>
      </c>
      <c r="Q2054" t="s">
        <v>47</v>
      </c>
      <c r="R2054" t="s">
        <v>44</v>
      </c>
      <c r="S2054">
        <v>1</v>
      </c>
      <c r="W2054" s="3">
        <v>6.018518518518519E-4</v>
      </c>
      <c r="X2054" t="s">
        <v>4467</v>
      </c>
      <c r="Y2054">
        <v>9</v>
      </c>
      <c r="Z2054">
        <v>2</v>
      </c>
      <c r="AA2054" t="s">
        <v>4468</v>
      </c>
      <c r="AB2054">
        <v>16</v>
      </c>
      <c r="AC2054" t="s">
        <v>49</v>
      </c>
      <c r="AD2054">
        <v>0</v>
      </c>
      <c r="AE2054">
        <v>10531084</v>
      </c>
      <c r="AF2054" t="s">
        <v>63</v>
      </c>
      <c r="AG2054" t="s">
        <v>1536</v>
      </c>
    </row>
    <row r="2055" spans="1:33" x14ac:dyDescent="0.35">
      <c r="A2055" s="1">
        <v>44845.575694444444</v>
      </c>
      <c r="B2055">
        <v>4843079</v>
      </c>
      <c r="C2055" t="s">
        <v>4469</v>
      </c>
      <c r="D2055" t="s">
        <v>59</v>
      </c>
      <c r="E2055" s="2">
        <v>42863</v>
      </c>
      <c r="F2055" t="str">
        <f>"9781119405160"</f>
        <v>9781119405160</v>
      </c>
      <c r="G2055" t="str">
        <f>"9781786301482"</f>
        <v>9781786301482</v>
      </c>
      <c r="H2055" t="s">
        <v>546</v>
      </c>
      <c r="I2055">
        <v>621.38149999999996</v>
      </c>
      <c r="J2055" t="s">
        <v>4470</v>
      </c>
      <c r="K2055" t="s">
        <v>44</v>
      </c>
      <c r="N2055" t="s">
        <v>45</v>
      </c>
      <c r="O2055" t="s">
        <v>46</v>
      </c>
      <c r="P2055" t="s">
        <v>45</v>
      </c>
      <c r="Q2055" t="s">
        <v>47</v>
      </c>
      <c r="R2055" t="s">
        <v>44</v>
      </c>
      <c r="S2055">
        <v>0</v>
      </c>
      <c r="W2055" s="3">
        <v>1.3888888888888889E-4</v>
      </c>
      <c r="X2055" t="s">
        <v>4471</v>
      </c>
      <c r="Y2055">
        <v>2</v>
      </c>
      <c r="Z2055">
        <v>0</v>
      </c>
      <c r="AA2055" t="s">
        <v>49</v>
      </c>
      <c r="AB2055">
        <v>0</v>
      </c>
      <c r="AC2055" t="s">
        <v>49</v>
      </c>
      <c r="AD2055">
        <v>0</v>
      </c>
      <c r="AE2055">
        <v>11375315</v>
      </c>
      <c r="AF2055" t="s">
        <v>50</v>
      </c>
      <c r="AG2055" t="s">
        <v>3037</v>
      </c>
    </row>
    <row r="2056" spans="1:33" x14ac:dyDescent="0.35">
      <c r="A2056" s="1">
        <v>44845.56527777778</v>
      </c>
      <c r="B2056">
        <v>581721</v>
      </c>
      <c r="C2056" t="s">
        <v>4472</v>
      </c>
      <c r="D2056" t="s">
        <v>76</v>
      </c>
      <c r="E2056" s="2">
        <v>40438</v>
      </c>
      <c r="F2056" t="str">
        <f>"9781420075410"</f>
        <v>9781420075410</v>
      </c>
      <c r="G2056" t="str">
        <f>"9781420075403"</f>
        <v>9781420075403</v>
      </c>
      <c r="H2056" t="s">
        <v>4473</v>
      </c>
      <c r="I2056">
        <v>620.5</v>
      </c>
      <c r="J2056" t="s">
        <v>4474</v>
      </c>
      <c r="K2056" t="s">
        <v>44</v>
      </c>
      <c r="N2056" t="s">
        <v>45</v>
      </c>
      <c r="O2056" t="s">
        <v>46</v>
      </c>
      <c r="P2056" t="s">
        <v>45</v>
      </c>
      <c r="Q2056" t="s">
        <v>47</v>
      </c>
      <c r="R2056" t="s">
        <v>44</v>
      </c>
      <c r="S2056">
        <v>1</v>
      </c>
      <c r="W2056" s="3">
        <v>0</v>
      </c>
      <c r="X2056" t="s">
        <v>49</v>
      </c>
      <c r="Y2056">
        <v>0</v>
      </c>
      <c r="Z2056">
        <v>3</v>
      </c>
      <c r="AA2056" t="s">
        <v>4475</v>
      </c>
      <c r="AB2056">
        <v>6</v>
      </c>
      <c r="AC2056" t="s">
        <v>49</v>
      </c>
      <c r="AD2056">
        <v>0</v>
      </c>
      <c r="AE2056">
        <v>10412000</v>
      </c>
      <c r="AF2056" t="s">
        <v>63</v>
      </c>
      <c r="AG2056" t="s">
        <v>1536</v>
      </c>
    </row>
    <row r="2057" spans="1:33" x14ac:dyDescent="0.35">
      <c r="A2057" s="1">
        <v>44845.526388888888</v>
      </c>
      <c r="B2057">
        <v>5829217</v>
      </c>
      <c r="C2057" t="s">
        <v>626</v>
      </c>
      <c r="D2057" t="s">
        <v>627</v>
      </c>
      <c r="E2057" s="2">
        <v>43259</v>
      </c>
      <c r="F2057" t="str">
        <f>"9781496395139"</f>
        <v>9781496395139</v>
      </c>
      <c r="G2057" t="str">
        <f>"9781496335418"</f>
        <v>9781496335418</v>
      </c>
      <c r="H2057" t="s">
        <v>77</v>
      </c>
      <c r="I2057" t="s">
        <v>628</v>
      </c>
      <c r="J2057" t="s">
        <v>629</v>
      </c>
      <c r="K2057" t="s">
        <v>44</v>
      </c>
      <c r="N2057" t="s">
        <v>45</v>
      </c>
      <c r="O2057" t="s">
        <v>46</v>
      </c>
      <c r="P2057" t="s">
        <v>45</v>
      </c>
      <c r="Q2057" t="s">
        <v>47</v>
      </c>
      <c r="R2057" t="s">
        <v>44</v>
      </c>
      <c r="S2057">
        <v>0</v>
      </c>
      <c r="W2057" s="3">
        <v>3.4722222222222224E-4</v>
      </c>
      <c r="X2057" t="s">
        <v>4476</v>
      </c>
      <c r="Y2057">
        <v>6</v>
      </c>
      <c r="Z2057">
        <v>0</v>
      </c>
      <c r="AA2057" t="s">
        <v>49</v>
      </c>
      <c r="AB2057">
        <v>0</v>
      </c>
      <c r="AC2057" t="s">
        <v>49</v>
      </c>
      <c r="AD2057">
        <v>0</v>
      </c>
      <c r="AE2057">
        <v>-1</v>
      </c>
      <c r="AF2057" t="s">
        <v>50</v>
      </c>
      <c r="AG2057" t="s">
        <v>630</v>
      </c>
    </row>
    <row r="2058" spans="1:33" x14ac:dyDescent="0.35">
      <c r="A2058" s="1">
        <v>44845.507638888892</v>
      </c>
      <c r="B2058">
        <v>3338641</v>
      </c>
      <c r="C2058" t="s">
        <v>302</v>
      </c>
      <c r="D2058" t="s">
        <v>303</v>
      </c>
      <c r="E2058" s="2">
        <v>39143</v>
      </c>
      <c r="F2058" t="str">
        <f>"9780262282888"</f>
        <v>9780262282888</v>
      </c>
      <c r="G2058" t="str">
        <f>"9780262195577"</f>
        <v>9780262195577</v>
      </c>
      <c r="H2058" t="s">
        <v>304</v>
      </c>
      <c r="I2058" t="s">
        <v>305</v>
      </c>
      <c r="K2058" t="s">
        <v>44</v>
      </c>
      <c r="N2058" t="s">
        <v>45</v>
      </c>
      <c r="O2058" t="s">
        <v>46</v>
      </c>
      <c r="P2058" t="s">
        <v>45</v>
      </c>
      <c r="Q2058" t="s">
        <v>47</v>
      </c>
      <c r="R2058" t="s">
        <v>44</v>
      </c>
      <c r="S2058">
        <v>0</v>
      </c>
      <c r="W2058" s="3">
        <v>6.9444444444444447E-4</v>
      </c>
      <c r="X2058" t="s">
        <v>4477</v>
      </c>
      <c r="Y2058">
        <v>3</v>
      </c>
      <c r="Z2058">
        <v>0</v>
      </c>
      <c r="AA2058" t="s">
        <v>49</v>
      </c>
      <c r="AB2058">
        <v>0</v>
      </c>
      <c r="AC2058" t="s">
        <v>49</v>
      </c>
      <c r="AD2058">
        <v>0</v>
      </c>
      <c r="AE2058">
        <v>10173702</v>
      </c>
      <c r="AF2058" t="s">
        <v>50</v>
      </c>
      <c r="AG2058" t="s">
        <v>1355</v>
      </c>
    </row>
    <row r="2059" spans="1:33" x14ac:dyDescent="0.35">
      <c r="A2059" s="1">
        <v>44845.507638888892</v>
      </c>
      <c r="B2059">
        <v>3338641</v>
      </c>
      <c r="C2059" t="s">
        <v>302</v>
      </c>
      <c r="D2059" t="s">
        <v>303</v>
      </c>
      <c r="E2059" s="2">
        <v>39143</v>
      </c>
      <c r="F2059" t="str">
        <f>"9780262282888"</f>
        <v>9780262282888</v>
      </c>
      <c r="G2059" t="str">
        <f>"9780262195577"</f>
        <v>9780262195577</v>
      </c>
      <c r="H2059" t="s">
        <v>304</v>
      </c>
      <c r="I2059" t="s">
        <v>305</v>
      </c>
      <c r="K2059" t="s">
        <v>44</v>
      </c>
      <c r="N2059" t="s">
        <v>45</v>
      </c>
      <c r="O2059" t="s">
        <v>46</v>
      </c>
      <c r="P2059" t="s">
        <v>45</v>
      </c>
      <c r="Q2059" t="s">
        <v>47</v>
      </c>
      <c r="R2059" t="s">
        <v>44</v>
      </c>
      <c r="S2059">
        <v>0</v>
      </c>
      <c r="W2059" s="3">
        <v>3.9351851851851852E-4</v>
      </c>
      <c r="X2059" t="s">
        <v>4478</v>
      </c>
      <c r="Y2059">
        <v>7</v>
      </c>
      <c r="Z2059">
        <v>0</v>
      </c>
      <c r="AA2059" t="s">
        <v>49</v>
      </c>
      <c r="AB2059">
        <v>0</v>
      </c>
      <c r="AC2059" t="s">
        <v>49</v>
      </c>
      <c r="AD2059">
        <v>0</v>
      </c>
      <c r="AE2059">
        <v>10173702</v>
      </c>
      <c r="AF2059" t="s">
        <v>50</v>
      </c>
      <c r="AG2059" t="s">
        <v>118</v>
      </c>
    </row>
    <row r="2060" spans="1:33" x14ac:dyDescent="0.35">
      <c r="A2060" s="1">
        <v>44845.501388888886</v>
      </c>
      <c r="B2060">
        <v>4843079</v>
      </c>
      <c r="C2060" t="s">
        <v>4469</v>
      </c>
      <c r="D2060" t="s">
        <v>59</v>
      </c>
      <c r="E2060" s="2">
        <v>42863</v>
      </c>
      <c r="F2060" t="str">
        <f>"9781119405160"</f>
        <v>9781119405160</v>
      </c>
      <c r="G2060" t="str">
        <f>"9781786301482"</f>
        <v>9781786301482</v>
      </c>
      <c r="H2060" t="s">
        <v>546</v>
      </c>
      <c r="I2060">
        <v>621.38149999999996</v>
      </c>
      <c r="J2060" t="s">
        <v>4470</v>
      </c>
      <c r="K2060" t="s">
        <v>44</v>
      </c>
      <c r="N2060" t="s">
        <v>45</v>
      </c>
      <c r="O2060" t="s">
        <v>46</v>
      </c>
      <c r="P2060" t="s">
        <v>45</v>
      </c>
      <c r="Q2060" t="s">
        <v>47</v>
      </c>
      <c r="R2060" t="s">
        <v>44</v>
      </c>
      <c r="S2060">
        <v>3</v>
      </c>
      <c r="W2060" s="3">
        <v>4.6296296296296294E-5</v>
      </c>
      <c r="X2060" t="s">
        <v>121</v>
      </c>
      <c r="Y2060">
        <v>1</v>
      </c>
      <c r="Z2060">
        <v>0</v>
      </c>
      <c r="AA2060" t="s">
        <v>49</v>
      </c>
      <c r="AB2060">
        <v>0</v>
      </c>
      <c r="AC2060" t="s">
        <v>49</v>
      </c>
      <c r="AD2060">
        <v>0</v>
      </c>
      <c r="AE2060">
        <v>11375315</v>
      </c>
      <c r="AF2060" t="s">
        <v>63</v>
      </c>
      <c r="AG2060" t="s">
        <v>3037</v>
      </c>
    </row>
    <row r="2061" spans="1:33" x14ac:dyDescent="0.35">
      <c r="A2061" s="1">
        <v>44845.496527777781</v>
      </c>
      <c r="B2061">
        <v>279494</v>
      </c>
      <c r="C2061" t="s">
        <v>1333</v>
      </c>
      <c r="D2061" t="s">
        <v>125</v>
      </c>
      <c r="E2061" s="2">
        <v>37280</v>
      </c>
      <c r="F2061" t="str">
        <f>"9780198032953"</f>
        <v>9780198032953</v>
      </c>
      <c r="G2061" t="str">
        <f>"9780195144208"</f>
        <v>9780195144208</v>
      </c>
      <c r="H2061" t="s">
        <v>667</v>
      </c>
      <c r="I2061" t="s">
        <v>1334</v>
      </c>
      <c r="J2061" t="s">
        <v>1335</v>
      </c>
      <c r="K2061" t="s">
        <v>44</v>
      </c>
      <c r="N2061" t="s">
        <v>45</v>
      </c>
      <c r="O2061" t="s">
        <v>46</v>
      </c>
      <c r="P2061" t="s">
        <v>45</v>
      </c>
      <c r="Q2061" t="s">
        <v>47</v>
      </c>
      <c r="R2061" t="s">
        <v>44</v>
      </c>
      <c r="S2061">
        <v>3</v>
      </c>
      <c r="W2061" s="3">
        <v>0</v>
      </c>
      <c r="X2061" t="s">
        <v>49</v>
      </c>
      <c r="Y2061">
        <v>0</v>
      </c>
      <c r="Z2061">
        <v>0</v>
      </c>
      <c r="AA2061" t="s">
        <v>49</v>
      </c>
      <c r="AB2061">
        <v>0</v>
      </c>
      <c r="AC2061" t="s">
        <v>49</v>
      </c>
      <c r="AD2061">
        <v>0</v>
      </c>
      <c r="AE2061">
        <v>11303309</v>
      </c>
      <c r="AF2061" t="s">
        <v>63</v>
      </c>
      <c r="AG2061" t="s">
        <v>1536</v>
      </c>
    </row>
    <row r="2062" spans="1:33" x14ac:dyDescent="0.35">
      <c r="A2062" s="1">
        <v>44845.479166666664</v>
      </c>
      <c r="B2062">
        <v>5829217</v>
      </c>
      <c r="C2062" t="s">
        <v>626</v>
      </c>
      <c r="D2062" t="s">
        <v>627</v>
      </c>
      <c r="E2062" s="2">
        <v>43259</v>
      </c>
      <c r="F2062" t="str">
        <f>"9781496395139"</f>
        <v>9781496395139</v>
      </c>
      <c r="G2062" t="str">
        <f>"9781496335418"</f>
        <v>9781496335418</v>
      </c>
      <c r="H2062" t="s">
        <v>77</v>
      </c>
      <c r="I2062" t="s">
        <v>628</v>
      </c>
      <c r="J2062" t="s">
        <v>629</v>
      </c>
      <c r="K2062" t="s">
        <v>44</v>
      </c>
      <c r="N2062" t="s">
        <v>45</v>
      </c>
      <c r="O2062" t="s">
        <v>46</v>
      </c>
      <c r="P2062" t="s">
        <v>45</v>
      </c>
      <c r="Q2062" t="s">
        <v>47</v>
      </c>
      <c r="R2062" t="s">
        <v>44</v>
      </c>
      <c r="S2062">
        <v>0</v>
      </c>
      <c r="W2062" s="3">
        <v>1.4525462962962964E-2</v>
      </c>
      <c r="X2062" t="s">
        <v>4479</v>
      </c>
      <c r="Y2062">
        <v>20</v>
      </c>
      <c r="Z2062">
        <v>0</v>
      </c>
      <c r="AA2062" t="s">
        <v>49</v>
      </c>
      <c r="AB2062">
        <v>0</v>
      </c>
      <c r="AC2062" t="s">
        <v>49</v>
      </c>
      <c r="AD2062">
        <v>0</v>
      </c>
      <c r="AE2062">
        <v>-1</v>
      </c>
      <c r="AF2062" t="s">
        <v>50</v>
      </c>
      <c r="AG2062" t="s">
        <v>630</v>
      </c>
    </row>
    <row r="2063" spans="1:33" x14ac:dyDescent="0.35">
      <c r="A2063" s="1">
        <v>44845.465277777781</v>
      </c>
      <c r="B2063">
        <v>3338641</v>
      </c>
      <c r="C2063" t="s">
        <v>302</v>
      </c>
      <c r="D2063" t="s">
        <v>303</v>
      </c>
      <c r="E2063" s="2">
        <v>39143</v>
      </c>
      <c r="F2063" t="str">
        <f>"9780262282888"</f>
        <v>9780262282888</v>
      </c>
      <c r="G2063" t="str">
        <f>"9780262195577"</f>
        <v>9780262195577</v>
      </c>
      <c r="H2063" t="s">
        <v>304</v>
      </c>
      <c r="I2063" t="s">
        <v>305</v>
      </c>
      <c r="K2063" t="s">
        <v>44</v>
      </c>
      <c r="N2063" t="s">
        <v>45</v>
      </c>
      <c r="O2063" t="s">
        <v>46</v>
      </c>
      <c r="P2063" t="s">
        <v>45</v>
      </c>
      <c r="Q2063" t="s">
        <v>47</v>
      </c>
      <c r="R2063" t="s">
        <v>44</v>
      </c>
      <c r="S2063">
        <v>0</v>
      </c>
      <c r="W2063" s="3">
        <v>3.8194444444444446E-4</v>
      </c>
      <c r="X2063" t="s">
        <v>4480</v>
      </c>
      <c r="Y2063">
        <v>8</v>
      </c>
      <c r="Z2063">
        <v>0</v>
      </c>
      <c r="AA2063" t="s">
        <v>49</v>
      </c>
      <c r="AB2063">
        <v>0</v>
      </c>
      <c r="AC2063" t="s">
        <v>49</v>
      </c>
      <c r="AD2063">
        <v>0</v>
      </c>
      <c r="AE2063">
        <v>10173702</v>
      </c>
      <c r="AF2063" t="s">
        <v>50</v>
      </c>
      <c r="AG2063" t="s">
        <v>118</v>
      </c>
    </row>
    <row r="2064" spans="1:33" x14ac:dyDescent="0.35">
      <c r="A2064" s="1">
        <v>44845.459027777775</v>
      </c>
      <c r="B2064">
        <v>1085076</v>
      </c>
      <c r="C2064" t="s">
        <v>4481</v>
      </c>
      <c r="D2064" t="s">
        <v>3207</v>
      </c>
      <c r="E2064" s="2">
        <v>41100</v>
      </c>
      <c r="F2064" t="str">
        <f>"9781611682816"</f>
        <v>9781611682816</v>
      </c>
      <c r="G2064" t="str">
        <f>"9781611682793"</f>
        <v>9781611682793</v>
      </c>
      <c r="H2064" t="s">
        <v>2804</v>
      </c>
      <c r="I2064" t="s">
        <v>4482</v>
      </c>
      <c r="J2064" t="s">
        <v>4483</v>
      </c>
      <c r="K2064" t="s">
        <v>44</v>
      </c>
      <c r="N2064" t="s">
        <v>45</v>
      </c>
      <c r="O2064" t="s">
        <v>46</v>
      </c>
      <c r="P2064" t="s">
        <v>45</v>
      </c>
      <c r="Q2064" t="s">
        <v>47</v>
      </c>
      <c r="R2064" t="s">
        <v>44</v>
      </c>
      <c r="S2064">
        <v>0</v>
      </c>
      <c r="W2064" s="3">
        <v>2.5578703703703705E-3</v>
      </c>
      <c r="X2064" t="s">
        <v>121</v>
      </c>
      <c r="Y2064">
        <v>1</v>
      </c>
      <c r="Z2064">
        <v>1</v>
      </c>
      <c r="AA2064" t="s">
        <v>4484</v>
      </c>
      <c r="AB2064">
        <v>96</v>
      </c>
      <c r="AC2064" t="s">
        <v>49</v>
      </c>
      <c r="AD2064">
        <v>0</v>
      </c>
      <c r="AE2064">
        <v>10569256</v>
      </c>
      <c r="AF2064" t="s">
        <v>50</v>
      </c>
      <c r="AG2064" t="s">
        <v>4485</v>
      </c>
    </row>
    <row r="2065" spans="1:33" x14ac:dyDescent="0.35">
      <c r="A2065" s="1">
        <v>44845.454861111109</v>
      </c>
      <c r="B2065">
        <v>3338641</v>
      </c>
      <c r="C2065" t="s">
        <v>302</v>
      </c>
      <c r="D2065" t="s">
        <v>303</v>
      </c>
      <c r="E2065" s="2">
        <v>39143</v>
      </c>
      <c r="F2065" t="str">
        <f>"9780262282888"</f>
        <v>9780262282888</v>
      </c>
      <c r="G2065" t="str">
        <f>"9780262195577"</f>
        <v>9780262195577</v>
      </c>
      <c r="H2065" t="s">
        <v>304</v>
      </c>
      <c r="I2065" t="s">
        <v>305</v>
      </c>
      <c r="K2065" t="s">
        <v>44</v>
      </c>
      <c r="N2065" t="s">
        <v>45</v>
      </c>
      <c r="O2065" t="s">
        <v>46</v>
      </c>
      <c r="P2065" t="s">
        <v>45</v>
      </c>
      <c r="Q2065" t="s">
        <v>47</v>
      </c>
      <c r="R2065" t="s">
        <v>44</v>
      </c>
      <c r="S2065">
        <v>0</v>
      </c>
      <c r="W2065" s="3">
        <v>3.1597222222222222E-3</v>
      </c>
      <c r="X2065" t="s">
        <v>4486</v>
      </c>
      <c r="Y2065">
        <v>27</v>
      </c>
      <c r="Z2065">
        <v>0</v>
      </c>
      <c r="AA2065" t="s">
        <v>49</v>
      </c>
      <c r="AB2065">
        <v>0</v>
      </c>
      <c r="AC2065" t="s">
        <v>49</v>
      </c>
      <c r="AD2065">
        <v>0</v>
      </c>
      <c r="AE2065">
        <v>10173702</v>
      </c>
      <c r="AF2065" t="s">
        <v>50</v>
      </c>
      <c r="AG2065" t="s">
        <v>3975</v>
      </c>
    </row>
    <row r="2066" spans="1:33" x14ac:dyDescent="0.35">
      <c r="A2066" s="1">
        <v>44845.429166666669</v>
      </c>
      <c r="B2066">
        <v>3338641</v>
      </c>
      <c r="C2066" t="s">
        <v>302</v>
      </c>
      <c r="D2066" t="s">
        <v>303</v>
      </c>
      <c r="E2066" s="2">
        <v>39143</v>
      </c>
      <c r="F2066" t="str">
        <f>"9780262282888"</f>
        <v>9780262282888</v>
      </c>
      <c r="G2066" t="str">
        <f>"9780262195577"</f>
        <v>9780262195577</v>
      </c>
      <c r="H2066" t="s">
        <v>304</v>
      </c>
      <c r="I2066" t="s">
        <v>305</v>
      </c>
      <c r="K2066" t="s">
        <v>44</v>
      </c>
      <c r="N2066" t="s">
        <v>45</v>
      </c>
      <c r="O2066" t="s">
        <v>46</v>
      </c>
      <c r="P2066" t="s">
        <v>45</v>
      </c>
      <c r="Q2066" t="s">
        <v>47</v>
      </c>
      <c r="R2066" t="s">
        <v>44</v>
      </c>
      <c r="S2066">
        <v>0</v>
      </c>
      <c r="W2066" s="3">
        <v>2.0231481481481482E-2</v>
      </c>
      <c r="X2066" t="s">
        <v>4487</v>
      </c>
      <c r="Y2066">
        <v>19</v>
      </c>
      <c r="Z2066">
        <v>0</v>
      </c>
      <c r="AA2066" t="s">
        <v>49</v>
      </c>
      <c r="AB2066">
        <v>0</v>
      </c>
      <c r="AC2066" t="s">
        <v>49</v>
      </c>
      <c r="AD2066">
        <v>0</v>
      </c>
      <c r="AE2066">
        <v>10173702</v>
      </c>
      <c r="AF2066" t="s">
        <v>50</v>
      </c>
      <c r="AG2066" t="s">
        <v>1355</v>
      </c>
    </row>
    <row r="2067" spans="1:33" x14ac:dyDescent="0.35">
      <c r="A2067" s="1">
        <v>44845.388194444444</v>
      </c>
      <c r="B2067">
        <v>3338641</v>
      </c>
      <c r="C2067" t="s">
        <v>302</v>
      </c>
      <c r="D2067" t="s">
        <v>303</v>
      </c>
      <c r="E2067" s="2">
        <v>39143</v>
      </c>
      <c r="F2067" t="str">
        <f>"9780262282888"</f>
        <v>9780262282888</v>
      </c>
      <c r="G2067" t="str">
        <f>"9780262195577"</f>
        <v>9780262195577</v>
      </c>
      <c r="H2067" t="s">
        <v>304</v>
      </c>
      <c r="I2067" t="s">
        <v>305</v>
      </c>
      <c r="K2067" t="s">
        <v>44</v>
      </c>
      <c r="N2067" t="s">
        <v>45</v>
      </c>
      <c r="O2067" t="s">
        <v>46</v>
      </c>
      <c r="P2067" t="s">
        <v>45</v>
      </c>
      <c r="Q2067" t="s">
        <v>47</v>
      </c>
      <c r="R2067" t="s">
        <v>44</v>
      </c>
      <c r="S2067">
        <v>0</v>
      </c>
      <c r="W2067" s="3">
        <v>2.8935185185185189E-4</v>
      </c>
      <c r="X2067" t="s">
        <v>4488</v>
      </c>
      <c r="Y2067">
        <v>5</v>
      </c>
      <c r="Z2067">
        <v>0</v>
      </c>
      <c r="AA2067" t="s">
        <v>49</v>
      </c>
      <c r="AB2067">
        <v>0</v>
      </c>
      <c r="AC2067" t="s">
        <v>49</v>
      </c>
      <c r="AD2067">
        <v>0</v>
      </c>
      <c r="AE2067">
        <v>10173702</v>
      </c>
      <c r="AF2067" t="s">
        <v>50</v>
      </c>
      <c r="AG2067" t="s">
        <v>1355</v>
      </c>
    </row>
    <row r="2068" spans="1:33" x14ac:dyDescent="0.35">
      <c r="A2068" s="1">
        <v>44845.352777777778</v>
      </c>
      <c r="B2068">
        <v>6360984</v>
      </c>
      <c r="C2068" t="s">
        <v>4218</v>
      </c>
      <c r="D2068" t="s">
        <v>105</v>
      </c>
      <c r="E2068" s="2">
        <v>44104</v>
      </c>
      <c r="F2068" t="str">
        <f>"9783030483890"</f>
        <v>9783030483890</v>
      </c>
      <c r="G2068" t="str">
        <f>"9783030483883"</f>
        <v>9783030483883</v>
      </c>
      <c r="H2068" t="s">
        <v>43</v>
      </c>
      <c r="I2068">
        <v>510.93</v>
      </c>
      <c r="J2068" t="s">
        <v>4219</v>
      </c>
      <c r="K2068" t="s">
        <v>55</v>
      </c>
      <c r="Q2068" t="s">
        <v>47</v>
      </c>
      <c r="R2068" t="s">
        <v>44</v>
      </c>
      <c r="S2068">
        <v>0</v>
      </c>
      <c r="W2068" s="3">
        <v>9.2592592592592588E-5</v>
      </c>
      <c r="X2068" t="s">
        <v>121</v>
      </c>
      <c r="Y2068">
        <v>1</v>
      </c>
      <c r="Z2068">
        <v>0</v>
      </c>
      <c r="AA2068" t="s">
        <v>49</v>
      </c>
      <c r="AB2068">
        <v>0</v>
      </c>
      <c r="AC2068" t="s">
        <v>49</v>
      </c>
      <c r="AD2068">
        <v>0</v>
      </c>
      <c r="AE2068">
        <v>-1</v>
      </c>
      <c r="AF2068" t="s">
        <v>50</v>
      </c>
      <c r="AG2068" t="s">
        <v>3666</v>
      </c>
    </row>
    <row r="2069" spans="1:33" x14ac:dyDescent="0.35">
      <c r="A2069" s="1">
        <v>44844.984027777777</v>
      </c>
      <c r="B2069">
        <v>3338641</v>
      </c>
      <c r="C2069" t="s">
        <v>302</v>
      </c>
      <c r="D2069" t="s">
        <v>303</v>
      </c>
      <c r="E2069" s="2">
        <v>39143</v>
      </c>
      <c r="F2069" t="str">
        <f>"9780262282888"</f>
        <v>9780262282888</v>
      </c>
      <c r="G2069" t="str">
        <f>"9780262195577"</f>
        <v>9780262195577</v>
      </c>
      <c r="H2069" t="s">
        <v>304</v>
      </c>
      <c r="I2069" t="s">
        <v>305</v>
      </c>
      <c r="K2069" t="s">
        <v>44</v>
      </c>
      <c r="N2069" t="s">
        <v>45</v>
      </c>
      <c r="O2069" t="s">
        <v>46</v>
      </c>
      <c r="P2069" t="s">
        <v>45</v>
      </c>
      <c r="Q2069" t="s">
        <v>47</v>
      </c>
      <c r="R2069" t="s">
        <v>44</v>
      </c>
      <c r="S2069">
        <v>0</v>
      </c>
      <c r="W2069" s="3">
        <v>3.4722222222222222E-5</v>
      </c>
      <c r="X2069" t="s">
        <v>4173</v>
      </c>
      <c r="Y2069">
        <v>1</v>
      </c>
      <c r="Z2069">
        <v>0</v>
      </c>
      <c r="AA2069" t="s">
        <v>49</v>
      </c>
      <c r="AB2069">
        <v>0</v>
      </c>
      <c r="AC2069" t="s">
        <v>49</v>
      </c>
      <c r="AD2069">
        <v>0</v>
      </c>
      <c r="AE2069">
        <v>10173702</v>
      </c>
      <c r="AF2069" t="s">
        <v>50</v>
      </c>
      <c r="AG2069" t="s">
        <v>4489</v>
      </c>
    </row>
    <row r="2070" spans="1:33" x14ac:dyDescent="0.35">
      <c r="A2070" s="1">
        <v>44844.970138888886</v>
      </c>
      <c r="B2070">
        <v>3338641</v>
      </c>
      <c r="C2070" t="s">
        <v>302</v>
      </c>
      <c r="D2070" t="s">
        <v>303</v>
      </c>
      <c r="E2070" s="2">
        <v>39143</v>
      </c>
      <c r="F2070" t="str">
        <f>"9780262282888"</f>
        <v>9780262282888</v>
      </c>
      <c r="G2070" t="str">
        <f>"9780262195577"</f>
        <v>9780262195577</v>
      </c>
      <c r="H2070" t="s">
        <v>304</v>
      </c>
      <c r="I2070" t="s">
        <v>305</v>
      </c>
      <c r="K2070" t="s">
        <v>44</v>
      </c>
      <c r="N2070" t="s">
        <v>45</v>
      </c>
      <c r="O2070" t="s">
        <v>46</v>
      </c>
      <c r="P2070" t="s">
        <v>45</v>
      </c>
      <c r="Q2070" t="s">
        <v>47</v>
      </c>
      <c r="R2070" t="s">
        <v>44</v>
      </c>
      <c r="S2070">
        <v>0</v>
      </c>
      <c r="W2070" s="3">
        <v>4.0439814814814817E-2</v>
      </c>
      <c r="X2070" t="s">
        <v>4490</v>
      </c>
      <c r="Y2070">
        <v>30</v>
      </c>
      <c r="Z2070">
        <v>0</v>
      </c>
      <c r="AA2070" t="s">
        <v>49</v>
      </c>
      <c r="AB2070">
        <v>0</v>
      </c>
      <c r="AC2070" t="s">
        <v>49</v>
      </c>
      <c r="AD2070">
        <v>0</v>
      </c>
      <c r="AE2070">
        <v>10173702</v>
      </c>
      <c r="AF2070" t="s">
        <v>50</v>
      </c>
      <c r="AG2070" t="s">
        <v>4236</v>
      </c>
    </row>
    <row r="2071" spans="1:33" x14ac:dyDescent="0.35">
      <c r="A2071" s="1">
        <v>44844.966666666667</v>
      </c>
      <c r="B2071">
        <v>3338641</v>
      </c>
      <c r="C2071" t="s">
        <v>302</v>
      </c>
      <c r="D2071" t="s">
        <v>303</v>
      </c>
      <c r="E2071" s="2">
        <v>39143</v>
      </c>
      <c r="F2071" t="str">
        <f>"9780262282888"</f>
        <v>9780262282888</v>
      </c>
      <c r="G2071" t="str">
        <f>"9780262195577"</f>
        <v>9780262195577</v>
      </c>
      <c r="H2071" t="s">
        <v>304</v>
      </c>
      <c r="I2071" t="s">
        <v>305</v>
      </c>
      <c r="K2071" t="s">
        <v>44</v>
      </c>
      <c r="N2071" t="s">
        <v>45</v>
      </c>
      <c r="O2071" t="s">
        <v>46</v>
      </c>
      <c r="P2071" t="s">
        <v>45</v>
      </c>
      <c r="Q2071" t="s">
        <v>47</v>
      </c>
      <c r="R2071" t="s">
        <v>44</v>
      </c>
      <c r="S2071">
        <v>0</v>
      </c>
      <c r="W2071" s="3">
        <v>1.273148148148148E-4</v>
      </c>
      <c r="X2071" t="s">
        <v>4491</v>
      </c>
      <c r="Y2071">
        <v>2</v>
      </c>
      <c r="Z2071">
        <v>1</v>
      </c>
      <c r="AA2071" t="s">
        <v>4159</v>
      </c>
      <c r="AB2071">
        <v>26</v>
      </c>
      <c r="AC2071" t="s">
        <v>49</v>
      </c>
      <c r="AD2071">
        <v>0</v>
      </c>
      <c r="AE2071">
        <v>10173702</v>
      </c>
      <c r="AF2071" t="s">
        <v>50</v>
      </c>
      <c r="AG2071" t="s">
        <v>505</v>
      </c>
    </row>
    <row r="2072" spans="1:33" x14ac:dyDescent="0.35">
      <c r="A2072" s="1">
        <v>44844.958333333336</v>
      </c>
      <c r="B2072">
        <v>3338641</v>
      </c>
      <c r="C2072" t="s">
        <v>302</v>
      </c>
      <c r="D2072" t="s">
        <v>303</v>
      </c>
      <c r="E2072" s="2">
        <v>39143</v>
      </c>
      <c r="F2072" t="str">
        <f>"9780262282888"</f>
        <v>9780262282888</v>
      </c>
      <c r="G2072" t="str">
        <f>"9780262195577"</f>
        <v>9780262195577</v>
      </c>
      <c r="H2072" t="s">
        <v>304</v>
      </c>
      <c r="I2072" t="s">
        <v>305</v>
      </c>
      <c r="K2072" t="s">
        <v>44</v>
      </c>
      <c r="N2072" t="s">
        <v>45</v>
      </c>
      <c r="O2072" t="s">
        <v>46</v>
      </c>
      <c r="P2072" t="s">
        <v>45</v>
      </c>
      <c r="Q2072" t="s">
        <v>47</v>
      </c>
      <c r="R2072" t="s">
        <v>44</v>
      </c>
      <c r="S2072">
        <v>0</v>
      </c>
      <c r="W2072" s="3">
        <v>6.5393518518518517E-3</v>
      </c>
      <c r="X2072" t="s">
        <v>4492</v>
      </c>
      <c r="Y2072">
        <v>47</v>
      </c>
      <c r="Z2072">
        <v>3</v>
      </c>
      <c r="AA2072" t="s">
        <v>4493</v>
      </c>
      <c r="AB2072">
        <v>78</v>
      </c>
      <c r="AC2072" t="s">
        <v>49</v>
      </c>
      <c r="AD2072">
        <v>0</v>
      </c>
      <c r="AE2072">
        <v>10173702</v>
      </c>
      <c r="AF2072" t="s">
        <v>50</v>
      </c>
      <c r="AG2072" t="s">
        <v>4489</v>
      </c>
    </row>
    <row r="2073" spans="1:33" x14ac:dyDescent="0.35">
      <c r="A2073" s="1">
        <v>44844.863194444442</v>
      </c>
      <c r="B2073">
        <v>437033</v>
      </c>
      <c r="C2073" t="s">
        <v>4494</v>
      </c>
      <c r="D2073" t="s">
        <v>497</v>
      </c>
      <c r="E2073" s="2">
        <v>38487</v>
      </c>
      <c r="F2073" t="str">
        <f>"9781847144690"</f>
        <v>9781847144690</v>
      </c>
      <c r="G2073" t="str">
        <f>"9781843711315"</f>
        <v>9781843711315</v>
      </c>
      <c r="H2073" t="s">
        <v>60</v>
      </c>
      <c r="I2073">
        <v>658</v>
      </c>
      <c r="J2073" t="s">
        <v>4495</v>
      </c>
      <c r="K2073" t="s">
        <v>44</v>
      </c>
      <c r="N2073" t="s">
        <v>45</v>
      </c>
      <c r="O2073" t="s">
        <v>46</v>
      </c>
      <c r="P2073" t="s">
        <v>45</v>
      </c>
      <c r="Q2073" t="s">
        <v>47</v>
      </c>
      <c r="R2073" t="s">
        <v>44</v>
      </c>
      <c r="S2073">
        <v>0</v>
      </c>
      <c r="W2073" s="3">
        <v>8.2175925925925917E-4</v>
      </c>
      <c r="X2073" t="s">
        <v>4496</v>
      </c>
      <c r="Y2073">
        <v>10</v>
      </c>
      <c r="Z2073">
        <v>0</v>
      </c>
      <c r="AA2073" t="s">
        <v>49</v>
      </c>
      <c r="AB2073">
        <v>0</v>
      </c>
      <c r="AC2073" t="s">
        <v>49</v>
      </c>
      <c r="AD2073">
        <v>0</v>
      </c>
      <c r="AE2073">
        <v>10250700</v>
      </c>
      <c r="AF2073" t="s">
        <v>50</v>
      </c>
      <c r="AG2073" t="s">
        <v>2642</v>
      </c>
    </row>
    <row r="2074" spans="1:33" x14ac:dyDescent="0.35">
      <c r="A2074" s="1">
        <v>44844.723611111112</v>
      </c>
      <c r="B2074">
        <v>693314</v>
      </c>
      <c r="C2074" t="s">
        <v>4497</v>
      </c>
      <c r="D2074" t="s">
        <v>59</v>
      </c>
      <c r="E2074" s="2">
        <v>40805</v>
      </c>
      <c r="F2074" t="str">
        <f>"9781119971016"</f>
        <v>9781119971016</v>
      </c>
      <c r="G2074" t="str">
        <f>"9780470750124"</f>
        <v>9780470750124</v>
      </c>
      <c r="H2074" t="s">
        <v>579</v>
      </c>
      <c r="I2074">
        <v>629.47400000000005</v>
      </c>
      <c r="J2074" t="s">
        <v>4498</v>
      </c>
      <c r="K2074" t="s">
        <v>55</v>
      </c>
      <c r="N2074" t="s">
        <v>79</v>
      </c>
      <c r="P2074" t="s">
        <v>80</v>
      </c>
      <c r="Q2074" t="s">
        <v>47</v>
      </c>
      <c r="R2074" t="s">
        <v>44</v>
      </c>
      <c r="S2074">
        <v>0</v>
      </c>
      <c r="W2074" s="3">
        <v>1.8055555555555557E-3</v>
      </c>
      <c r="X2074" t="s">
        <v>4499</v>
      </c>
      <c r="Y2074">
        <v>16</v>
      </c>
      <c r="Z2074">
        <v>0</v>
      </c>
      <c r="AA2074" t="s">
        <v>49</v>
      </c>
      <c r="AB2074">
        <v>0</v>
      </c>
      <c r="AC2074" t="s">
        <v>49</v>
      </c>
      <c r="AD2074">
        <v>0</v>
      </c>
      <c r="AE2074">
        <v>10494538</v>
      </c>
      <c r="AF2074" t="s">
        <v>50</v>
      </c>
      <c r="AG2074" t="s">
        <v>118</v>
      </c>
    </row>
    <row r="2075" spans="1:33" x14ac:dyDescent="0.35">
      <c r="A2075" s="1">
        <v>44844.718055555553</v>
      </c>
      <c r="B2075">
        <v>279494</v>
      </c>
      <c r="C2075" t="s">
        <v>1333</v>
      </c>
      <c r="D2075" t="s">
        <v>125</v>
      </c>
      <c r="E2075" s="2">
        <v>37280</v>
      </c>
      <c r="F2075" t="str">
        <f>"9780198032953"</f>
        <v>9780198032953</v>
      </c>
      <c r="G2075" t="str">
        <f>"9780195144208"</f>
        <v>9780195144208</v>
      </c>
      <c r="H2075" t="s">
        <v>667</v>
      </c>
      <c r="I2075" t="s">
        <v>1334</v>
      </c>
      <c r="J2075" t="s">
        <v>1335</v>
      </c>
      <c r="K2075" t="s">
        <v>44</v>
      </c>
      <c r="N2075" t="s">
        <v>45</v>
      </c>
      <c r="O2075" t="s">
        <v>46</v>
      </c>
      <c r="P2075" t="s">
        <v>45</v>
      </c>
      <c r="Q2075" t="s">
        <v>47</v>
      </c>
      <c r="R2075" t="s">
        <v>44</v>
      </c>
      <c r="S2075">
        <v>0</v>
      </c>
      <c r="W2075" s="3">
        <v>9.3634259259259261E-3</v>
      </c>
      <c r="X2075" t="s">
        <v>4500</v>
      </c>
      <c r="Y2075">
        <v>15</v>
      </c>
      <c r="Z2075">
        <v>0</v>
      </c>
      <c r="AA2075" t="s">
        <v>49</v>
      </c>
      <c r="AB2075">
        <v>0</v>
      </c>
      <c r="AC2075" t="s">
        <v>49</v>
      </c>
      <c r="AD2075">
        <v>0</v>
      </c>
      <c r="AE2075">
        <v>11303309</v>
      </c>
      <c r="AF2075" t="s">
        <v>50</v>
      </c>
      <c r="AG2075" t="s">
        <v>4501</v>
      </c>
    </row>
    <row r="2076" spans="1:33" x14ac:dyDescent="0.35">
      <c r="A2076" s="1">
        <v>44844.701388888891</v>
      </c>
      <c r="B2076">
        <v>6126757</v>
      </c>
      <c r="C2076" t="s">
        <v>4502</v>
      </c>
      <c r="D2076" t="s">
        <v>105</v>
      </c>
      <c r="E2076" s="2">
        <v>43894</v>
      </c>
      <c r="F2076" t="str">
        <f>"9783030423636"</f>
        <v>9783030423636</v>
      </c>
      <c r="G2076" t="str">
        <f>"9783030423629"</f>
        <v>9783030423629</v>
      </c>
      <c r="H2076" t="s">
        <v>4503</v>
      </c>
      <c r="I2076">
        <v>338.06</v>
      </c>
      <c r="J2076" t="s">
        <v>107</v>
      </c>
      <c r="K2076" t="s">
        <v>55</v>
      </c>
      <c r="Q2076" t="s">
        <v>47</v>
      </c>
      <c r="R2076" t="s">
        <v>44</v>
      </c>
      <c r="S2076">
        <v>0</v>
      </c>
      <c r="W2076" s="3">
        <v>1.5740740740740741E-3</v>
      </c>
      <c r="X2076" t="s">
        <v>4504</v>
      </c>
      <c r="Y2076">
        <v>11</v>
      </c>
      <c r="Z2076">
        <v>0</v>
      </c>
      <c r="AA2076" t="s">
        <v>49</v>
      </c>
      <c r="AB2076">
        <v>0</v>
      </c>
      <c r="AC2076" t="s">
        <v>49</v>
      </c>
      <c r="AD2076">
        <v>0</v>
      </c>
      <c r="AE2076">
        <v>-1</v>
      </c>
      <c r="AF2076" t="s">
        <v>63</v>
      </c>
      <c r="AG2076" t="s">
        <v>118</v>
      </c>
    </row>
    <row r="2077" spans="1:33" x14ac:dyDescent="0.35">
      <c r="A2077" s="1">
        <v>44844.642361111109</v>
      </c>
      <c r="B2077">
        <v>3338641</v>
      </c>
      <c r="C2077" t="s">
        <v>302</v>
      </c>
      <c r="D2077" t="s">
        <v>303</v>
      </c>
      <c r="E2077" s="2">
        <v>39143</v>
      </c>
      <c r="F2077" t="str">
        <f>"9780262282888"</f>
        <v>9780262282888</v>
      </c>
      <c r="G2077" t="str">
        <f>"9780262195577"</f>
        <v>9780262195577</v>
      </c>
      <c r="H2077" t="s">
        <v>304</v>
      </c>
      <c r="I2077" t="s">
        <v>305</v>
      </c>
      <c r="K2077" t="s">
        <v>44</v>
      </c>
      <c r="N2077" t="s">
        <v>45</v>
      </c>
      <c r="O2077" t="s">
        <v>46</v>
      </c>
      <c r="P2077" t="s">
        <v>45</v>
      </c>
      <c r="Q2077" t="s">
        <v>47</v>
      </c>
      <c r="R2077" t="s">
        <v>44</v>
      </c>
      <c r="S2077">
        <v>0</v>
      </c>
      <c r="W2077" s="3">
        <v>1.4918981481481483E-2</v>
      </c>
      <c r="X2077" t="s">
        <v>4505</v>
      </c>
      <c r="Y2077">
        <v>31</v>
      </c>
      <c r="Z2077">
        <v>0</v>
      </c>
      <c r="AA2077" t="s">
        <v>49</v>
      </c>
      <c r="AB2077">
        <v>0</v>
      </c>
      <c r="AC2077" t="s">
        <v>49</v>
      </c>
      <c r="AD2077">
        <v>0</v>
      </c>
      <c r="AE2077">
        <v>10173702</v>
      </c>
      <c r="AF2077" t="s">
        <v>63</v>
      </c>
      <c r="AG2077" t="s">
        <v>3975</v>
      </c>
    </row>
    <row r="2078" spans="1:33" x14ac:dyDescent="0.35">
      <c r="A2078" s="1">
        <v>44844.584027777775</v>
      </c>
      <c r="B2078">
        <v>1720835</v>
      </c>
      <c r="C2078" t="s">
        <v>2073</v>
      </c>
      <c r="D2078" t="s">
        <v>633</v>
      </c>
      <c r="E2078" s="2">
        <v>41729</v>
      </c>
      <c r="F2078" t="str">
        <f>"9781614993810"</f>
        <v>9781614993810</v>
      </c>
      <c r="G2078" t="str">
        <f>"9781614993803"</f>
        <v>9781614993803</v>
      </c>
      <c r="H2078" t="s">
        <v>138</v>
      </c>
      <c r="K2078" t="s">
        <v>44</v>
      </c>
      <c r="N2078" t="s">
        <v>45</v>
      </c>
      <c r="O2078" t="s">
        <v>46</v>
      </c>
      <c r="P2078" t="s">
        <v>177</v>
      </c>
      <c r="Q2078" t="s">
        <v>47</v>
      </c>
      <c r="R2078" t="s">
        <v>55</v>
      </c>
      <c r="S2078">
        <v>1</v>
      </c>
      <c r="W2078" s="3">
        <v>0</v>
      </c>
      <c r="X2078" t="s">
        <v>49</v>
      </c>
      <c r="Y2078">
        <v>0</v>
      </c>
      <c r="Z2078">
        <v>0</v>
      </c>
      <c r="AA2078" t="s">
        <v>49</v>
      </c>
      <c r="AB2078">
        <v>0</v>
      </c>
      <c r="AC2078" t="s">
        <v>49</v>
      </c>
      <c r="AD2078">
        <v>0</v>
      </c>
      <c r="AE2078">
        <v>10898080</v>
      </c>
      <c r="AF2078" t="s">
        <v>63</v>
      </c>
      <c r="AG2078" t="s">
        <v>118</v>
      </c>
    </row>
    <row r="2079" spans="1:33" x14ac:dyDescent="0.35">
      <c r="A2079" s="1">
        <v>44844.529166666667</v>
      </c>
      <c r="B2079">
        <v>817383</v>
      </c>
      <c r="C2079" t="s">
        <v>3756</v>
      </c>
      <c r="D2079" t="s">
        <v>59</v>
      </c>
      <c r="E2079" s="2">
        <v>40967</v>
      </c>
      <c r="F2079" t="str">
        <f>"9781118159828"</f>
        <v>9781118159828</v>
      </c>
      <c r="G2079" t="str">
        <f>"9780470889084"</f>
        <v>9780470889084</v>
      </c>
      <c r="H2079" t="s">
        <v>252</v>
      </c>
      <c r="I2079" t="s">
        <v>3757</v>
      </c>
      <c r="J2079" t="s">
        <v>3758</v>
      </c>
      <c r="K2079" t="s">
        <v>44</v>
      </c>
      <c r="N2079" t="s">
        <v>45</v>
      </c>
      <c r="O2079" t="s">
        <v>46</v>
      </c>
      <c r="P2079" t="s">
        <v>45</v>
      </c>
      <c r="Q2079" t="s">
        <v>47</v>
      </c>
      <c r="R2079" t="s">
        <v>44</v>
      </c>
      <c r="S2079">
        <v>0</v>
      </c>
      <c r="W2079" s="3">
        <v>2.7777777777777778E-4</v>
      </c>
      <c r="X2079" t="s">
        <v>205</v>
      </c>
      <c r="Y2079">
        <v>2</v>
      </c>
      <c r="Z2079">
        <v>0</v>
      </c>
      <c r="AA2079" t="s">
        <v>49</v>
      </c>
      <c r="AB2079">
        <v>0</v>
      </c>
      <c r="AC2079" t="s">
        <v>49</v>
      </c>
      <c r="AD2079">
        <v>0</v>
      </c>
      <c r="AE2079">
        <v>10529338</v>
      </c>
      <c r="AF2079" t="s">
        <v>50</v>
      </c>
      <c r="AG2079" t="s">
        <v>4379</v>
      </c>
    </row>
    <row r="2080" spans="1:33" x14ac:dyDescent="0.35">
      <c r="A2080" s="1">
        <v>44844.519444444442</v>
      </c>
      <c r="B2080">
        <v>5829217</v>
      </c>
      <c r="C2080" t="s">
        <v>626</v>
      </c>
      <c r="D2080" t="s">
        <v>627</v>
      </c>
      <c r="E2080" s="2">
        <v>43259</v>
      </c>
      <c r="F2080" t="str">
        <f>"9781496395139"</f>
        <v>9781496395139</v>
      </c>
      <c r="G2080" t="str">
        <f>"9781496335418"</f>
        <v>9781496335418</v>
      </c>
      <c r="H2080" t="s">
        <v>77</v>
      </c>
      <c r="I2080" t="s">
        <v>628</v>
      </c>
      <c r="J2080" t="s">
        <v>629</v>
      </c>
      <c r="K2080" t="s">
        <v>44</v>
      </c>
      <c r="N2080" t="s">
        <v>45</v>
      </c>
      <c r="O2080" t="s">
        <v>46</v>
      </c>
      <c r="P2080" t="s">
        <v>45</v>
      </c>
      <c r="Q2080" t="s">
        <v>47</v>
      </c>
      <c r="R2080" t="s">
        <v>44</v>
      </c>
      <c r="S2080">
        <v>0</v>
      </c>
      <c r="W2080" s="3">
        <v>1.0231481481481482E-2</v>
      </c>
      <c r="X2080" t="s">
        <v>4506</v>
      </c>
      <c r="Y2080">
        <v>12</v>
      </c>
      <c r="Z2080">
        <v>0</v>
      </c>
      <c r="AA2080" t="s">
        <v>49</v>
      </c>
      <c r="AB2080">
        <v>0</v>
      </c>
      <c r="AC2080" t="s">
        <v>49</v>
      </c>
      <c r="AD2080">
        <v>0</v>
      </c>
      <c r="AE2080">
        <v>-1</v>
      </c>
      <c r="AF2080" t="s">
        <v>50</v>
      </c>
      <c r="AG2080" t="s">
        <v>630</v>
      </c>
    </row>
    <row r="2081" spans="1:33" x14ac:dyDescent="0.35">
      <c r="A2081" s="1">
        <v>44844.509722222225</v>
      </c>
      <c r="B2081">
        <v>1170693</v>
      </c>
      <c r="C2081" t="s">
        <v>4507</v>
      </c>
      <c r="D2081" t="s">
        <v>59</v>
      </c>
      <c r="E2081" s="2">
        <v>41400</v>
      </c>
      <c r="F2081" t="str">
        <f>"9781118600290"</f>
        <v>9781118600290</v>
      </c>
      <c r="G2081" t="str">
        <f>"9781118390092"</f>
        <v>9781118390092</v>
      </c>
      <c r="H2081" t="s">
        <v>90</v>
      </c>
      <c r="I2081">
        <v>378.19799999999998</v>
      </c>
      <c r="J2081" t="s">
        <v>4508</v>
      </c>
      <c r="K2081" t="s">
        <v>44</v>
      </c>
      <c r="N2081" t="s">
        <v>45</v>
      </c>
      <c r="O2081" t="s">
        <v>46</v>
      </c>
      <c r="P2081" t="s">
        <v>45</v>
      </c>
      <c r="Q2081" t="s">
        <v>47</v>
      </c>
      <c r="R2081" t="s">
        <v>44</v>
      </c>
      <c r="S2081">
        <v>0</v>
      </c>
      <c r="W2081" s="3">
        <v>1.8518518518518518E-4</v>
      </c>
      <c r="X2081" t="s">
        <v>4509</v>
      </c>
      <c r="Y2081">
        <v>5</v>
      </c>
      <c r="Z2081">
        <v>0</v>
      </c>
      <c r="AA2081" t="s">
        <v>49</v>
      </c>
      <c r="AB2081">
        <v>0</v>
      </c>
      <c r="AC2081" t="s">
        <v>49</v>
      </c>
      <c r="AD2081">
        <v>0</v>
      </c>
      <c r="AE2081">
        <v>10690352</v>
      </c>
      <c r="AF2081" t="s">
        <v>50</v>
      </c>
      <c r="AG2081" t="s">
        <v>3528</v>
      </c>
    </row>
    <row r="2082" spans="1:33" x14ac:dyDescent="0.35">
      <c r="A2082" s="1">
        <v>44844.506944444445</v>
      </c>
      <c r="B2082">
        <v>3338641</v>
      </c>
      <c r="C2082" t="s">
        <v>302</v>
      </c>
      <c r="D2082" t="s">
        <v>303</v>
      </c>
      <c r="E2082" s="2">
        <v>39143</v>
      </c>
      <c r="F2082" t="str">
        <f>"9780262282888"</f>
        <v>9780262282888</v>
      </c>
      <c r="G2082" t="str">
        <f>"9780262195577"</f>
        <v>9780262195577</v>
      </c>
      <c r="H2082" t="s">
        <v>304</v>
      </c>
      <c r="I2082" t="s">
        <v>305</v>
      </c>
      <c r="K2082" t="s">
        <v>44</v>
      </c>
      <c r="N2082" t="s">
        <v>45</v>
      </c>
      <c r="O2082" t="s">
        <v>46</v>
      </c>
      <c r="P2082" t="s">
        <v>45</v>
      </c>
      <c r="Q2082" t="s">
        <v>47</v>
      </c>
      <c r="R2082" t="s">
        <v>44</v>
      </c>
      <c r="S2082">
        <v>0</v>
      </c>
      <c r="W2082" s="3">
        <v>1.3321759259259261E-2</v>
      </c>
      <c r="X2082" t="s">
        <v>4510</v>
      </c>
      <c r="Y2082">
        <v>12</v>
      </c>
      <c r="Z2082">
        <v>0</v>
      </c>
      <c r="AA2082" t="s">
        <v>49</v>
      </c>
      <c r="AB2082">
        <v>0</v>
      </c>
      <c r="AC2082" t="s">
        <v>49</v>
      </c>
      <c r="AD2082">
        <v>0</v>
      </c>
      <c r="AE2082">
        <v>10173702</v>
      </c>
      <c r="AF2082" t="s">
        <v>50</v>
      </c>
      <c r="AG2082" t="s">
        <v>3975</v>
      </c>
    </row>
    <row r="2083" spans="1:33" x14ac:dyDescent="0.35">
      <c r="A2083" s="1">
        <v>44844.500694444447</v>
      </c>
      <c r="B2083">
        <v>6639090</v>
      </c>
      <c r="C2083" t="s">
        <v>4511</v>
      </c>
      <c r="D2083" t="s">
        <v>137</v>
      </c>
      <c r="E2083" s="2">
        <v>44368</v>
      </c>
      <c r="F2083" t="str">
        <f>"9781536198003"</f>
        <v>9781536198003</v>
      </c>
      <c r="G2083" t="str">
        <f>"9781536197563"</f>
        <v>9781536197563</v>
      </c>
      <c r="H2083" t="s">
        <v>100</v>
      </c>
      <c r="I2083">
        <v>620.10640000000001</v>
      </c>
      <c r="J2083" t="s">
        <v>4512</v>
      </c>
      <c r="K2083" t="s">
        <v>55</v>
      </c>
      <c r="Q2083" t="s">
        <v>47</v>
      </c>
      <c r="R2083" t="s">
        <v>44</v>
      </c>
      <c r="S2083">
        <v>0</v>
      </c>
      <c r="W2083" s="3">
        <v>4.3981481481481481E-4</v>
      </c>
      <c r="X2083" t="s">
        <v>4513</v>
      </c>
      <c r="Y2083">
        <v>4</v>
      </c>
      <c r="Z2083">
        <v>0</v>
      </c>
      <c r="AA2083" t="s">
        <v>49</v>
      </c>
      <c r="AB2083">
        <v>0</v>
      </c>
      <c r="AC2083" t="s">
        <v>49</v>
      </c>
      <c r="AD2083">
        <v>0</v>
      </c>
      <c r="AE2083">
        <v>-1</v>
      </c>
      <c r="AF2083" t="s">
        <v>50</v>
      </c>
      <c r="AG2083" t="s">
        <v>1536</v>
      </c>
    </row>
    <row r="2084" spans="1:33" x14ac:dyDescent="0.35">
      <c r="A2084" s="1">
        <v>44844.497916666667</v>
      </c>
      <c r="B2084">
        <v>5214859</v>
      </c>
      <c r="C2084" t="s">
        <v>4514</v>
      </c>
      <c r="D2084" t="s">
        <v>430</v>
      </c>
      <c r="E2084" s="2">
        <v>41153</v>
      </c>
      <c r="F2084" t="str">
        <f>"9781783320387"</f>
        <v>9781783320387</v>
      </c>
      <c r="G2084" t="str">
        <f>"9781842657386"</f>
        <v>9781842657386</v>
      </c>
      <c r="H2084" t="s">
        <v>925</v>
      </c>
      <c r="I2084">
        <v>620.10640000000001</v>
      </c>
      <c r="J2084" t="s">
        <v>4515</v>
      </c>
      <c r="K2084" t="s">
        <v>44</v>
      </c>
      <c r="N2084" t="s">
        <v>45</v>
      </c>
      <c r="O2084" t="s">
        <v>46</v>
      </c>
      <c r="P2084" t="s">
        <v>45</v>
      </c>
      <c r="Q2084" t="s">
        <v>47</v>
      </c>
      <c r="R2084" t="s">
        <v>44</v>
      </c>
      <c r="S2084">
        <v>0</v>
      </c>
      <c r="W2084" s="3">
        <v>1.9560185185185184E-3</v>
      </c>
      <c r="X2084" t="s">
        <v>4516</v>
      </c>
      <c r="Y2084">
        <v>26</v>
      </c>
      <c r="Z2084">
        <v>0</v>
      </c>
      <c r="AA2084" t="s">
        <v>49</v>
      </c>
      <c r="AB2084">
        <v>0</v>
      </c>
      <c r="AC2084" t="s">
        <v>49</v>
      </c>
      <c r="AD2084">
        <v>0</v>
      </c>
      <c r="AE2084">
        <v>11495806</v>
      </c>
      <c r="AF2084" t="s">
        <v>50</v>
      </c>
      <c r="AG2084" t="s">
        <v>1536</v>
      </c>
    </row>
    <row r="2085" spans="1:33" x14ac:dyDescent="0.35">
      <c r="A2085" s="1">
        <v>44844.454861111109</v>
      </c>
      <c r="B2085">
        <v>3338641</v>
      </c>
      <c r="C2085" t="s">
        <v>302</v>
      </c>
      <c r="D2085" t="s">
        <v>303</v>
      </c>
      <c r="E2085" s="2">
        <v>39143</v>
      </c>
      <c r="F2085" t="str">
        <f>"9780262282888"</f>
        <v>9780262282888</v>
      </c>
      <c r="G2085" t="str">
        <f>"9780262195577"</f>
        <v>9780262195577</v>
      </c>
      <c r="H2085" t="s">
        <v>304</v>
      </c>
      <c r="I2085" t="s">
        <v>305</v>
      </c>
      <c r="K2085" t="s">
        <v>44</v>
      </c>
      <c r="N2085" t="s">
        <v>45</v>
      </c>
      <c r="O2085" t="s">
        <v>46</v>
      </c>
      <c r="P2085" t="s">
        <v>45</v>
      </c>
      <c r="Q2085" t="s">
        <v>47</v>
      </c>
      <c r="R2085" t="s">
        <v>44</v>
      </c>
      <c r="S2085">
        <v>0</v>
      </c>
      <c r="W2085" s="3">
        <v>7.5231481481481471E-4</v>
      </c>
      <c r="X2085" t="s">
        <v>4517</v>
      </c>
      <c r="Y2085">
        <v>11</v>
      </c>
      <c r="Z2085">
        <v>0</v>
      </c>
      <c r="AA2085" t="s">
        <v>49</v>
      </c>
      <c r="AB2085">
        <v>0</v>
      </c>
      <c r="AC2085" t="s">
        <v>49</v>
      </c>
      <c r="AD2085">
        <v>0</v>
      </c>
      <c r="AE2085">
        <v>10173702</v>
      </c>
      <c r="AF2085" t="s">
        <v>63</v>
      </c>
      <c r="AG2085" t="s">
        <v>3975</v>
      </c>
    </row>
    <row r="2086" spans="1:33" x14ac:dyDescent="0.35">
      <c r="A2086" s="1">
        <v>44844.444444444445</v>
      </c>
      <c r="B2086">
        <v>4183127</v>
      </c>
      <c r="C2086" t="s">
        <v>190</v>
      </c>
      <c r="D2086" t="s">
        <v>59</v>
      </c>
      <c r="E2086" s="2">
        <v>42310</v>
      </c>
      <c r="F2086" t="str">
        <f>"9783527684649"</f>
        <v>9783527684649</v>
      </c>
      <c r="G2086" t="str">
        <f>"9783527331659"</f>
        <v>9783527331659</v>
      </c>
      <c r="H2086" t="s">
        <v>191</v>
      </c>
      <c r="I2086" t="s">
        <v>192</v>
      </c>
      <c r="J2086" t="s">
        <v>193</v>
      </c>
      <c r="K2086" t="s">
        <v>44</v>
      </c>
      <c r="N2086" t="s">
        <v>45</v>
      </c>
      <c r="O2086" t="s">
        <v>46</v>
      </c>
      <c r="P2086" t="s">
        <v>45</v>
      </c>
      <c r="Q2086" t="s">
        <v>47</v>
      </c>
      <c r="R2086" t="s">
        <v>44</v>
      </c>
      <c r="S2086">
        <v>0</v>
      </c>
      <c r="W2086" s="3">
        <v>6.9444444444444444E-5</v>
      </c>
      <c r="X2086" t="s">
        <v>196</v>
      </c>
      <c r="Y2086">
        <v>2</v>
      </c>
      <c r="Z2086">
        <v>0</v>
      </c>
      <c r="AA2086" t="s">
        <v>49</v>
      </c>
      <c r="AB2086">
        <v>0</v>
      </c>
      <c r="AC2086" t="s">
        <v>49</v>
      </c>
      <c r="AD2086">
        <v>0</v>
      </c>
      <c r="AE2086">
        <v>11125579</v>
      </c>
      <c r="AF2086" t="s">
        <v>50</v>
      </c>
      <c r="AG2086" t="s">
        <v>1536</v>
      </c>
    </row>
    <row r="2087" spans="1:33" x14ac:dyDescent="0.35">
      <c r="A2087" s="1">
        <v>44844.060416666667</v>
      </c>
      <c r="B2087">
        <v>4183127</v>
      </c>
      <c r="C2087" t="s">
        <v>190</v>
      </c>
      <c r="D2087" t="s">
        <v>59</v>
      </c>
      <c r="E2087" s="2">
        <v>42310</v>
      </c>
      <c r="F2087" t="str">
        <f>"9783527684649"</f>
        <v>9783527684649</v>
      </c>
      <c r="G2087" t="str">
        <f>"9783527331659"</f>
        <v>9783527331659</v>
      </c>
      <c r="H2087" t="s">
        <v>191</v>
      </c>
      <c r="I2087" t="s">
        <v>192</v>
      </c>
      <c r="J2087" t="s">
        <v>193</v>
      </c>
      <c r="K2087" t="s">
        <v>44</v>
      </c>
      <c r="N2087" t="s">
        <v>45</v>
      </c>
      <c r="O2087" t="s">
        <v>46</v>
      </c>
      <c r="P2087" t="s">
        <v>45</v>
      </c>
      <c r="Q2087" t="s">
        <v>47</v>
      </c>
      <c r="R2087" t="s">
        <v>44</v>
      </c>
      <c r="S2087">
        <v>0</v>
      </c>
      <c r="W2087" s="3">
        <v>4.5138888888888892E-4</v>
      </c>
      <c r="X2087" t="s">
        <v>4518</v>
      </c>
      <c r="Y2087">
        <v>4</v>
      </c>
      <c r="Z2087">
        <v>0</v>
      </c>
      <c r="AA2087" t="s">
        <v>49</v>
      </c>
      <c r="AB2087">
        <v>0</v>
      </c>
      <c r="AC2087" t="s">
        <v>49</v>
      </c>
      <c r="AD2087">
        <v>0</v>
      </c>
      <c r="AE2087">
        <v>11125579</v>
      </c>
      <c r="AF2087" t="s">
        <v>50</v>
      </c>
      <c r="AG2087" t="s">
        <v>4241</v>
      </c>
    </row>
    <row r="2088" spans="1:33" x14ac:dyDescent="0.35">
      <c r="A2088" s="1">
        <v>44843.959722222222</v>
      </c>
      <c r="B2088">
        <v>3338641</v>
      </c>
      <c r="C2088" t="s">
        <v>302</v>
      </c>
      <c r="D2088" t="s">
        <v>303</v>
      </c>
      <c r="E2088" s="2">
        <v>39143</v>
      </c>
      <c r="F2088" t="str">
        <f>"9780262282888"</f>
        <v>9780262282888</v>
      </c>
      <c r="G2088" t="str">
        <f>"9780262195577"</f>
        <v>9780262195577</v>
      </c>
      <c r="H2088" t="s">
        <v>304</v>
      </c>
      <c r="I2088" t="s">
        <v>305</v>
      </c>
      <c r="K2088" t="s">
        <v>44</v>
      </c>
      <c r="N2088" t="s">
        <v>45</v>
      </c>
      <c r="O2088" t="s">
        <v>46</v>
      </c>
      <c r="P2088" t="s">
        <v>45</v>
      </c>
      <c r="Q2088" t="s">
        <v>47</v>
      </c>
      <c r="R2088" t="s">
        <v>44</v>
      </c>
      <c r="S2088">
        <v>0</v>
      </c>
      <c r="W2088" s="3">
        <v>2.8009259259259259E-3</v>
      </c>
      <c r="X2088" t="s">
        <v>4519</v>
      </c>
      <c r="Y2088">
        <v>9</v>
      </c>
      <c r="Z2088">
        <v>0</v>
      </c>
      <c r="AA2088" t="s">
        <v>49</v>
      </c>
      <c r="AB2088">
        <v>0</v>
      </c>
      <c r="AC2088" t="s">
        <v>49</v>
      </c>
      <c r="AD2088">
        <v>0</v>
      </c>
      <c r="AE2088">
        <v>10173702</v>
      </c>
      <c r="AF2088" t="s">
        <v>63</v>
      </c>
      <c r="AG2088" t="s">
        <v>4520</v>
      </c>
    </row>
    <row r="2089" spans="1:33" x14ac:dyDescent="0.35">
      <c r="A2089" s="1">
        <v>44843.907638888886</v>
      </c>
      <c r="B2089">
        <v>3338641</v>
      </c>
      <c r="C2089" t="s">
        <v>302</v>
      </c>
      <c r="D2089" t="s">
        <v>303</v>
      </c>
      <c r="E2089" s="2">
        <v>39143</v>
      </c>
      <c r="F2089" t="str">
        <f>"9780262282888"</f>
        <v>9780262282888</v>
      </c>
      <c r="G2089" t="str">
        <f>"9780262195577"</f>
        <v>9780262195577</v>
      </c>
      <c r="H2089" t="s">
        <v>304</v>
      </c>
      <c r="I2089" t="s">
        <v>305</v>
      </c>
      <c r="K2089" t="s">
        <v>44</v>
      </c>
      <c r="N2089" t="s">
        <v>45</v>
      </c>
      <c r="O2089" t="s">
        <v>46</v>
      </c>
      <c r="P2089" t="s">
        <v>45</v>
      </c>
      <c r="Q2089" t="s">
        <v>47</v>
      </c>
      <c r="R2089" t="s">
        <v>44</v>
      </c>
      <c r="S2089">
        <v>0</v>
      </c>
      <c r="W2089" s="3">
        <v>2.4594907407407409E-2</v>
      </c>
      <c r="X2089" t="s">
        <v>4521</v>
      </c>
      <c r="Y2089">
        <v>16</v>
      </c>
      <c r="Z2089">
        <v>0</v>
      </c>
      <c r="AA2089" t="s">
        <v>49</v>
      </c>
      <c r="AB2089">
        <v>0</v>
      </c>
      <c r="AC2089" t="s">
        <v>49</v>
      </c>
      <c r="AD2089">
        <v>0</v>
      </c>
      <c r="AE2089">
        <v>10173702</v>
      </c>
      <c r="AF2089" t="s">
        <v>63</v>
      </c>
      <c r="AG2089" t="s">
        <v>3666</v>
      </c>
    </row>
    <row r="2090" spans="1:33" x14ac:dyDescent="0.35">
      <c r="A2090" s="1">
        <v>44843.855555555558</v>
      </c>
      <c r="B2090">
        <v>1643810</v>
      </c>
      <c r="C2090" t="s">
        <v>3487</v>
      </c>
      <c r="D2090" t="s">
        <v>59</v>
      </c>
      <c r="E2090" s="2">
        <v>41743</v>
      </c>
      <c r="F2090" t="str">
        <f>"9781118653890"</f>
        <v>9781118653890</v>
      </c>
      <c r="G2090" t="str">
        <f>"9781119968603"</f>
        <v>9781119968603</v>
      </c>
      <c r="H2090" t="s">
        <v>151</v>
      </c>
      <c r="I2090">
        <v>616.85220000000004</v>
      </c>
      <c r="J2090" t="s">
        <v>3488</v>
      </c>
      <c r="K2090" t="s">
        <v>44</v>
      </c>
      <c r="N2090" t="s">
        <v>45</v>
      </c>
      <c r="O2090" t="s">
        <v>46</v>
      </c>
      <c r="P2090" t="s">
        <v>45</v>
      </c>
      <c r="Q2090" t="s">
        <v>47</v>
      </c>
      <c r="R2090" t="s">
        <v>44</v>
      </c>
      <c r="S2090">
        <v>0</v>
      </c>
      <c r="W2090" s="3">
        <v>7.291666666666667E-4</v>
      </c>
      <c r="X2090" t="s">
        <v>4522</v>
      </c>
      <c r="Y2090">
        <v>3</v>
      </c>
      <c r="Z2090">
        <v>0</v>
      </c>
      <c r="AA2090" t="s">
        <v>49</v>
      </c>
      <c r="AB2090">
        <v>0</v>
      </c>
      <c r="AC2090" t="s">
        <v>49</v>
      </c>
      <c r="AD2090">
        <v>0</v>
      </c>
      <c r="AE2090">
        <v>10856787</v>
      </c>
      <c r="AF2090" t="s">
        <v>50</v>
      </c>
      <c r="AG2090" t="s">
        <v>300</v>
      </c>
    </row>
    <row r="2091" spans="1:33" x14ac:dyDescent="0.35">
      <c r="A2091" s="1">
        <v>44843.830555555556</v>
      </c>
      <c r="B2091">
        <v>1643810</v>
      </c>
      <c r="C2091" t="s">
        <v>3487</v>
      </c>
      <c r="D2091" t="s">
        <v>59</v>
      </c>
      <c r="E2091" s="2">
        <v>41743</v>
      </c>
      <c r="F2091" t="str">
        <f>"9781118653890"</f>
        <v>9781118653890</v>
      </c>
      <c r="G2091" t="str">
        <f>"9781119968603"</f>
        <v>9781119968603</v>
      </c>
      <c r="H2091" t="s">
        <v>151</v>
      </c>
      <c r="I2091">
        <v>616.85220000000004</v>
      </c>
      <c r="J2091" t="s">
        <v>3488</v>
      </c>
      <c r="K2091" t="s">
        <v>44</v>
      </c>
      <c r="N2091" t="s">
        <v>45</v>
      </c>
      <c r="O2091" t="s">
        <v>46</v>
      </c>
      <c r="P2091" t="s">
        <v>45</v>
      </c>
      <c r="Q2091" t="s">
        <v>47</v>
      </c>
      <c r="R2091" t="s">
        <v>44</v>
      </c>
      <c r="S2091">
        <v>0</v>
      </c>
      <c r="W2091" s="3">
        <v>1.0416666666666667E-4</v>
      </c>
      <c r="X2091" t="s">
        <v>121</v>
      </c>
      <c r="Y2091">
        <v>1</v>
      </c>
      <c r="Z2091">
        <v>0</v>
      </c>
      <c r="AA2091" t="s">
        <v>49</v>
      </c>
      <c r="AB2091">
        <v>0</v>
      </c>
      <c r="AC2091" t="s">
        <v>49</v>
      </c>
      <c r="AD2091">
        <v>0</v>
      </c>
      <c r="AE2091">
        <v>10856787</v>
      </c>
      <c r="AF2091" t="s">
        <v>50</v>
      </c>
      <c r="AG2091" t="s">
        <v>300</v>
      </c>
    </row>
    <row r="2092" spans="1:33" x14ac:dyDescent="0.35">
      <c r="A2092" s="1">
        <v>44843.780555555553</v>
      </c>
      <c r="B2092">
        <v>316986</v>
      </c>
      <c r="C2092" t="s">
        <v>4523</v>
      </c>
      <c r="D2092" t="s">
        <v>65</v>
      </c>
      <c r="E2092" s="2">
        <v>35593</v>
      </c>
      <c r="F2092" t="str">
        <f>"9780080533179"</f>
        <v>9780080533179</v>
      </c>
      <c r="G2092" t="str">
        <f>"9780121346454"</f>
        <v>9780121346454</v>
      </c>
      <c r="H2092" t="s">
        <v>244</v>
      </c>
      <c r="I2092">
        <v>155.19999999999999</v>
      </c>
      <c r="J2092" t="s">
        <v>4524</v>
      </c>
      <c r="K2092" t="s">
        <v>44</v>
      </c>
      <c r="N2092" t="s">
        <v>45</v>
      </c>
      <c r="O2092" t="s">
        <v>46</v>
      </c>
      <c r="P2092" t="s">
        <v>45</v>
      </c>
      <c r="Q2092" t="s">
        <v>47</v>
      </c>
      <c r="R2092" t="s">
        <v>44</v>
      </c>
      <c r="S2092">
        <v>0</v>
      </c>
      <c r="W2092" s="3">
        <v>5.9027777777777778E-4</v>
      </c>
      <c r="X2092" t="s">
        <v>4525</v>
      </c>
      <c r="Y2092">
        <v>6</v>
      </c>
      <c r="Z2092">
        <v>0</v>
      </c>
      <c r="AA2092" t="s">
        <v>49</v>
      </c>
      <c r="AB2092">
        <v>0</v>
      </c>
      <c r="AC2092" t="s">
        <v>49</v>
      </c>
      <c r="AD2092">
        <v>0</v>
      </c>
      <c r="AE2092">
        <v>10206356</v>
      </c>
      <c r="AF2092" t="s">
        <v>50</v>
      </c>
      <c r="AG2092" t="s">
        <v>1536</v>
      </c>
    </row>
    <row r="2093" spans="1:33" x14ac:dyDescent="0.35">
      <c r="A2093" s="1">
        <v>44843.532638888886</v>
      </c>
      <c r="B2093">
        <v>6946268</v>
      </c>
      <c r="C2093" t="s">
        <v>333</v>
      </c>
      <c r="D2093" t="s">
        <v>213</v>
      </c>
      <c r="E2093" s="2">
        <v>44658</v>
      </c>
      <c r="F2093" t="str">
        <f>"9780323859875"</f>
        <v>9780323859875</v>
      </c>
      <c r="G2093" t="str">
        <f>"9780128244708"</f>
        <v>9780128244708</v>
      </c>
      <c r="H2093" t="s">
        <v>261</v>
      </c>
      <c r="I2093">
        <v>628.16200000000003</v>
      </c>
      <c r="J2093" t="s">
        <v>334</v>
      </c>
      <c r="K2093" t="s">
        <v>55</v>
      </c>
      <c r="N2093" t="s">
        <v>79</v>
      </c>
      <c r="P2093" t="s">
        <v>80</v>
      </c>
      <c r="Q2093" t="s">
        <v>47</v>
      </c>
      <c r="R2093" t="s">
        <v>44</v>
      </c>
      <c r="S2093">
        <v>0</v>
      </c>
      <c r="W2093" s="3">
        <v>0</v>
      </c>
      <c r="X2093" t="s">
        <v>49</v>
      </c>
      <c r="Y2093">
        <v>0</v>
      </c>
      <c r="Z2093">
        <v>0</v>
      </c>
      <c r="AA2093" t="s">
        <v>49</v>
      </c>
      <c r="AB2093">
        <v>0</v>
      </c>
      <c r="AC2093" t="s">
        <v>49</v>
      </c>
      <c r="AD2093">
        <v>0</v>
      </c>
      <c r="AE2093">
        <v>-1</v>
      </c>
      <c r="AF2093" t="s">
        <v>50</v>
      </c>
      <c r="AG2093" t="s">
        <v>118</v>
      </c>
    </row>
    <row r="2094" spans="1:33" x14ac:dyDescent="0.35">
      <c r="A2094" s="1">
        <v>44843.517361111109</v>
      </c>
      <c r="B2094">
        <v>1720835</v>
      </c>
      <c r="C2094" t="s">
        <v>2073</v>
      </c>
      <c r="D2094" t="s">
        <v>633</v>
      </c>
      <c r="E2094" s="2">
        <v>41729</v>
      </c>
      <c r="F2094" t="str">
        <f>"9781614993810"</f>
        <v>9781614993810</v>
      </c>
      <c r="G2094" t="str">
        <f>"9781614993803"</f>
        <v>9781614993803</v>
      </c>
      <c r="H2094" t="s">
        <v>138</v>
      </c>
      <c r="K2094" t="s">
        <v>44</v>
      </c>
      <c r="N2094" t="s">
        <v>45</v>
      </c>
      <c r="O2094" t="s">
        <v>46</v>
      </c>
      <c r="P2094" t="s">
        <v>177</v>
      </c>
      <c r="Q2094" t="s">
        <v>47</v>
      </c>
      <c r="R2094" t="s">
        <v>55</v>
      </c>
      <c r="S2094">
        <v>0</v>
      </c>
      <c r="W2094" s="3">
        <v>0</v>
      </c>
      <c r="X2094" t="s">
        <v>49</v>
      </c>
      <c r="Y2094">
        <v>0</v>
      </c>
      <c r="Z2094">
        <v>8</v>
      </c>
      <c r="AA2094" t="s">
        <v>4526</v>
      </c>
      <c r="AB2094">
        <v>232</v>
      </c>
      <c r="AC2094" t="s">
        <v>49</v>
      </c>
      <c r="AD2094">
        <v>0</v>
      </c>
      <c r="AE2094">
        <v>10898080</v>
      </c>
      <c r="AF2094" t="s">
        <v>50</v>
      </c>
      <c r="AG2094" t="s">
        <v>118</v>
      </c>
    </row>
    <row r="2095" spans="1:33" x14ac:dyDescent="0.35">
      <c r="A2095" s="1">
        <v>44843.49722222222</v>
      </c>
      <c r="B2095">
        <v>5158201</v>
      </c>
      <c r="C2095" t="s">
        <v>4527</v>
      </c>
      <c r="D2095" t="s">
        <v>115</v>
      </c>
      <c r="E2095" s="2">
        <v>43178</v>
      </c>
      <c r="F2095" t="str">
        <f>"9783110549638"</f>
        <v>9783110549638</v>
      </c>
      <c r="G2095" t="str">
        <f>"9783110549249"</f>
        <v>9783110549249</v>
      </c>
      <c r="H2095" t="s">
        <v>72</v>
      </c>
      <c r="I2095" t="s">
        <v>4528</v>
      </c>
      <c r="J2095" t="s">
        <v>4529</v>
      </c>
      <c r="K2095" t="s">
        <v>44</v>
      </c>
      <c r="N2095" t="s">
        <v>45</v>
      </c>
      <c r="O2095" t="s">
        <v>46</v>
      </c>
      <c r="P2095" t="s">
        <v>45</v>
      </c>
      <c r="Q2095" t="s">
        <v>47</v>
      </c>
      <c r="R2095" t="s">
        <v>44</v>
      </c>
      <c r="S2095">
        <v>0</v>
      </c>
      <c r="W2095" s="3">
        <v>8.9120370370370362E-4</v>
      </c>
      <c r="X2095" t="s">
        <v>4530</v>
      </c>
      <c r="Y2095">
        <v>1</v>
      </c>
      <c r="Z2095">
        <v>2</v>
      </c>
      <c r="AA2095" t="s">
        <v>4531</v>
      </c>
      <c r="AB2095">
        <v>56</v>
      </c>
      <c r="AC2095" t="s">
        <v>49</v>
      </c>
      <c r="AD2095">
        <v>0</v>
      </c>
      <c r="AE2095">
        <v>11566832</v>
      </c>
      <c r="AF2095" t="s">
        <v>50</v>
      </c>
      <c r="AG2095" t="s">
        <v>118</v>
      </c>
    </row>
    <row r="2096" spans="1:33" x14ac:dyDescent="0.35">
      <c r="A2096" s="1">
        <v>44843.495138888888</v>
      </c>
      <c r="B2096">
        <v>295433</v>
      </c>
      <c r="C2096" t="s">
        <v>4532</v>
      </c>
      <c r="D2096" t="s">
        <v>146</v>
      </c>
      <c r="E2096" s="2">
        <v>38687</v>
      </c>
      <c r="F2096" t="str">
        <f>"9780335227419"</f>
        <v>9780335227419</v>
      </c>
      <c r="G2096" t="str">
        <f>"9780335215119"</f>
        <v>9780335215119</v>
      </c>
      <c r="H2096" t="s">
        <v>77</v>
      </c>
      <c r="K2096" t="s">
        <v>44</v>
      </c>
      <c r="N2096" t="s">
        <v>45</v>
      </c>
      <c r="O2096" t="s">
        <v>46</v>
      </c>
      <c r="P2096" t="s">
        <v>45</v>
      </c>
      <c r="Q2096" t="s">
        <v>47</v>
      </c>
      <c r="R2096" t="s">
        <v>44</v>
      </c>
      <c r="S2096">
        <v>0</v>
      </c>
      <c r="W2096" s="3">
        <v>8.4953703703703701E-3</v>
      </c>
      <c r="X2096" t="s">
        <v>4533</v>
      </c>
      <c r="Y2096">
        <v>18</v>
      </c>
      <c r="Z2096">
        <v>0</v>
      </c>
      <c r="AA2096" t="s">
        <v>49</v>
      </c>
      <c r="AB2096">
        <v>0</v>
      </c>
      <c r="AC2096" t="s">
        <v>49</v>
      </c>
      <c r="AD2096">
        <v>0</v>
      </c>
      <c r="AE2096">
        <v>10175280</v>
      </c>
      <c r="AF2096" t="s">
        <v>50</v>
      </c>
      <c r="AG2096" t="s">
        <v>1536</v>
      </c>
    </row>
    <row r="2097" spans="1:33" x14ac:dyDescent="0.35">
      <c r="A2097" s="1">
        <v>44843.486805555556</v>
      </c>
      <c r="B2097">
        <v>6384964</v>
      </c>
      <c r="C2097" t="s">
        <v>4534</v>
      </c>
      <c r="D2097" t="s">
        <v>59</v>
      </c>
      <c r="E2097" s="2">
        <v>44179</v>
      </c>
      <c r="F2097" t="str">
        <f>"9781119793953"</f>
        <v>9781119793953</v>
      </c>
      <c r="G2097" t="str">
        <f>"9781118970744"</f>
        <v>9781118970744</v>
      </c>
      <c r="H2097" t="s">
        <v>244</v>
      </c>
      <c r="I2097">
        <v>155.19999999999999</v>
      </c>
      <c r="J2097" t="s">
        <v>4535</v>
      </c>
      <c r="K2097" t="s">
        <v>44</v>
      </c>
      <c r="N2097" t="s">
        <v>45</v>
      </c>
      <c r="O2097" t="s">
        <v>46</v>
      </c>
      <c r="P2097" t="s">
        <v>45</v>
      </c>
      <c r="Q2097" t="s">
        <v>47</v>
      </c>
      <c r="R2097" t="s">
        <v>44</v>
      </c>
      <c r="S2097">
        <v>0</v>
      </c>
      <c r="W2097" s="3">
        <v>2.8240740740740739E-3</v>
      </c>
      <c r="X2097" t="s">
        <v>4536</v>
      </c>
      <c r="Y2097">
        <v>20</v>
      </c>
      <c r="Z2097">
        <v>0</v>
      </c>
      <c r="AA2097" t="s">
        <v>49</v>
      </c>
      <c r="AB2097">
        <v>0</v>
      </c>
      <c r="AC2097" t="s">
        <v>49</v>
      </c>
      <c r="AD2097">
        <v>0</v>
      </c>
      <c r="AE2097">
        <v>-1</v>
      </c>
      <c r="AF2097" t="s">
        <v>50</v>
      </c>
      <c r="AG2097" t="s">
        <v>1536</v>
      </c>
    </row>
    <row r="2098" spans="1:33" x14ac:dyDescent="0.35">
      <c r="A2098" s="1">
        <v>44843.430555555555</v>
      </c>
      <c r="B2098">
        <v>5158201</v>
      </c>
      <c r="C2098" t="s">
        <v>4527</v>
      </c>
      <c r="D2098" t="s">
        <v>115</v>
      </c>
      <c r="E2098" s="2">
        <v>43178</v>
      </c>
      <c r="F2098" t="str">
        <f>"9783110549638"</f>
        <v>9783110549638</v>
      </c>
      <c r="G2098" t="str">
        <f>"9783110549249"</f>
        <v>9783110549249</v>
      </c>
      <c r="H2098" t="s">
        <v>72</v>
      </c>
      <c r="I2098" t="s">
        <v>4528</v>
      </c>
      <c r="J2098" t="s">
        <v>4529</v>
      </c>
      <c r="K2098" t="s">
        <v>44</v>
      </c>
      <c r="N2098" t="s">
        <v>45</v>
      </c>
      <c r="O2098" t="s">
        <v>46</v>
      </c>
      <c r="P2098" t="s">
        <v>45</v>
      </c>
      <c r="Q2098" t="s">
        <v>47</v>
      </c>
      <c r="R2098" t="s">
        <v>44</v>
      </c>
      <c r="S2098">
        <v>0</v>
      </c>
      <c r="W2098" s="3">
        <v>5.162037037037037E-3</v>
      </c>
      <c r="X2098" t="s">
        <v>4537</v>
      </c>
      <c r="Y2098">
        <v>22</v>
      </c>
      <c r="Z2098">
        <v>0</v>
      </c>
      <c r="AA2098" t="s">
        <v>49</v>
      </c>
      <c r="AB2098">
        <v>0</v>
      </c>
      <c r="AC2098" t="s">
        <v>49</v>
      </c>
      <c r="AD2098">
        <v>0</v>
      </c>
      <c r="AE2098">
        <v>11566832</v>
      </c>
      <c r="AF2098" t="s">
        <v>50</v>
      </c>
      <c r="AG2098" t="s">
        <v>118</v>
      </c>
    </row>
    <row r="2099" spans="1:33" x14ac:dyDescent="0.35">
      <c r="A2099" s="1">
        <v>44843.377083333333</v>
      </c>
      <c r="B2099">
        <v>279494</v>
      </c>
      <c r="C2099" t="s">
        <v>1333</v>
      </c>
      <c r="D2099" t="s">
        <v>125</v>
      </c>
      <c r="E2099" s="2">
        <v>37280</v>
      </c>
      <c r="F2099" t="str">
        <f>"9780198032953"</f>
        <v>9780198032953</v>
      </c>
      <c r="G2099" t="str">
        <f>"9780195144208"</f>
        <v>9780195144208</v>
      </c>
      <c r="H2099" t="s">
        <v>667</v>
      </c>
      <c r="I2099" t="s">
        <v>1334</v>
      </c>
      <c r="J2099" t="s">
        <v>1335</v>
      </c>
      <c r="K2099" t="s">
        <v>44</v>
      </c>
      <c r="N2099" t="s">
        <v>45</v>
      </c>
      <c r="O2099" t="s">
        <v>46</v>
      </c>
      <c r="P2099" t="s">
        <v>45</v>
      </c>
      <c r="Q2099" t="s">
        <v>47</v>
      </c>
      <c r="R2099" t="s">
        <v>44</v>
      </c>
      <c r="S2099">
        <v>0</v>
      </c>
      <c r="W2099" s="3">
        <v>1.5046296296296294E-3</v>
      </c>
      <c r="X2099" t="s">
        <v>4538</v>
      </c>
      <c r="Y2099">
        <v>6</v>
      </c>
      <c r="Z2099">
        <v>0</v>
      </c>
      <c r="AA2099" t="s">
        <v>49</v>
      </c>
      <c r="AB2099">
        <v>0</v>
      </c>
      <c r="AC2099" t="s">
        <v>49</v>
      </c>
      <c r="AD2099">
        <v>0</v>
      </c>
      <c r="AE2099">
        <v>11303309</v>
      </c>
      <c r="AF2099" t="s">
        <v>50</v>
      </c>
      <c r="AG2099" t="s">
        <v>1536</v>
      </c>
    </row>
    <row r="2100" spans="1:33" x14ac:dyDescent="0.35">
      <c r="A2100" s="1">
        <v>44843.142361111109</v>
      </c>
      <c r="B2100">
        <v>1602192</v>
      </c>
      <c r="C2100" t="s">
        <v>4539</v>
      </c>
      <c r="D2100" t="s">
        <v>76</v>
      </c>
      <c r="E2100" s="2">
        <v>40091</v>
      </c>
      <c r="F2100" t="str">
        <f>"9781317740711"</f>
        <v>9781317740711</v>
      </c>
      <c r="G2100" t="str">
        <f>"9781841697468"</f>
        <v>9781841697468</v>
      </c>
      <c r="H2100" t="s">
        <v>244</v>
      </c>
      <c r="I2100">
        <v>155.19999999999999</v>
      </c>
      <c r="J2100" t="s">
        <v>4540</v>
      </c>
      <c r="K2100" t="s">
        <v>44</v>
      </c>
      <c r="N2100" t="s">
        <v>45</v>
      </c>
      <c r="O2100" t="s">
        <v>46</v>
      </c>
      <c r="P2100" t="s">
        <v>45</v>
      </c>
      <c r="Q2100" t="s">
        <v>47</v>
      </c>
      <c r="R2100" t="s">
        <v>44</v>
      </c>
      <c r="S2100">
        <v>0</v>
      </c>
      <c r="W2100" s="3">
        <v>8.1018518518518516E-4</v>
      </c>
      <c r="X2100" t="s">
        <v>4541</v>
      </c>
      <c r="Y2100">
        <v>14</v>
      </c>
      <c r="Z2100">
        <v>0</v>
      </c>
      <c r="AA2100" t="s">
        <v>49</v>
      </c>
      <c r="AB2100">
        <v>0</v>
      </c>
      <c r="AC2100" t="s">
        <v>49</v>
      </c>
      <c r="AD2100">
        <v>0</v>
      </c>
      <c r="AE2100">
        <v>10830657</v>
      </c>
      <c r="AF2100" t="s">
        <v>50</v>
      </c>
      <c r="AG2100" t="s">
        <v>1536</v>
      </c>
    </row>
    <row r="2101" spans="1:33" x14ac:dyDescent="0.35">
      <c r="A2101" s="1">
        <v>44843.114583333336</v>
      </c>
      <c r="B2101">
        <v>1602192</v>
      </c>
      <c r="C2101" t="s">
        <v>4539</v>
      </c>
      <c r="D2101" t="s">
        <v>76</v>
      </c>
      <c r="E2101" s="2">
        <v>40091</v>
      </c>
      <c r="F2101" t="str">
        <f>"9781317740711"</f>
        <v>9781317740711</v>
      </c>
      <c r="G2101" t="str">
        <f>"9781841697468"</f>
        <v>9781841697468</v>
      </c>
      <c r="H2101" t="s">
        <v>244</v>
      </c>
      <c r="I2101">
        <v>155.19999999999999</v>
      </c>
      <c r="J2101" t="s">
        <v>4540</v>
      </c>
      <c r="K2101" t="s">
        <v>44</v>
      </c>
      <c r="N2101" t="s">
        <v>45</v>
      </c>
      <c r="O2101" t="s">
        <v>46</v>
      </c>
      <c r="P2101" t="s">
        <v>45</v>
      </c>
      <c r="Q2101" t="s">
        <v>47</v>
      </c>
      <c r="R2101" t="s">
        <v>44</v>
      </c>
      <c r="S2101">
        <v>0</v>
      </c>
      <c r="W2101" s="3">
        <v>4.6296296296296294E-5</v>
      </c>
      <c r="X2101" t="s">
        <v>121</v>
      </c>
      <c r="Y2101">
        <v>1</v>
      </c>
      <c r="Z2101">
        <v>0</v>
      </c>
      <c r="AA2101" t="s">
        <v>49</v>
      </c>
      <c r="AB2101">
        <v>0</v>
      </c>
      <c r="AC2101" t="s">
        <v>49</v>
      </c>
      <c r="AD2101">
        <v>0</v>
      </c>
      <c r="AE2101">
        <v>10830657</v>
      </c>
      <c r="AF2101" t="s">
        <v>50</v>
      </c>
      <c r="AG2101" t="s">
        <v>1536</v>
      </c>
    </row>
    <row r="2102" spans="1:33" x14ac:dyDescent="0.35">
      <c r="A2102" s="1">
        <v>44842.993055555555</v>
      </c>
      <c r="B2102">
        <v>1643810</v>
      </c>
      <c r="C2102" t="s">
        <v>3487</v>
      </c>
      <c r="D2102" t="s">
        <v>59</v>
      </c>
      <c r="E2102" s="2">
        <v>41743</v>
      </c>
      <c r="F2102" t="str">
        <f>"9781118653890"</f>
        <v>9781118653890</v>
      </c>
      <c r="G2102" t="str">
        <f>"9781119968603"</f>
        <v>9781119968603</v>
      </c>
      <c r="H2102" t="s">
        <v>151</v>
      </c>
      <c r="I2102">
        <v>616.85220000000004</v>
      </c>
      <c r="J2102" t="s">
        <v>3488</v>
      </c>
      <c r="K2102" t="s">
        <v>44</v>
      </c>
      <c r="N2102" t="s">
        <v>45</v>
      </c>
      <c r="O2102" t="s">
        <v>46</v>
      </c>
      <c r="P2102" t="s">
        <v>45</v>
      </c>
      <c r="Q2102" t="s">
        <v>47</v>
      </c>
      <c r="R2102" t="s">
        <v>44</v>
      </c>
      <c r="S2102">
        <v>0</v>
      </c>
      <c r="W2102" s="3">
        <v>1.0416666666666667E-4</v>
      </c>
      <c r="X2102" t="s">
        <v>4386</v>
      </c>
      <c r="Y2102">
        <v>3</v>
      </c>
      <c r="Z2102">
        <v>0</v>
      </c>
      <c r="AA2102" t="s">
        <v>49</v>
      </c>
      <c r="AB2102">
        <v>0</v>
      </c>
      <c r="AC2102" t="s">
        <v>49</v>
      </c>
      <c r="AD2102">
        <v>0</v>
      </c>
      <c r="AE2102">
        <v>10856787</v>
      </c>
      <c r="AF2102" t="s">
        <v>50</v>
      </c>
      <c r="AG2102" t="s">
        <v>300</v>
      </c>
    </row>
    <row r="2103" spans="1:33" x14ac:dyDescent="0.35">
      <c r="A2103" s="1">
        <v>44842.932638888888</v>
      </c>
      <c r="B2103">
        <v>6037677</v>
      </c>
      <c r="C2103" t="s">
        <v>3819</v>
      </c>
      <c r="D2103" t="s">
        <v>2022</v>
      </c>
      <c r="E2103" s="2">
        <v>43874</v>
      </c>
      <c r="F2103" t="str">
        <f>"9781527546578"</f>
        <v>9781527546578</v>
      </c>
      <c r="G2103" t="str">
        <f>"9781527545984"</f>
        <v>9781527545984</v>
      </c>
      <c r="H2103" t="s">
        <v>60</v>
      </c>
      <c r="I2103">
        <v>658.40920000000006</v>
      </c>
      <c r="J2103" t="s">
        <v>3820</v>
      </c>
      <c r="K2103" t="s">
        <v>55</v>
      </c>
      <c r="Q2103" t="s">
        <v>47</v>
      </c>
      <c r="R2103" t="s">
        <v>44</v>
      </c>
      <c r="S2103">
        <v>0</v>
      </c>
      <c r="W2103" s="3">
        <v>6.4814814814814813E-4</v>
      </c>
      <c r="X2103" t="s">
        <v>4542</v>
      </c>
      <c r="Y2103">
        <v>12</v>
      </c>
      <c r="Z2103">
        <v>0</v>
      </c>
      <c r="AA2103" t="s">
        <v>49</v>
      </c>
      <c r="AB2103">
        <v>0</v>
      </c>
      <c r="AC2103" t="s">
        <v>49</v>
      </c>
      <c r="AD2103">
        <v>0</v>
      </c>
      <c r="AE2103">
        <v>-1</v>
      </c>
      <c r="AF2103" t="s">
        <v>50</v>
      </c>
      <c r="AG2103" t="s">
        <v>118</v>
      </c>
    </row>
    <row r="2104" spans="1:33" x14ac:dyDescent="0.35">
      <c r="A2104" s="1">
        <v>44842.84375</v>
      </c>
      <c r="B2104">
        <v>6522078</v>
      </c>
      <c r="C2104" t="s">
        <v>4543</v>
      </c>
      <c r="D2104" t="s">
        <v>1166</v>
      </c>
      <c r="E2104" s="2">
        <v>44273</v>
      </c>
      <c r="F2104" t="str">
        <f>"9781071609330"</f>
        <v>9781071609330</v>
      </c>
      <c r="G2104" t="str">
        <f>"9781071609316"</f>
        <v>9781071609316</v>
      </c>
      <c r="H2104" t="s">
        <v>244</v>
      </c>
      <c r="I2104">
        <v>155.69999999999999</v>
      </c>
      <c r="J2104" t="s">
        <v>4544</v>
      </c>
      <c r="K2104" t="s">
        <v>55</v>
      </c>
      <c r="Q2104" t="s">
        <v>47</v>
      </c>
      <c r="R2104" t="s">
        <v>44</v>
      </c>
      <c r="S2104">
        <v>0</v>
      </c>
      <c r="W2104" s="3">
        <v>1.6782407407407406E-3</v>
      </c>
      <c r="X2104" t="s">
        <v>4545</v>
      </c>
      <c r="Y2104">
        <v>26</v>
      </c>
      <c r="Z2104">
        <v>0</v>
      </c>
      <c r="AA2104" t="s">
        <v>49</v>
      </c>
      <c r="AB2104">
        <v>0</v>
      </c>
      <c r="AC2104" t="s">
        <v>49</v>
      </c>
      <c r="AD2104">
        <v>0</v>
      </c>
      <c r="AE2104">
        <v>-1</v>
      </c>
      <c r="AF2104" t="s">
        <v>50</v>
      </c>
      <c r="AG2104" t="s">
        <v>264</v>
      </c>
    </row>
    <row r="2105" spans="1:33" x14ac:dyDescent="0.35">
      <c r="A2105" s="1">
        <v>44842.657638888886</v>
      </c>
      <c r="B2105">
        <v>1643810</v>
      </c>
      <c r="C2105" t="s">
        <v>3487</v>
      </c>
      <c r="D2105" t="s">
        <v>59</v>
      </c>
      <c r="E2105" s="2">
        <v>41743</v>
      </c>
      <c r="F2105" t="str">
        <f>"9781118653890"</f>
        <v>9781118653890</v>
      </c>
      <c r="G2105" t="str">
        <f>"9781119968603"</f>
        <v>9781119968603</v>
      </c>
      <c r="H2105" t="s">
        <v>151</v>
      </c>
      <c r="I2105">
        <v>616.85220000000004</v>
      </c>
      <c r="J2105" t="s">
        <v>3488</v>
      </c>
      <c r="K2105" t="s">
        <v>44</v>
      </c>
      <c r="N2105" t="s">
        <v>45</v>
      </c>
      <c r="O2105" t="s">
        <v>46</v>
      </c>
      <c r="P2105" t="s">
        <v>45</v>
      </c>
      <c r="Q2105" t="s">
        <v>47</v>
      </c>
      <c r="R2105" t="s">
        <v>44</v>
      </c>
      <c r="S2105">
        <v>0</v>
      </c>
      <c r="W2105" s="3">
        <v>1.8750000000000001E-3</v>
      </c>
      <c r="X2105" t="s">
        <v>4546</v>
      </c>
      <c r="Y2105">
        <v>5</v>
      </c>
      <c r="Z2105">
        <v>0</v>
      </c>
      <c r="AA2105" t="s">
        <v>49</v>
      </c>
      <c r="AB2105">
        <v>0</v>
      </c>
      <c r="AC2105" t="s">
        <v>49</v>
      </c>
      <c r="AD2105">
        <v>0</v>
      </c>
      <c r="AE2105">
        <v>10856787</v>
      </c>
      <c r="AF2105" t="s">
        <v>50</v>
      </c>
      <c r="AG2105" t="s">
        <v>300</v>
      </c>
    </row>
    <row r="2106" spans="1:33" x14ac:dyDescent="0.35">
      <c r="A2106" s="1">
        <v>44842.654166666667</v>
      </c>
      <c r="B2106">
        <v>5018903</v>
      </c>
      <c r="C2106" t="s">
        <v>4547</v>
      </c>
      <c r="D2106" t="s">
        <v>4548</v>
      </c>
      <c r="E2106" s="2">
        <v>42962</v>
      </c>
      <c r="F2106" t="str">
        <f>"9783736986053"</f>
        <v>9783736986053</v>
      </c>
      <c r="G2106" t="str">
        <f>"9783736996052"</f>
        <v>9783736996052</v>
      </c>
      <c r="H2106" t="s">
        <v>151</v>
      </c>
      <c r="I2106">
        <v>616.85209999999904</v>
      </c>
      <c r="J2106" t="s">
        <v>4549</v>
      </c>
      <c r="K2106" t="s">
        <v>44</v>
      </c>
      <c r="N2106" t="s">
        <v>45</v>
      </c>
      <c r="O2106" t="s">
        <v>46</v>
      </c>
      <c r="P2106" t="s">
        <v>177</v>
      </c>
      <c r="Q2106" t="s">
        <v>47</v>
      </c>
      <c r="R2106" t="s">
        <v>55</v>
      </c>
      <c r="S2106">
        <v>0</v>
      </c>
      <c r="W2106" s="3">
        <v>3.1134259259259257E-3</v>
      </c>
      <c r="X2106" t="s">
        <v>4550</v>
      </c>
      <c r="Y2106">
        <v>15</v>
      </c>
      <c r="Z2106">
        <v>0</v>
      </c>
      <c r="AA2106" t="s">
        <v>49</v>
      </c>
      <c r="AB2106">
        <v>0</v>
      </c>
      <c r="AC2106" t="s">
        <v>4551</v>
      </c>
      <c r="AD2106">
        <v>1</v>
      </c>
      <c r="AE2106">
        <v>11431602</v>
      </c>
      <c r="AF2106" t="s">
        <v>50</v>
      </c>
      <c r="AG2106" t="s">
        <v>300</v>
      </c>
    </row>
    <row r="2107" spans="1:33" x14ac:dyDescent="0.35">
      <c r="A2107" s="1">
        <v>44842.645138888889</v>
      </c>
      <c r="B2107">
        <v>279494</v>
      </c>
      <c r="C2107" t="s">
        <v>1333</v>
      </c>
      <c r="D2107" t="s">
        <v>125</v>
      </c>
      <c r="E2107" s="2">
        <v>37280</v>
      </c>
      <c r="F2107" t="str">
        <f>"9780198032953"</f>
        <v>9780198032953</v>
      </c>
      <c r="G2107" t="str">
        <f>"9780195144208"</f>
        <v>9780195144208</v>
      </c>
      <c r="H2107" t="s">
        <v>667</v>
      </c>
      <c r="I2107" t="s">
        <v>1334</v>
      </c>
      <c r="J2107" t="s">
        <v>1335</v>
      </c>
      <c r="K2107" t="s">
        <v>44</v>
      </c>
      <c r="N2107" t="s">
        <v>45</v>
      </c>
      <c r="O2107" t="s">
        <v>46</v>
      </c>
      <c r="P2107" t="s">
        <v>45</v>
      </c>
      <c r="Q2107" t="s">
        <v>47</v>
      </c>
      <c r="R2107" t="s">
        <v>44</v>
      </c>
      <c r="S2107">
        <v>0</v>
      </c>
      <c r="W2107" s="3">
        <v>6.9097222222222225E-3</v>
      </c>
      <c r="X2107" t="s">
        <v>4552</v>
      </c>
      <c r="Y2107">
        <v>25</v>
      </c>
      <c r="Z2107">
        <v>3</v>
      </c>
      <c r="AA2107" t="s">
        <v>4553</v>
      </c>
      <c r="AB2107">
        <v>48</v>
      </c>
      <c r="AC2107" t="s">
        <v>49</v>
      </c>
      <c r="AD2107">
        <v>0</v>
      </c>
      <c r="AE2107">
        <v>11303309</v>
      </c>
      <c r="AF2107" t="s">
        <v>50</v>
      </c>
      <c r="AG2107" t="s">
        <v>1355</v>
      </c>
    </row>
    <row r="2108" spans="1:33" x14ac:dyDescent="0.35">
      <c r="A2108" s="1">
        <v>44842.57916666667</v>
      </c>
      <c r="B2108">
        <v>6304303</v>
      </c>
      <c r="C2108" t="s">
        <v>4554</v>
      </c>
      <c r="D2108" t="s">
        <v>614</v>
      </c>
      <c r="E2108" s="2">
        <v>44058</v>
      </c>
      <c r="F2108" t="str">
        <f>"9789811548390"</f>
        <v>9789811548390</v>
      </c>
      <c r="G2108" t="str">
        <f>"9789811548383"</f>
        <v>9789811548383</v>
      </c>
      <c r="H2108" t="s">
        <v>1378</v>
      </c>
      <c r="I2108">
        <v>629.47439999999995</v>
      </c>
      <c r="J2108" t="s">
        <v>2748</v>
      </c>
      <c r="K2108" t="s">
        <v>55</v>
      </c>
      <c r="N2108" t="s">
        <v>79</v>
      </c>
      <c r="P2108" t="s">
        <v>80</v>
      </c>
      <c r="Q2108" t="s">
        <v>47</v>
      </c>
      <c r="R2108" t="s">
        <v>44</v>
      </c>
      <c r="S2108">
        <v>0</v>
      </c>
      <c r="W2108" s="3">
        <v>1.5856481481481479E-3</v>
      </c>
      <c r="X2108" t="s">
        <v>4555</v>
      </c>
      <c r="Y2108">
        <v>5</v>
      </c>
      <c r="Z2108">
        <v>0</v>
      </c>
      <c r="AA2108" t="s">
        <v>49</v>
      </c>
      <c r="AB2108">
        <v>0</v>
      </c>
      <c r="AC2108" t="s">
        <v>49</v>
      </c>
      <c r="AD2108">
        <v>0</v>
      </c>
      <c r="AE2108">
        <v>-1</v>
      </c>
      <c r="AF2108" t="s">
        <v>50</v>
      </c>
      <c r="AG2108" t="s">
        <v>118</v>
      </c>
    </row>
    <row r="2109" spans="1:33" x14ac:dyDescent="0.35">
      <c r="A2109" s="1">
        <v>44842.527083333334</v>
      </c>
      <c r="B2109">
        <v>3108909</v>
      </c>
      <c r="C2109" t="s">
        <v>2892</v>
      </c>
      <c r="D2109" t="s">
        <v>1139</v>
      </c>
      <c r="E2109" s="2">
        <v>34303</v>
      </c>
      <c r="F2109" t="str">
        <f>"9789401106917"</f>
        <v>9789401106917</v>
      </c>
      <c r="G2109" t="str">
        <f>"9789401042987"</f>
        <v>9789401042987</v>
      </c>
      <c r="H2109" t="s">
        <v>214</v>
      </c>
      <c r="I2109">
        <v>541.37</v>
      </c>
      <c r="J2109" t="s">
        <v>2893</v>
      </c>
      <c r="K2109" t="s">
        <v>44</v>
      </c>
      <c r="N2109" t="s">
        <v>45</v>
      </c>
      <c r="O2109" t="s">
        <v>46</v>
      </c>
      <c r="P2109" t="s">
        <v>45</v>
      </c>
      <c r="Q2109" t="s">
        <v>47</v>
      </c>
      <c r="R2109" t="s">
        <v>44</v>
      </c>
      <c r="S2109">
        <v>1</v>
      </c>
      <c r="W2109" s="3">
        <v>0</v>
      </c>
      <c r="X2109" t="s">
        <v>49</v>
      </c>
      <c r="Y2109">
        <v>0</v>
      </c>
      <c r="Z2109">
        <v>0</v>
      </c>
      <c r="AA2109" t="s">
        <v>49</v>
      </c>
      <c r="AB2109">
        <v>0</v>
      </c>
      <c r="AC2109" t="s">
        <v>49</v>
      </c>
      <c r="AD2109">
        <v>0</v>
      </c>
      <c r="AE2109">
        <v>11039313</v>
      </c>
      <c r="AF2109" t="s">
        <v>63</v>
      </c>
      <c r="AG2109" t="s">
        <v>2433</v>
      </c>
    </row>
    <row r="2110" spans="1:33" x14ac:dyDescent="0.35">
      <c r="A2110" s="1">
        <v>44842.501388888886</v>
      </c>
      <c r="B2110">
        <v>693314</v>
      </c>
      <c r="C2110" t="s">
        <v>4497</v>
      </c>
      <c r="D2110" t="s">
        <v>59</v>
      </c>
      <c r="E2110" s="2">
        <v>40805</v>
      </c>
      <c r="F2110" t="str">
        <f>"9781119971016"</f>
        <v>9781119971016</v>
      </c>
      <c r="G2110" t="str">
        <f>"9780470750124"</f>
        <v>9780470750124</v>
      </c>
      <c r="H2110" t="s">
        <v>579</v>
      </c>
      <c r="I2110">
        <v>629.47400000000005</v>
      </c>
      <c r="J2110" t="s">
        <v>4498</v>
      </c>
      <c r="K2110" t="s">
        <v>55</v>
      </c>
      <c r="N2110" t="s">
        <v>79</v>
      </c>
      <c r="P2110" t="s">
        <v>80</v>
      </c>
      <c r="Q2110" t="s">
        <v>47</v>
      </c>
      <c r="R2110" t="s">
        <v>44</v>
      </c>
      <c r="S2110">
        <v>0</v>
      </c>
      <c r="W2110" s="3">
        <v>2.6006944444444447E-2</v>
      </c>
      <c r="X2110" t="s">
        <v>4556</v>
      </c>
      <c r="Y2110">
        <v>29</v>
      </c>
      <c r="Z2110">
        <v>0</v>
      </c>
      <c r="AA2110" t="s">
        <v>49</v>
      </c>
      <c r="AB2110">
        <v>0</v>
      </c>
      <c r="AC2110" t="s">
        <v>49</v>
      </c>
      <c r="AD2110">
        <v>0</v>
      </c>
      <c r="AE2110">
        <v>10494538</v>
      </c>
      <c r="AF2110" t="s">
        <v>50</v>
      </c>
      <c r="AG2110" t="s">
        <v>118</v>
      </c>
    </row>
    <row r="2111" spans="1:33" x14ac:dyDescent="0.35">
      <c r="A2111" s="1">
        <v>44842.468055555553</v>
      </c>
      <c r="B2111">
        <v>6720589</v>
      </c>
      <c r="C2111" t="s">
        <v>4557</v>
      </c>
      <c r="D2111" t="s">
        <v>76</v>
      </c>
      <c r="E2111" s="2">
        <v>44409</v>
      </c>
      <c r="F2111" t="str">
        <f>"9781000430462"</f>
        <v>9781000430462</v>
      </c>
      <c r="G2111" t="str">
        <f>"9780367373528"</f>
        <v>9780367373528</v>
      </c>
      <c r="H2111" t="s">
        <v>1046</v>
      </c>
      <c r="I2111">
        <v>361.32</v>
      </c>
      <c r="J2111" t="s">
        <v>4558</v>
      </c>
      <c r="K2111" t="s">
        <v>55</v>
      </c>
      <c r="Q2111" t="s">
        <v>47</v>
      </c>
      <c r="R2111" t="s">
        <v>44</v>
      </c>
      <c r="S2111">
        <v>0</v>
      </c>
      <c r="W2111" s="3">
        <v>6.0879629629629643E-3</v>
      </c>
      <c r="X2111" t="s">
        <v>4559</v>
      </c>
      <c r="Y2111">
        <v>6</v>
      </c>
      <c r="Z2111">
        <v>0</v>
      </c>
      <c r="AA2111" t="s">
        <v>49</v>
      </c>
      <c r="AB2111">
        <v>0</v>
      </c>
      <c r="AC2111" t="s">
        <v>49</v>
      </c>
      <c r="AD2111">
        <v>0</v>
      </c>
      <c r="AE2111">
        <v>-1</v>
      </c>
      <c r="AF2111" t="s">
        <v>50</v>
      </c>
      <c r="AG2111" t="s">
        <v>1355</v>
      </c>
    </row>
    <row r="2112" spans="1:33" x14ac:dyDescent="0.35">
      <c r="A2112" s="1">
        <v>44842.098611111112</v>
      </c>
      <c r="B2112">
        <v>6304303</v>
      </c>
      <c r="C2112" t="s">
        <v>4554</v>
      </c>
      <c r="D2112" t="s">
        <v>614</v>
      </c>
      <c r="E2112" s="2">
        <v>44058</v>
      </c>
      <c r="F2112" t="str">
        <f>"9789811548390"</f>
        <v>9789811548390</v>
      </c>
      <c r="G2112" t="str">
        <f>"9789811548383"</f>
        <v>9789811548383</v>
      </c>
      <c r="H2112" t="s">
        <v>1378</v>
      </c>
      <c r="I2112">
        <v>629.47439999999995</v>
      </c>
      <c r="J2112" t="s">
        <v>2748</v>
      </c>
      <c r="K2112" t="s">
        <v>55</v>
      </c>
      <c r="N2112" t="s">
        <v>79</v>
      </c>
      <c r="P2112" t="s">
        <v>80</v>
      </c>
      <c r="Q2112" t="s">
        <v>47</v>
      </c>
      <c r="R2112" t="s">
        <v>44</v>
      </c>
      <c r="S2112">
        <v>0</v>
      </c>
      <c r="W2112" s="3">
        <v>1.3310185185185185E-3</v>
      </c>
      <c r="X2112" t="s">
        <v>4560</v>
      </c>
      <c r="Y2112">
        <v>11</v>
      </c>
      <c r="Z2112">
        <v>0</v>
      </c>
      <c r="AA2112" t="s">
        <v>49</v>
      </c>
      <c r="AB2112">
        <v>0</v>
      </c>
      <c r="AC2112" t="s">
        <v>49</v>
      </c>
      <c r="AD2112">
        <v>0</v>
      </c>
      <c r="AE2112">
        <v>-1</v>
      </c>
      <c r="AF2112" t="s">
        <v>50</v>
      </c>
      <c r="AG2112" t="s">
        <v>118</v>
      </c>
    </row>
    <row r="2113" spans="1:33" x14ac:dyDescent="0.35">
      <c r="A2113" s="1">
        <v>44842.022916666669</v>
      </c>
      <c r="B2113">
        <v>5764495</v>
      </c>
      <c r="C2113" t="s">
        <v>4561</v>
      </c>
      <c r="D2113" t="s">
        <v>213</v>
      </c>
      <c r="E2113" s="2">
        <v>43594</v>
      </c>
      <c r="F2113" t="str">
        <f>"9780444642905"</f>
        <v>9780444642905</v>
      </c>
      <c r="G2113" t="str">
        <f>"9780444642226"</f>
        <v>9780444642226</v>
      </c>
      <c r="H2113" t="s">
        <v>542</v>
      </c>
      <c r="I2113">
        <v>621.31242901511803</v>
      </c>
      <c r="J2113" t="s">
        <v>4562</v>
      </c>
      <c r="K2113" t="s">
        <v>55</v>
      </c>
      <c r="Q2113" t="s">
        <v>47</v>
      </c>
      <c r="R2113" t="s">
        <v>44</v>
      </c>
      <c r="S2113">
        <v>0</v>
      </c>
      <c r="W2113" s="3">
        <v>1.0763888888888889E-3</v>
      </c>
      <c r="X2113" t="s">
        <v>4563</v>
      </c>
      <c r="Y2113">
        <v>6</v>
      </c>
      <c r="Z2113">
        <v>0</v>
      </c>
      <c r="AA2113" t="s">
        <v>49</v>
      </c>
      <c r="AB2113">
        <v>0</v>
      </c>
      <c r="AC2113" t="s">
        <v>49</v>
      </c>
      <c r="AD2113">
        <v>0</v>
      </c>
      <c r="AE2113">
        <v>-1</v>
      </c>
      <c r="AF2113" t="s">
        <v>50</v>
      </c>
      <c r="AG2113" t="s">
        <v>4564</v>
      </c>
    </row>
    <row r="2114" spans="1:33" x14ac:dyDescent="0.35">
      <c r="A2114" s="1">
        <v>44841.847916666666</v>
      </c>
      <c r="B2114">
        <v>1014261</v>
      </c>
      <c r="C2114" t="s">
        <v>4110</v>
      </c>
      <c r="D2114" t="s">
        <v>329</v>
      </c>
      <c r="E2114" s="2">
        <v>41177</v>
      </c>
      <c r="F2114" t="str">
        <f>"9781455730032"</f>
        <v>9781455730032</v>
      </c>
      <c r="G2114" t="str">
        <f>"9781455728343"</f>
        <v>9781455728343</v>
      </c>
      <c r="H2114" t="s">
        <v>1112</v>
      </c>
      <c r="I2114">
        <v>668.9</v>
      </c>
      <c r="J2114" t="s">
        <v>4111</v>
      </c>
      <c r="K2114" t="s">
        <v>44</v>
      </c>
      <c r="N2114" t="s">
        <v>45</v>
      </c>
      <c r="O2114" t="s">
        <v>46</v>
      </c>
      <c r="P2114" t="s">
        <v>45</v>
      </c>
      <c r="Q2114" t="s">
        <v>47</v>
      </c>
      <c r="R2114" t="s">
        <v>44</v>
      </c>
      <c r="S2114">
        <v>0</v>
      </c>
      <c r="W2114" s="3">
        <v>6.9444444444444444E-5</v>
      </c>
      <c r="X2114" t="s">
        <v>121</v>
      </c>
      <c r="Y2114">
        <v>1</v>
      </c>
      <c r="Z2114">
        <v>0</v>
      </c>
      <c r="AA2114" t="s">
        <v>49</v>
      </c>
      <c r="AB2114">
        <v>0</v>
      </c>
      <c r="AC2114" t="s">
        <v>49</v>
      </c>
      <c r="AD2114">
        <v>0</v>
      </c>
      <c r="AE2114">
        <v>10595530</v>
      </c>
      <c r="AF2114" t="s">
        <v>50</v>
      </c>
      <c r="AG2114" t="s">
        <v>1355</v>
      </c>
    </row>
    <row r="2115" spans="1:33" x14ac:dyDescent="0.35">
      <c r="A2115" s="1">
        <v>44841.842361111114</v>
      </c>
      <c r="B2115">
        <v>996797</v>
      </c>
      <c r="C2115" t="s">
        <v>4565</v>
      </c>
      <c r="D2115" t="s">
        <v>1282</v>
      </c>
      <c r="E2115" s="2">
        <v>37231</v>
      </c>
      <c r="F2115" t="str">
        <f>"9781452267630"</f>
        <v>9781452267630</v>
      </c>
      <c r="G2115" t="str">
        <f>"9780761902966"</f>
        <v>9780761902966</v>
      </c>
      <c r="H2115" t="s">
        <v>3742</v>
      </c>
      <c r="I2115">
        <v>158.69999999999999</v>
      </c>
      <c r="J2115" t="s">
        <v>4566</v>
      </c>
      <c r="K2115" t="s">
        <v>44</v>
      </c>
      <c r="N2115" t="s">
        <v>45</v>
      </c>
      <c r="O2115" t="s">
        <v>46</v>
      </c>
      <c r="P2115" t="s">
        <v>45</v>
      </c>
      <c r="Q2115" t="s">
        <v>47</v>
      </c>
      <c r="R2115" t="s">
        <v>44</v>
      </c>
      <c r="S2115">
        <v>0</v>
      </c>
      <c r="W2115" s="3">
        <v>1.1145833333333334E-2</v>
      </c>
      <c r="X2115" t="s">
        <v>4567</v>
      </c>
      <c r="Y2115">
        <v>24</v>
      </c>
      <c r="Z2115">
        <v>0</v>
      </c>
      <c r="AA2115" t="s">
        <v>49</v>
      </c>
      <c r="AB2115">
        <v>0</v>
      </c>
      <c r="AC2115" t="s">
        <v>49</v>
      </c>
      <c r="AD2115">
        <v>0</v>
      </c>
      <c r="AE2115">
        <v>10582361</v>
      </c>
      <c r="AF2115" t="s">
        <v>50</v>
      </c>
      <c r="AG2115" t="s">
        <v>118</v>
      </c>
    </row>
    <row r="2116" spans="1:33" x14ac:dyDescent="0.35">
      <c r="A2116" s="1">
        <v>44841.822222222225</v>
      </c>
      <c r="B2116">
        <v>279494</v>
      </c>
      <c r="C2116" t="s">
        <v>1333</v>
      </c>
      <c r="D2116" t="s">
        <v>125</v>
      </c>
      <c r="E2116" s="2">
        <v>37280</v>
      </c>
      <c r="F2116" t="str">
        <f>"9780198032953"</f>
        <v>9780198032953</v>
      </c>
      <c r="G2116" t="str">
        <f>"9780195144208"</f>
        <v>9780195144208</v>
      </c>
      <c r="H2116" t="s">
        <v>667</v>
      </c>
      <c r="I2116" t="s">
        <v>1334</v>
      </c>
      <c r="J2116" t="s">
        <v>1335</v>
      </c>
      <c r="K2116" t="s">
        <v>44</v>
      </c>
      <c r="N2116" t="s">
        <v>45</v>
      </c>
      <c r="O2116" t="s">
        <v>46</v>
      </c>
      <c r="P2116" t="s">
        <v>45</v>
      </c>
      <c r="Q2116" t="s">
        <v>47</v>
      </c>
      <c r="R2116" t="s">
        <v>44</v>
      </c>
      <c r="S2116">
        <v>1</v>
      </c>
      <c r="W2116" s="3">
        <v>6.9444444444444444E-5</v>
      </c>
      <c r="X2116" t="s">
        <v>2532</v>
      </c>
      <c r="Y2116">
        <v>2</v>
      </c>
      <c r="Z2116">
        <v>0</v>
      </c>
      <c r="AA2116" t="s">
        <v>49</v>
      </c>
      <c r="AB2116">
        <v>0</v>
      </c>
      <c r="AC2116" t="s">
        <v>49</v>
      </c>
      <c r="AD2116">
        <v>0</v>
      </c>
      <c r="AE2116">
        <v>11303309</v>
      </c>
      <c r="AF2116" t="s">
        <v>63</v>
      </c>
      <c r="AG2116" t="s">
        <v>1536</v>
      </c>
    </row>
    <row r="2117" spans="1:33" x14ac:dyDescent="0.35">
      <c r="A2117" s="1">
        <v>44841.817361111112</v>
      </c>
      <c r="B2117">
        <v>279494</v>
      </c>
      <c r="C2117" t="s">
        <v>1333</v>
      </c>
      <c r="D2117" t="s">
        <v>125</v>
      </c>
      <c r="E2117" s="2">
        <v>37280</v>
      </c>
      <c r="F2117" t="str">
        <f>"9780198032953"</f>
        <v>9780198032953</v>
      </c>
      <c r="G2117" t="str">
        <f>"9780195144208"</f>
        <v>9780195144208</v>
      </c>
      <c r="H2117" t="s">
        <v>667</v>
      </c>
      <c r="I2117" t="s">
        <v>1334</v>
      </c>
      <c r="J2117" t="s">
        <v>1335</v>
      </c>
      <c r="K2117" t="s">
        <v>44</v>
      </c>
      <c r="N2117" t="s">
        <v>45</v>
      </c>
      <c r="O2117" t="s">
        <v>46</v>
      </c>
      <c r="P2117" t="s">
        <v>45</v>
      </c>
      <c r="Q2117" t="s">
        <v>47</v>
      </c>
      <c r="R2117" t="s">
        <v>44</v>
      </c>
      <c r="S2117">
        <v>0</v>
      </c>
      <c r="W2117" s="3">
        <v>4.7222222222222223E-3</v>
      </c>
      <c r="X2117" t="s">
        <v>4568</v>
      </c>
      <c r="Y2117">
        <v>22</v>
      </c>
      <c r="Z2117">
        <v>2</v>
      </c>
      <c r="AA2117" t="s">
        <v>4569</v>
      </c>
      <c r="AB2117">
        <v>32</v>
      </c>
      <c r="AC2117" t="s">
        <v>49</v>
      </c>
      <c r="AD2117">
        <v>0</v>
      </c>
      <c r="AE2117">
        <v>11303309</v>
      </c>
      <c r="AF2117" t="s">
        <v>63</v>
      </c>
      <c r="AG2117" t="s">
        <v>1536</v>
      </c>
    </row>
    <row r="2118" spans="1:33" x14ac:dyDescent="0.35">
      <c r="A2118" s="1">
        <v>44841.722916666666</v>
      </c>
      <c r="B2118">
        <v>1520991</v>
      </c>
      <c r="C2118" t="s">
        <v>4570</v>
      </c>
      <c r="D2118" t="s">
        <v>76</v>
      </c>
      <c r="E2118" s="2">
        <v>39867</v>
      </c>
      <c r="F2118" t="str">
        <f>"9781317923183"</f>
        <v>9781317923183</v>
      </c>
      <c r="G2118" t="str">
        <f>"9781596671010"</f>
        <v>9781596671010</v>
      </c>
      <c r="H2118" t="s">
        <v>90</v>
      </c>
      <c r="I2118">
        <v>371</v>
      </c>
      <c r="J2118" t="s">
        <v>4571</v>
      </c>
      <c r="K2118" t="s">
        <v>44</v>
      </c>
      <c r="N2118" t="s">
        <v>45</v>
      </c>
      <c r="O2118" t="s">
        <v>46</v>
      </c>
      <c r="P2118" t="s">
        <v>45</v>
      </c>
      <c r="Q2118" t="s">
        <v>47</v>
      </c>
      <c r="R2118" t="s">
        <v>44</v>
      </c>
      <c r="S2118">
        <v>0</v>
      </c>
      <c r="W2118" s="3">
        <v>7.407407407407407E-4</v>
      </c>
      <c r="X2118" t="s">
        <v>4572</v>
      </c>
      <c r="Y2118">
        <v>11</v>
      </c>
      <c r="Z2118">
        <v>0</v>
      </c>
      <c r="AA2118" t="s">
        <v>49</v>
      </c>
      <c r="AB2118">
        <v>0</v>
      </c>
      <c r="AC2118" t="s">
        <v>49</v>
      </c>
      <c r="AD2118">
        <v>0</v>
      </c>
      <c r="AE2118">
        <v>11166755</v>
      </c>
      <c r="AF2118" t="s">
        <v>50</v>
      </c>
      <c r="AG2118" t="s">
        <v>118</v>
      </c>
    </row>
    <row r="2119" spans="1:33" x14ac:dyDescent="0.35">
      <c r="A2119" s="1">
        <v>44841.720138888886</v>
      </c>
      <c r="B2119">
        <v>6946268</v>
      </c>
      <c r="C2119" t="s">
        <v>333</v>
      </c>
      <c r="D2119" t="s">
        <v>213</v>
      </c>
      <c r="E2119" s="2">
        <v>44658</v>
      </c>
      <c r="F2119" t="str">
        <f>"9780323859875"</f>
        <v>9780323859875</v>
      </c>
      <c r="G2119" t="str">
        <f>"9780128244708"</f>
        <v>9780128244708</v>
      </c>
      <c r="H2119" t="s">
        <v>261</v>
      </c>
      <c r="I2119">
        <v>628.16200000000003</v>
      </c>
      <c r="J2119" t="s">
        <v>334</v>
      </c>
      <c r="K2119" t="s">
        <v>55</v>
      </c>
      <c r="N2119" t="s">
        <v>79</v>
      </c>
      <c r="P2119" t="s">
        <v>80</v>
      </c>
      <c r="Q2119" t="s">
        <v>47</v>
      </c>
      <c r="R2119" t="s">
        <v>44</v>
      </c>
      <c r="S2119">
        <v>0</v>
      </c>
      <c r="W2119" s="3">
        <v>5.7870370370370366E-5</v>
      </c>
      <c r="X2119" t="s">
        <v>4573</v>
      </c>
      <c r="Y2119">
        <v>1</v>
      </c>
      <c r="Z2119">
        <v>0</v>
      </c>
      <c r="AA2119" t="s">
        <v>49</v>
      </c>
      <c r="AB2119">
        <v>0</v>
      </c>
      <c r="AC2119" t="s">
        <v>49</v>
      </c>
      <c r="AD2119">
        <v>0</v>
      </c>
      <c r="AE2119">
        <v>-1</v>
      </c>
      <c r="AF2119" t="s">
        <v>50</v>
      </c>
      <c r="AG2119" t="s">
        <v>118</v>
      </c>
    </row>
    <row r="2120" spans="1:33" x14ac:dyDescent="0.35">
      <c r="A2120" s="1">
        <v>44841.7</v>
      </c>
      <c r="B2120">
        <v>3111674</v>
      </c>
      <c r="C2120" t="s">
        <v>4574</v>
      </c>
      <c r="D2120" t="s">
        <v>738</v>
      </c>
      <c r="E2120" s="2">
        <v>36008</v>
      </c>
      <c r="F2120" t="str">
        <f>"9781600861154"</f>
        <v>9781600861154</v>
      </c>
      <c r="G2120" t="str">
        <f>"9781563472626"</f>
        <v>9781563472626</v>
      </c>
      <c r="H2120" t="s">
        <v>579</v>
      </c>
      <c r="I2120" t="s">
        <v>1874</v>
      </c>
      <c r="J2120" t="s">
        <v>4575</v>
      </c>
      <c r="K2120" t="s">
        <v>44</v>
      </c>
      <c r="N2120" t="s">
        <v>45</v>
      </c>
      <c r="O2120" t="s">
        <v>46</v>
      </c>
      <c r="P2120" t="s">
        <v>45</v>
      </c>
      <c r="Q2120" t="s">
        <v>47</v>
      </c>
      <c r="R2120" t="s">
        <v>44</v>
      </c>
      <c r="S2120">
        <v>0</v>
      </c>
      <c r="W2120" s="3">
        <v>1.0416666666666667E-4</v>
      </c>
      <c r="X2120" t="s">
        <v>121</v>
      </c>
      <c r="Y2120">
        <v>1</v>
      </c>
      <c r="Z2120">
        <v>0</v>
      </c>
      <c r="AA2120" t="s">
        <v>49</v>
      </c>
      <c r="AB2120">
        <v>0</v>
      </c>
      <c r="AC2120" t="s">
        <v>49</v>
      </c>
      <c r="AD2120">
        <v>0</v>
      </c>
      <c r="AE2120">
        <v>10516779</v>
      </c>
      <c r="AF2120" t="s">
        <v>50</v>
      </c>
      <c r="AG2120" t="s">
        <v>118</v>
      </c>
    </row>
    <row r="2121" spans="1:33" x14ac:dyDescent="0.35">
      <c r="A2121" s="1">
        <v>44841.693055555559</v>
      </c>
      <c r="B2121">
        <v>6304303</v>
      </c>
      <c r="C2121" t="s">
        <v>4554</v>
      </c>
      <c r="D2121" t="s">
        <v>614</v>
      </c>
      <c r="E2121" s="2">
        <v>44058</v>
      </c>
      <c r="F2121" t="str">
        <f>"9789811548390"</f>
        <v>9789811548390</v>
      </c>
      <c r="G2121" t="str">
        <f>"9789811548383"</f>
        <v>9789811548383</v>
      </c>
      <c r="H2121" t="s">
        <v>1378</v>
      </c>
      <c r="I2121">
        <v>629.47439999999995</v>
      </c>
      <c r="J2121" t="s">
        <v>2748</v>
      </c>
      <c r="K2121" t="s">
        <v>55</v>
      </c>
      <c r="N2121" t="s">
        <v>79</v>
      </c>
      <c r="P2121" t="s">
        <v>80</v>
      </c>
      <c r="Q2121" t="s">
        <v>47</v>
      </c>
      <c r="R2121" t="s">
        <v>44</v>
      </c>
      <c r="S2121">
        <v>0</v>
      </c>
      <c r="W2121" s="3">
        <v>7.2337962962962963E-3</v>
      </c>
      <c r="X2121" t="s">
        <v>4576</v>
      </c>
      <c r="Y2121">
        <v>14</v>
      </c>
      <c r="Z2121">
        <v>0</v>
      </c>
      <c r="AA2121" t="s">
        <v>49</v>
      </c>
      <c r="AB2121">
        <v>0</v>
      </c>
      <c r="AC2121" t="s">
        <v>49</v>
      </c>
      <c r="AD2121">
        <v>0</v>
      </c>
      <c r="AE2121">
        <v>-1</v>
      </c>
      <c r="AF2121" t="s">
        <v>50</v>
      </c>
      <c r="AG2121" t="s">
        <v>118</v>
      </c>
    </row>
    <row r="2122" spans="1:33" x14ac:dyDescent="0.35">
      <c r="A2122" s="1">
        <v>44841.683333333334</v>
      </c>
      <c r="B2122">
        <v>6946268</v>
      </c>
      <c r="C2122" t="s">
        <v>333</v>
      </c>
      <c r="D2122" t="s">
        <v>213</v>
      </c>
      <c r="E2122" s="2">
        <v>44658</v>
      </c>
      <c r="F2122" t="str">
        <f>"9780323859875"</f>
        <v>9780323859875</v>
      </c>
      <c r="G2122" t="str">
        <f>"9780128244708"</f>
        <v>9780128244708</v>
      </c>
      <c r="H2122" t="s">
        <v>261</v>
      </c>
      <c r="I2122">
        <v>628.16200000000003</v>
      </c>
      <c r="J2122" t="s">
        <v>334</v>
      </c>
      <c r="K2122" t="s">
        <v>55</v>
      </c>
      <c r="N2122" t="s">
        <v>79</v>
      </c>
      <c r="P2122" t="s">
        <v>80</v>
      </c>
      <c r="Q2122" t="s">
        <v>47</v>
      </c>
      <c r="R2122" t="s">
        <v>44</v>
      </c>
      <c r="S2122">
        <v>0</v>
      </c>
      <c r="W2122" s="3">
        <v>4.6296296296296294E-5</v>
      </c>
      <c r="X2122" t="s">
        <v>4573</v>
      </c>
      <c r="Y2122">
        <v>1</v>
      </c>
      <c r="Z2122">
        <v>0</v>
      </c>
      <c r="AA2122" t="s">
        <v>49</v>
      </c>
      <c r="AB2122">
        <v>0</v>
      </c>
      <c r="AC2122" t="s">
        <v>49</v>
      </c>
      <c r="AD2122">
        <v>0</v>
      </c>
      <c r="AE2122">
        <v>-1</v>
      </c>
      <c r="AF2122" t="s">
        <v>50</v>
      </c>
      <c r="AG2122" t="s">
        <v>118</v>
      </c>
    </row>
    <row r="2123" spans="1:33" x14ac:dyDescent="0.35">
      <c r="A2123" s="1">
        <v>44841.652083333334</v>
      </c>
      <c r="B2123">
        <v>693314</v>
      </c>
      <c r="C2123" t="s">
        <v>4497</v>
      </c>
      <c r="D2123" t="s">
        <v>59</v>
      </c>
      <c r="E2123" s="2">
        <v>40805</v>
      </c>
      <c r="F2123" t="str">
        <f>"9781119971016"</f>
        <v>9781119971016</v>
      </c>
      <c r="G2123" t="str">
        <f>"9780470750124"</f>
        <v>9780470750124</v>
      </c>
      <c r="H2123" t="s">
        <v>579</v>
      </c>
      <c r="I2123">
        <v>629.47400000000005</v>
      </c>
      <c r="J2123" t="s">
        <v>4498</v>
      </c>
      <c r="K2123" t="s">
        <v>55</v>
      </c>
      <c r="N2123" t="s">
        <v>79</v>
      </c>
      <c r="P2123" t="s">
        <v>80</v>
      </c>
      <c r="Q2123" t="s">
        <v>47</v>
      </c>
      <c r="R2123" t="s">
        <v>44</v>
      </c>
      <c r="S2123">
        <v>0</v>
      </c>
      <c r="W2123" s="3">
        <v>3.9756944444444449E-2</v>
      </c>
      <c r="X2123" t="s">
        <v>4577</v>
      </c>
      <c r="Y2123">
        <v>54</v>
      </c>
      <c r="Z2123">
        <v>1</v>
      </c>
      <c r="AA2123" t="s">
        <v>4578</v>
      </c>
      <c r="AB2123">
        <v>15</v>
      </c>
      <c r="AC2123" t="s">
        <v>49</v>
      </c>
      <c r="AD2123">
        <v>0</v>
      </c>
      <c r="AE2123">
        <v>10494538</v>
      </c>
      <c r="AF2123" t="s">
        <v>50</v>
      </c>
      <c r="AG2123" t="s">
        <v>118</v>
      </c>
    </row>
    <row r="2124" spans="1:33" x14ac:dyDescent="0.35">
      <c r="A2124" s="1">
        <v>44841.637499999997</v>
      </c>
      <c r="B2124">
        <v>6946268</v>
      </c>
      <c r="C2124" t="s">
        <v>333</v>
      </c>
      <c r="D2124" t="s">
        <v>213</v>
      </c>
      <c r="E2124" s="2">
        <v>44658</v>
      </c>
      <c r="F2124" t="str">
        <f>"9780323859875"</f>
        <v>9780323859875</v>
      </c>
      <c r="G2124" t="str">
        <f>"9780128244708"</f>
        <v>9780128244708</v>
      </c>
      <c r="H2124" t="s">
        <v>261</v>
      </c>
      <c r="I2124">
        <v>628.16200000000003</v>
      </c>
      <c r="J2124" t="s">
        <v>334</v>
      </c>
      <c r="K2124" t="s">
        <v>55</v>
      </c>
      <c r="N2124" t="s">
        <v>79</v>
      </c>
      <c r="P2124" t="s">
        <v>80</v>
      </c>
      <c r="Q2124" t="s">
        <v>47</v>
      </c>
      <c r="R2124" t="s">
        <v>44</v>
      </c>
      <c r="S2124">
        <v>0</v>
      </c>
      <c r="W2124" s="3">
        <v>4.6296296296296294E-5</v>
      </c>
      <c r="X2124" t="s">
        <v>4573</v>
      </c>
      <c r="Y2124">
        <v>1</v>
      </c>
      <c r="Z2124">
        <v>0</v>
      </c>
      <c r="AA2124" t="s">
        <v>49</v>
      </c>
      <c r="AB2124">
        <v>0</v>
      </c>
      <c r="AC2124" t="s">
        <v>49</v>
      </c>
      <c r="AD2124">
        <v>0</v>
      </c>
      <c r="AE2124">
        <v>-1</v>
      </c>
      <c r="AF2124" t="s">
        <v>50</v>
      </c>
      <c r="AG2124" t="s">
        <v>118</v>
      </c>
    </row>
    <row r="2125" spans="1:33" x14ac:dyDescent="0.35">
      <c r="A2125" s="1">
        <v>44841.628472222219</v>
      </c>
      <c r="B2125">
        <v>4183127</v>
      </c>
      <c r="C2125" t="s">
        <v>190</v>
      </c>
      <c r="D2125" t="s">
        <v>59</v>
      </c>
      <c r="E2125" s="2">
        <v>42310</v>
      </c>
      <c r="F2125" t="str">
        <f>"9783527684649"</f>
        <v>9783527684649</v>
      </c>
      <c r="G2125" t="str">
        <f>"9783527331659"</f>
        <v>9783527331659</v>
      </c>
      <c r="H2125" t="s">
        <v>191</v>
      </c>
      <c r="I2125" t="s">
        <v>192</v>
      </c>
      <c r="J2125" t="s">
        <v>193</v>
      </c>
      <c r="K2125" t="s">
        <v>44</v>
      </c>
      <c r="N2125" t="s">
        <v>45</v>
      </c>
      <c r="O2125" t="s">
        <v>46</v>
      </c>
      <c r="P2125" t="s">
        <v>45</v>
      </c>
      <c r="Q2125" t="s">
        <v>47</v>
      </c>
      <c r="R2125" t="s">
        <v>44</v>
      </c>
      <c r="S2125">
        <v>0</v>
      </c>
      <c r="W2125" s="3">
        <v>0</v>
      </c>
      <c r="X2125" t="s">
        <v>49</v>
      </c>
      <c r="Y2125">
        <v>0</v>
      </c>
      <c r="Z2125">
        <v>0</v>
      </c>
      <c r="AA2125" t="s">
        <v>49</v>
      </c>
      <c r="AB2125">
        <v>0</v>
      </c>
      <c r="AC2125" t="s">
        <v>49</v>
      </c>
      <c r="AD2125">
        <v>0</v>
      </c>
      <c r="AE2125">
        <v>11125579</v>
      </c>
      <c r="AF2125" t="s">
        <v>50</v>
      </c>
      <c r="AG2125" t="s">
        <v>1536</v>
      </c>
    </row>
    <row r="2126" spans="1:33" x14ac:dyDescent="0.35">
      <c r="A2126" s="1">
        <v>44841.584027777775</v>
      </c>
      <c r="B2126">
        <v>5018903</v>
      </c>
      <c r="C2126" t="s">
        <v>4547</v>
      </c>
      <c r="D2126" t="s">
        <v>4548</v>
      </c>
      <c r="E2126" s="2">
        <v>42962</v>
      </c>
      <c r="F2126" t="str">
        <f>"9783736986053"</f>
        <v>9783736986053</v>
      </c>
      <c r="G2126" t="str">
        <f>"9783736996052"</f>
        <v>9783736996052</v>
      </c>
      <c r="H2126" t="s">
        <v>151</v>
      </c>
      <c r="I2126">
        <v>616.85209999999904</v>
      </c>
      <c r="J2126" t="s">
        <v>4549</v>
      </c>
      <c r="K2126" t="s">
        <v>44</v>
      </c>
      <c r="N2126" t="s">
        <v>45</v>
      </c>
      <c r="O2126" t="s">
        <v>46</v>
      </c>
      <c r="P2126" t="s">
        <v>177</v>
      </c>
      <c r="Q2126" t="s">
        <v>47</v>
      </c>
      <c r="R2126" t="s">
        <v>55</v>
      </c>
      <c r="S2126">
        <v>0</v>
      </c>
      <c r="W2126" s="3">
        <v>2.2916666666666667E-3</v>
      </c>
      <c r="X2126" t="s">
        <v>4579</v>
      </c>
      <c r="Y2126">
        <v>14</v>
      </c>
      <c r="Z2126">
        <v>0</v>
      </c>
      <c r="AA2126" t="s">
        <v>49</v>
      </c>
      <c r="AB2126">
        <v>0</v>
      </c>
      <c r="AC2126" t="s">
        <v>49</v>
      </c>
      <c r="AD2126">
        <v>0</v>
      </c>
      <c r="AE2126">
        <v>11431602</v>
      </c>
      <c r="AF2126" t="s">
        <v>50</v>
      </c>
      <c r="AG2126" t="s">
        <v>300</v>
      </c>
    </row>
    <row r="2127" spans="1:33" x14ac:dyDescent="0.35">
      <c r="A2127" s="1">
        <v>44841.579861111109</v>
      </c>
      <c r="B2127">
        <v>1643810</v>
      </c>
      <c r="C2127" t="s">
        <v>3487</v>
      </c>
      <c r="D2127" t="s">
        <v>59</v>
      </c>
      <c r="E2127" s="2">
        <v>41743</v>
      </c>
      <c r="F2127" t="str">
        <f>"9781118653890"</f>
        <v>9781118653890</v>
      </c>
      <c r="G2127" t="str">
        <f>"9781119968603"</f>
        <v>9781119968603</v>
      </c>
      <c r="H2127" t="s">
        <v>151</v>
      </c>
      <c r="I2127">
        <v>616.85220000000004</v>
      </c>
      <c r="J2127" t="s">
        <v>3488</v>
      </c>
      <c r="K2127" t="s">
        <v>44</v>
      </c>
      <c r="N2127" t="s">
        <v>45</v>
      </c>
      <c r="O2127" t="s">
        <v>46</v>
      </c>
      <c r="P2127" t="s">
        <v>45</v>
      </c>
      <c r="Q2127" t="s">
        <v>47</v>
      </c>
      <c r="R2127" t="s">
        <v>44</v>
      </c>
      <c r="S2127">
        <v>0</v>
      </c>
      <c r="W2127" s="3">
        <v>8.8773148148148153E-3</v>
      </c>
      <c r="X2127" t="s">
        <v>4580</v>
      </c>
      <c r="Y2127">
        <v>19</v>
      </c>
      <c r="Z2127">
        <v>0</v>
      </c>
      <c r="AA2127" t="s">
        <v>49</v>
      </c>
      <c r="AB2127">
        <v>0</v>
      </c>
      <c r="AC2127" t="s">
        <v>4581</v>
      </c>
      <c r="AD2127">
        <v>3</v>
      </c>
      <c r="AE2127">
        <v>10856787</v>
      </c>
      <c r="AF2127" t="s">
        <v>50</v>
      </c>
      <c r="AG2127" t="s">
        <v>300</v>
      </c>
    </row>
    <row r="2128" spans="1:33" x14ac:dyDescent="0.35">
      <c r="A2128" s="1">
        <v>44841.569444444445</v>
      </c>
      <c r="B2128">
        <v>6946268</v>
      </c>
      <c r="C2128" t="s">
        <v>333</v>
      </c>
      <c r="D2128" t="s">
        <v>213</v>
      </c>
      <c r="E2128" s="2">
        <v>44658</v>
      </c>
      <c r="F2128" t="str">
        <f>"9780323859875"</f>
        <v>9780323859875</v>
      </c>
      <c r="G2128" t="str">
        <f>"9780128244708"</f>
        <v>9780128244708</v>
      </c>
      <c r="H2128" t="s">
        <v>261</v>
      </c>
      <c r="I2128">
        <v>628.16200000000003</v>
      </c>
      <c r="J2128" t="s">
        <v>334</v>
      </c>
      <c r="K2128" t="s">
        <v>55</v>
      </c>
      <c r="N2128" t="s">
        <v>79</v>
      </c>
      <c r="P2128" t="s">
        <v>80</v>
      </c>
      <c r="Q2128" t="s">
        <v>47</v>
      </c>
      <c r="R2128" t="s">
        <v>44</v>
      </c>
      <c r="S2128">
        <v>0</v>
      </c>
      <c r="W2128" s="3">
        <v>1.25E-3</v>
      </c>
      <c r="X2128" t="s">
        <v>4582</v>
      </c>
      <c r="Y2128">
        <v>24</v>
      </c>
      <c r="Z2128">
        <v>1</v>
      </c>
      <c r="AA2128" t="s">
        <v>4583</v>
      </c>
      <c r="AB2128">
        <v>1</v>
      </c>
      <c r="AC2128" t="s">
        <v>49</v>
      </c>
      <c r="AD2128">
        <v>0</v>
      </c>
      <c r="AE2128">
        <v>-1</v>
      </c>
      <c r="AF2128" t="s">
        <v>50</v>
      </c>
      <c r="AG2128" t="s">
        <v>118</v>
      </c>
    </row>
    <row r="2129" spans="1:33" x14ac:dyDescent="0.35">
      <c r="A2129" s="1">
        <v>44841.538888888892</v>
      </c>
      <c r="B2129">
        <v>313569</v>
      </c>
      <c r="C2129" t="s">
        <v>4584</v>
      </c>
      <c r="D2129" t="s">
        <v>65</v>
      </c>
      <c r="E2129" s="2">
        <v>36271</v>
      </c>
      <c r="F2129" t="str">
        <f>"9780080526928"</f>
        <v>9780080526928</v>
      </c>
      <c r="G2129" t="str">
        <f>"9780123523358"</f>
        <v>9780123523358</v>
      </c>
      <c r="H2129" t="s">
        <v>4585</v>
      </c>
      <c r="I2129" t="s">
        <v>4586</v>
      </c>
      <c r="J2129" t="s">
        <v>4587</v>
      </c>
      <c r="K2129" t="s">
        <v>44</v>
      </c>
      <c r="N2129" t="s">
        <v>45</v>
      </c>
      <c r="O2129" t="s">
        <v>46</v>
      </c>
      <c r="P2129" t="s">
        <v>45</v>
      </c>
      <c r="Q2129" t="s">
        <v>47</v>
      </c>
      <c r="R2129" t="s">
        <v>44</v>
      </c>
      <c r="S2129">
        <v>0</v>
      </c>
      <c r="W2129" s="3">
        <v>5.5555555555555556E-4</v>
      </c>
      <c r="X2129" t="s">
        <v>4588</v>
      </c>
      <c r="Y2129">
        <v>8</v>
      </c>
      <c r="Z2129">
        <v>0</v>
      </c>
      <c r="AA2129" t="s">
        <v>49</v>
      </c>
      <c r="AB2129">
        <v>0</v>
      </c>
      <c r="AC2129" t="s">
        <v>49</v>
      </c>
      <c r="AD2129">
        <v>0</v>
      </c>
      <c r="AE2129">
        <v>10190947</v>
      </c>
      <c r="AF2129" t="s">
        <v>50</v>
      </c>
      <c r="AG2129" t="s">
        <v>4589</v>
      </c>
    </row>
    <row r="2130" spans="1:33" x14ac:dyDescent="0.35">
      <c r="A2130" s="1">
        <v>44841.53125</v>
      </c>
      <c r="B2130">
        <v>1679328</v>
      </c>
      <c r="C2130" t="s">
        <v>4590</v>
      </c>
      <c r="D2130" t="s">
        <v>71</v>
      </c>
      <c r="E2130" s="2">
        <v>36495</v>
      </c>
      <c r="F2130" t="str">
        <f>"9781860949234"</f>
        <v>9781860949234</v>
      </c>
      <c r="G2130" t="str">
        <f>"9781860941917"</f>
        <v>9781860941917</v>
      </c>
      <c r="H2130" t="s">
        <v>4591</v>
      </c>
      <c r="I2130">
        <v>615.90200000000004</v>
      </c>
      <c r="J2130" t="s">
        <v>4592</v>
      </c>
      <c r="K2130" t="s">
        <v>44</v>
      </c>
      <c r="N2130" t="s">
        <v>45</v>
      </c>
      <c r="O2130" t="s">
        <v>46</v>
      </c>
      <c r="P2130" t="s">
        <v>45</v>
      </c>
      <c r="Q2130" t="s">
        <v>47</v>
      </c>
      <c r="R2130" t="s">
        <v>44</v>
      </c>
      <c r="S2130">
        <v>0</v>
      </c>
      <c r="W2130" s="3">
        <v>2.3379629629629631E-3</v>
      </c>
      <c r="X2130" t="s">
        <v>4593</v>
      </c>
      <c r="Y2130">
        <v>26</v>
      </c>
      <c r="Z2130">
        <v>0</v>
      </c>
      <c r="AA2130" t="s">
        <v>49</v>
      </c>
      <c r="AB2130">
        <v>0</v>
      </c>
      <c r="AC2130" t="s">
        <v>49</v>
      </c>
      <c r="AD2130">
        <v>0</v>
      </c>
      <c r="AE2130">
        <v>10201307</v>
      </c>
      <c r="AF2130" t="s">
        <v>50</v>
      </c>
      <c r="AG2130" t="s">
        <v>4589</v>
      </c>
    </row>
    <row r="2131" spans="1:33" x14ac:dyDescent="0.35">
      <c r="A2131" s="1">
        <v>44841.355555555558</v>
      </c>
      <c r="B2131">
        <v>5158201</v>
      </c>
      <c r="C2131" t="s">
        <v>4527</v>
      </c>
      <c r="D2131" t="s">
        <v>115</v>
      </c>
      <c r="E2131" s="2">
        <v>43178</v>
      </c>
      <c r="F2131" t="str">
        <f>"9783110549638"</f>
        <v>9783110549638</v>
      </c>
      <c r="G2131" t="str">
        <f>"9783110549249"</f>
        <v>9783110549249</v>
      </c>
      <c r="H2131" t="s">
        <v>72</v>
      </c>
      <c r="I2131" t="s">
        <v>4528</v>
      </c>
      <c r="J2131" t="s">
        <v>4529</v>
      </c>
      <c r="K2131" t="s">
        <v>44</v>
      </c>
      <c r="N2131" t="s">
        <v>45</v>
      </c>
      <c r="O2131" t="s">
        <v>46</v>
      </c>
      <c r="P2131" t="s">
        <v>45</v>
      </c>
      <c r="Q2131" t="s">
        <v>47</v>
      </c>
      <c r="R2131" t="s">
        <v>44</v>
      </c>
      <c r="S2131">
        <v>0</v>
      </c>
      <c r="W2131" s="3">
        <v>0</v>
      </c>
      <c r="X2131" t="s">
        <v>49</v>
      </c>
      <c r="Y2131">
        <v>0</v>
      </c>
      <c r="Z2131">
        <v>1</v>
      </c>
      <c r="AA2131" t="s">
        <v>4594</v>
      </c>
      <c r="AB2131">
        <v>66</v>
      </c>
      <c r="AC2131" t="s">
        <v>49</v>
      </c>
      <c r="AD2131">
        <v>0</v>
      </c>
      <c r="AE2131">
        <v>11566832</v>
      </c>
      <c r="AF2131" t="s">
        <v>50</v>
      </c>
      <c r="AG2131" t="s">
        <v>118</v>
      </c>
    </row>
    <row r="2132" spans="1:33" x14ac:dyDescent="0.35">
      <c r="A2132" s="1">
        <v>44841.030555555553</v>
      </c>
      <c r="B2132">
        <v>2197273</v>
      </c>
      <c r="C2132" t="s">
        <v>4595</v>
      </c>
      <c r="D2132" t="s">
        <v>65</v>
      </c>
      <c r="E2132" s="2">
        <v>42237</v>
      </c>
      <c r="F2132" t="str">
        <f>"9781782423843"</f>
        <v>9781782423843</v>
      </c>
      <c r="G2132" t="str">
        <f>"9781782423621"</f>
        <v>9781782423621</v>
      </c>
      <c r="H2132" t="s">
        <v>1112</v>
      </c>
      <c r="I2132">
        <v>665.81</v>
      </c>
      <c r="J2132" t="s">
        <v>4596</v>
      </c>
      <c r="K2132" t="s">
        <v>44</v>
      </c>
      <c r="N2132" t="s">
        <v>45</v>
      </c>
      <c r="O2132" t="s">
        <v>46</v>
      </c>
      <c r="P2132" t="s">
        <v>45</v>
      </c>
      <c r="Q2132" t="s">
        <v>47</v>
      </c>
      <c r="R2132" t="s">
        <v>44</v>
      </c>
      <c r="S2132">
        <v>0</v>
      </c>
      <c r="W2132" s="3">
        <v>3.2870370370370367E-3</v>
      </c>
      <c r="X2132" t="s">
        <v>4597</v>
      </c>
      <c r="Y2132">
        <v>23</v>
      </c>
      <c r="Z2132">
        <v>0</v>
      </c>
      <c r="AA2132" t="s">
        <v>49</v>
      </c>
      <c r="AB2132">
        <v>0</v>
      </c>
      <c r="AC2132" t="s">
        <v>49</v>
      </c>
      <c r="AD2132">
        <v>0</v>
      </c>
      <c r="AE2132">
        <v>11306153</v>
      </c>
      <c r="AF2132" t="s">
        <v>63</v>
      </c>
      <c r="AG2132" t="s">
        <v>4589</v>
      </c>
    </row>
    <row r="2133" spans="1:33" x14ac:dyDescent="0.35">
      <c r="A2133" s="1">
        <v>44840.95416666667</v>
      </c>
      <c r="B2133">
        <v>279494</v>
      </c>
      <c r="C2133" t="s">
        <v>1333</v>
      </c>
      <c r="D2133" t="s">
        <v>125</v>
      </c>
      <c r="E2133" s="2">
        <v>37280</v>
      </c>
      <c r="F2133" t="str">
        <f>"9780198032953"</f>
        <v>9780198032953</v>
      </c>
      <c r="G2133" t="str">
        <f>"9780195144208"</f>
        <v>9780195144208</v>
      </c>
      <c r="H2133" t="s">
        <v>667</v>
      </c>
      <c r="I2133" t="s">
        <v>1334</v>
      </c>
      <c r="J2133" t="s">
        <v>1335</v>
      </c>
      <c r="K2133" t="s">
        <v>44</v>
      </c>
      <c r="N2133" t="s">
        <v>45</v>
      </c>
      <c r="O2133" t="s">
        <v>46</v>
      </c>
      <c r="P2133" t="s">
        <v>45</v>
      </c>
      <c r="Q2133" t="s">
        <v>47</v>
      </c>
      <c r="R2133" t="s">
        <v>44</v>
      </c>
      <c r="S2133">
        <v>0</v>
      </c>
      <c r="W2133" s="3">
        <v>2.0868055555555556E-2</v>
      </c>
      <c r="X2133" t="s">
        <v>4598</v>
      </c>
      <c r="Y2133">
        <v>15</v>
      </c>
      <c r="Z2133">
        <v>0</v>
      </c>
      <c r="AA2133" t="s">
        <v>49</v>
      </c>
      <c r="AB2133">
        <v>0</v>
      </c>
      <c r="AC2133" t="s">
        <v>49</v>
      </c>
      <c r="AD2133">
        <v>0</v>
      </c>
      <c r="AE2133">
        <v>11303309</v>
      </c>
      <c r="AF2133" t="s">
        <v>50</v>
      </c>
      <c r="AG2133" t="s">
        <v>1355</v>
      </c>
    </row>
    <row r="2134" spans="1:33" x14ac:dyDescent="0.35">
      <c r="A2134" s="1">
        <v>44840.930555555555</v>
      </c>
      <c r="B2134">
        <v>279494</v>
      </c>
      <c r="C2134" t="s">
        <v>1333</v>
      </c>
      <c r="D2134" t="s">
        <v>125</v>
      </c>
      <c r="E2134" s="2">
        <v>37280</v>
      </c>
      <c r="F2134" t="str">
        <f>"9780198032953"</f>
        <v>9780198032953</v>
      </c>
      <c r="G2134" t="str">
        <f>"9780195144208"</f>
        <v>9780195144208</v>
      </c>
      <c r="H2134" t="s">
        <v>667</v>
      </c>
      <c r="I2134" t="s">
        <v>1334</v>
      </c>
      <c r="J2134" t="s">
        <v>1335</v>
      </c>
      <c r="K2134" t="s">
        <v>44</v>
      </c>
      <c r="N2134" t="s">
        <v>45</v>
      </c>
      <c r="O2134" t="s">
        <v>46</v>
      </c>
      <c r="P2134" t="s">
        <v>45</v>
      </c>
      <c r="Q2134" t="s">
        <v>47</v>
      </c>
      <c r="R2134" t="s">
        <v>44</v>
      </c>
      <c r="S2134">
        <v>0</v>
      </c>
      <c r="W2134" s="3">
        <v>4.6296296296296294E-5</v>
      </c>
      <c r="X2134" t="s">
        <v>121</v>
      </c>
      <c r="Y2134">
        <v>1</v>
      </c>
      <c r="Z2134">
        <v>0</v>
      </c>
      <c r="AA2134" t="s">
        <v>49</v>
      </c>
      <c r="AB2134">
        <v>0</v>
      </c>
      <c r="AC2134" t="s">
        <v>49</v>
      </c>
      <c r="AD2134">
        <v>0</v>
      </c>
      <c r="AE2134">
        <v>11303309</v>
      </c>
      <c r="AF2134" t="s">
        <v>50</v>
      </c>
      <c r="AG2134" t="s">
        <v>118</v>
      </c>
    </row>
    <row r="2135" spans="1:33" x14ac:dyDescent="0.35">
      <c r="A2135" s="1">
        <v>44840.896527777775</v>
      </c>
      <c r="B2135">
        <v>6719368</v>
      </c>
      <c r="C2135" t="s">
        <v>3773</v>
      </c>
      <c r="D2135" t="s">
        <v>59</v>
      </c>
      <c r="E2135" s="2">
        <v>44453</v>
      </c>
      <c r="F2135" t="str">
        <f>"9781119713166"</f>
        <v>9781119713166</v>
      </c>
      <c r="G2135" t="str">
        <f>"9781119713159"</f>
        <v>9781119713159</v>
      </c>
      <c r="H2135" t="s">
        <v>538</v>
      </c>
      <c r="I2135" t="s">
        <v>3774</v>
      </c>
      <c r="J2135" t="s">
        <v>3775</v>
      </c>
      <c r="K2135" t="s">
        <v>55</v>
      </c>
      <c r="Q2135" t="s">
        <v>47</v>
      </c>
      <c r="R2135" t="s">
        <v>44</v>
      </c>
      <c r="S2135">
        <v>0</v>
      </c>
      <c r="W2135" s="3">
        <v>3.0324074074074073E-3</v>
      </c>
      <c r="X2135" t="s">
        <v>4599</v>
      </c>
      <c r="Y2135">
        <v>36</v>
      </c>
      <c r="Z2135">
        <v>0</v>
      </c>
      <c r="AA2135" t="s">
        <v>49</v>
      </c>
      <c r="AB2135">
        <v>0</v>
      </c>
      <c r="AC2135" t="s">
        <v>49</v>
      </c>
      <c r="AD2135">
        <v>0</v>
      </c>
      <c r="AE2135">
        <v>-1</v>
      </c>
      <c r="AF2135" t="s">
        <v>63</v>
      </c>
      <c r="AG2135" t="s">
        <v>118</v>
      </c>
    </row>
    <row r="2136" spans="1:33" x14ac:dyDescent="0.35">
      <c r="A2136" s="1">
        <v>44840.895138888889</v>
      </c>
      <c r="B2136">
        <v>6682574</v>
      </c>
      <c r="C2136" t="s">
        <v>4600</v>
      </c>
      <c r="D2136" t="s">
        <v>76</v>
      </c>
      <c r="E2136" s="2">
        <v>44487</v>
      </c>
      <c r="F2136" t="str">
        <f>"9781000480856"</f>
        <v>9781000480856</v>
      </c>
      <c r="G2136" t="str">
        <f>"9781032137988"</f>
        <v>9781032137988</v>
      </c>
      <c r="H2136" t="s">
        <v>4601</v>
      </c>
      <c r="I2136">
        <v>577.22</v>
      </c>
      <c r="J2136" t="s">
        <v>4602</v>
      </c>
      <c r="K2136" t="s">
        <v>55</v>
      </c>
      <c r="Q2136" t="s">
        <v>47</v>
      </c>
      <c r="R2136" t="s">
        <v>44</v>
      </c>
      <c r="S2136">
        <v>0</v>
      </c>
      <c r="W2136" s="3">
        <v>1.4467592592592594E-3</v>
      </c>
      <c r="X2136" t="s">
        <v>4603</v>
      </c>
      <c r="Y2136">
        <v>18</v>
      </c>
      <c r="Z2136">
        <v>0</v>
      </c>
      <c r="AA2136" t="s">
        <v>49</v>
      </c>
      <c r="AB2136">
        <v>0</v>
      </c>
      <c r="AC2136" t="s">
        <v>49</v>
      </c>
      <c r="AD2136">
        <v>0</v>
      </c>
      <c r="AE2136">
        <v>-1</v>
      </c>
      <c r="AF2136" t="s">
        <v>50</v>
      </c>
      <c r="AG2136" t="s">
        <v>118</v>
      </c>
    </row>
    <row r="2137" spans="1:33" x14ac:dyDescent="0.35">
      <c r="A2137" s="1">
        <v>44840.836805555555</v>
      </c>
      <c r="B2137">
        <v>2197273</v>
      </c>
      <c r="C2137" t="s">
        <v>4595</v>
      </c>
      <c r="D2137" t="s">
        <v>65</v>
      </c>
      <c r="E2137" s="2">
        <v>42237</v>
      </c>
      <c r="F2137" t="str">
        <f>"9781782423843"</f>
        <v>9781782423843</v>
      </c>
      <c r="G2137" t="str">
        <f>"9781782423621"</f>
        <v>9781782423621</v>
      </c>
      <c r="H2137" t="s">
        <v>1112</v>
      </c>
      <c r="I2137">
        <v>665.81</v>
      </c>
      <c r="J2137" t="s">
        <v>4596</v>
      </c>
      <c r="K2137" t="s">
        <v>44</v>
      </c>
      <c r="N2137" t="s">
        <v>45</v>
      </c>
      <c r="O2137" t="s">
        <v>46</v>
      </c>
      <c r="P2137" t="s">
        <v>45</v>
      </c>
      <c r="Q2137" t="s">
        <v>47</v>
      </c>
      <c r="R2137" t="s">
        <v>44</v>
      </c>
      <c r="S2137">
        <v>0</v>
      </c>
      <c r="W2137" s="3">
        <v>7.8935185185185185E-3</v>
      </c>
      <c r="X2137" t="s">
        <v>4604</v>
      </c>
      <c r="Y2137">
        <v>40</v>
      </c>
      <c r="Z2137">
        <v>0</v>
      </c>
      <c r="AA2137" t="s">
        <v>49</v>
      </c>
      <c r="AB2137">
        <v>0</v>
      </c>
      <c r="AC2137" t="s">
        <v>49</v>
      </c>
      <c r="AD2137">
        <v>0</v>
      </c>
      <c r="AE2137">
        <v>11306153</v>
      </c>
      <c r="AF2137" t="s">
        <v>50</v>
      </c>
      <c r="AG2137" t="s">
        <v>4589</v>
      </c>
    </row>
    <row r="2138" spans="1:33" x14ac:dyDescent="0.35">
      <c r="A2138" s="1">
        <v>44840.836111111108</v>
      </c>
      <c r="B2138">
        <v>819162</v>
      </c>
      <c r="C2138" t="s">
        <v>3732</v>
      </c>
      <c r="D2138" t="s">
        <v>59</v>
      </c>
      <c r="E2138" s="2">
        <v>40812</v>
      </c>
      <c r="F2138" t="str">
        <f>"9781119978572"</f>
        <v>9781119978572</v>
      </c>
      <c r="G2138" t="str">
        <f>"9780470972007"</f>
        <v>9780470972007</v>
      </c>
      <c r="H2138" t="s">
        <v>1720</v>
      </c>
      <c r="I2138" t="s">
        <v>3733</v>
      </c>
      <c r="J2138" t="s">
        <v>3734</v>
      </c>
      <c r="K2138" t="s">
        <v>44</v>
      </c>
      <c r="N2138" t="s">
        <v>45</v>
      </c>
      <c r="O2138" t="s">
        <v>46</v>
      </c>
      <c r="P2138" t="s">
        <v>45</v>
      </c>
      <c r="Q2138" t="s">
        <v>47</v>
      </c>
      <c r="R2138" t="s">
        <v>44</v>
      </c>
      <c r="S2138">
        <v>0</v>
      </c>
      <c r="W2138" s="3">
        <v>1.0069444444444444E-3</v>
      </c>
      <c r="X2138" t="s">
        <v>4605</v>
      </c>
      <c r="Y2138">
        <v>14</v>
      </c>
      <c r="Z2138">
        <v>0</v>
      </c>
      <c r="AA2138" t="s">
        <v>49</v>
      </c>
      <c r="AB2138">
        <v>0</v>
      </c>
      <c r="AC2138" t="s">
        <v>49</v>
      </c>
      <c r="AD2138">
        <v>0</v>
      </c>
      <c r="AE2138">
        <v>10488531</v>
      </c>
      <c r="AF2138" t="s">
        <v>50</v>
      </c>
      <c r="AG2138" t="s">
        <v>118</v>
      </c>
    </row>
    <row r="2139" spans="1:33" x14ac:dyDescent="0.35">
      <c r="A2139" s="1">
        <v>44840.813194444447</v>
      </c>
      <c r="B2139">
        <v>5764286</v>
      </c>
      <c r="C2139" t="s">
        <v>4606</v>
      </c>
      <c r="D2139" t="s">
        <v>141</v>
      </c>
      <c r="E2139" s="2">
        <v>43585</v>
      </c>
      <c r="F2139" t="str">
        <f>"9781838557669"</f>
        <v>9781838557669</v>
      </c>
      <c r="G2139" t="str">
        <f>"9781838552268"</f>
        <v>9781838552268</v>
      </c>
      <c r="H2139" t="s">
        <v>138</v>
      </c>
      <c r="I2139">
        <v>5.3</v>
      </c>
      <c r="J2139" t="s">
        <v>4607</v>
      </c>
      <c r="K2139" t="s">
        <v>55</v>
      </c>
      <c r="Q2139" t="s">
        <v>47</v>
      </c>
      <c r="R2139" t="s">
        <v>44</v>
      </c>
      <c r="S2139">
        <v>0</v>
      </c>
      <c r="W2139" s="3">
        <v>1.5740740740740741E-3</v>
      </c>
      <c r="X2139" t="s">
        <v>4608</v>
      </c>
      <c r="Y2139">
        <v>20</v>
      </c>
      <c r="Z2139">
        <v>0</v>
      </c>
      <c r="AA2139" t="s">
        <v>49</v>
      </c>
      <c r="AB2139">
        <v>0</v>
      </c>
      <c r="AC2139" t="s">
        <v>49</v>
      </c>
      <c r="AD2139">
        <v>0</v>
      </c>
      <c r="AE2139">
        <v>-1</v>
      </c>
      <c r="AF2139" t="s">
        <v>50</v>
      </c>
      <c r="AG2139" t="s">
        <v>4324</v>
      </c>
    </row>
    <row r="2140" spans="1:33" x14ac:dyDescent="0.35">
      <c r="A2140" s="1">
        <v>44840.810416666667</v>
      </c>
      <c r="B2140">
        <v>5439457</v>
      </c>
      <c r="C2140" t="s">
        <v>4609</v>
      </c>
      <c r="D2140" t="s">
        <v>141</v>
      </c>
      <c r="E2140" s="2">
        <v>43278</v>
      </c>
      <c r="F2140" t="str">
        <f>"9781788629973"</f>
        <v>9781788629973</v>
      </c>
      <c r="G2140" t="str">
        <f>"9781788623315"</f>
        <v>9781788623315</v>
      </c>
      <c r="H2140" t="s">
        <v>138</v>
      </c>
      <c r="I2140">
        <v>5.133</v>
      </c>
      <c r="J2140" t="s">
        <v>4610</v>
      </c>
      <c r="K2140" t="s">
        <v>44</v>
      </c>
      <c r="N2140" t="s">
        <v>45</v>
      </c>
      <c r="O2140" t="s">
        <v>46</v>
      </c>
      <c r="P2140" t="s">
        <v>177</v>
      </c>
      <c r="Q2140" t="s">
        <v>47</v>
      </c>
      <c r="R2140" t="s">
        <v>55</v>
      </c>
      <c r="S2140">
        <v>0</v>
      </c>
      <c r="W2140" s="3">
        <v>1.0069444444444444E-3</v>
      </c>
      <c r="X2140" t="s">
        <v>4611</v>
      </c>
      <c r="Y2140">
        <v>20</v>
      </c>
      <c r="Z2140">
        <v>0</v>
      </c>
      <c r="AA2140" t="s">
        <v>49</v>
      </c>
      <c r="AB2140">
        <v>0</v>
      </c>
      <c r="AC2140" t="s">
        <v>49</v>
      </c>
      <c r="AD2140">
        <v>0</v>
      </c>
      <c r="AE2140">
        <v>-1</v>
      </c>
      <c r="AF2140" t="s">
        <v>50</v>
      </c>
      <c r="AG2140" t="s">
        <v>4324</v>
      </c>
    </row>
    <row r="2141" spans="1:33" x14ac:dyDescent="0.35">
      <c r="A2141" s="1">
        <v>44840.810416666667</v>
      </c>
      <c r="B2141">
        <v>6565012</v>
      </c>
      <c r="C2141" t="s">
        <v>3933</v>
      </c>
      <c r="D2141" t="s">
        <v>137</v>
      </c>
      <c r="E2141" s="2">
        <v>44357</v>
      </c>
      <c r="F2141" t="str">
        <f>"9781536196153"</f>
        <v>9781536196153</v>
      </c>
      <c r="G2141" t="str">
        <f>"9781536195125"</f>
        <v>9781536195125</v>
      </c>
      <c r="H2141" t="s">
        <v>138</v>
      </c>
      <c r="K2141" t="s">
        <v>55</v>
      </c>
      <c r="Q2141" t="s">
        <v>47</v>
      </c>
      <c r="R2141" t="s">
        <v>44</v>
      </c>
      <c r="S2141">
        <v>0</v>
      </c>
      <c r="W2141" s="3">
        <v>2.1874999999999998E-3</v>
      </c>
      <c r="X2141" t="s">
        <v>56</v>
      </c>
      <c r="Y2141">
        <v>3</v>
      </c>
      <c r="Z2141">
        <v>0</v>
      </c>
      <c r="AA2141" t="s">
        <v>49</v>
      </c>
      <c r="AB2141">
        <v>0</v>
      </c>
      <c r="AC2141" t="s">
        <v>49</v>
      </c>
      <c r="AD2141">
        <v>0</v>
      </c>
      <c r="AE2141">
        <v>-1</v>
      </c>
      <c r="AF2141" t="s">
        <v>50</v>
      </c>
      <c r="AG2141" t="s">
        <v>4324</v>
      </c>
    </row>
    <row r="2142" spans="1:33" x14ac:dyDescent="0.35">
      <c r="A2142" s="1">
        <v>44840.809027777781</v>
      </c>
      <c r="B2142">
        <v>6565012</v>
      </c>
      <c r="C2142" t="s">
        <v>3933</v>
      </c>
      <c r="D2142" t="s">
        <v>137</v>
      </c>
      <c r="E2142" s="2">
        <v>44357</v>
      </c>
      <c r="F2142" t="str">
        <f>"9781536196153"</f>
        <v>9781536196153</v>
      </c>
      <c r="G2142" t="str">
        <f>"9781536195125"</f>
        <v>9781536195125</v>
      </c>
      <c r="H2142" t="s">
        <v>138</v>
      </c>
      <c r="K2142" t="s">
        <v>55</v>
      </c>
      <c r="Q2142" t="s">
        <v>47</v>
      </c>
      <c r="R2142" t="s">
        <v>44</v>
      </c>
      <c r="S2142">
        <v>0</v>
      </c>
      <c r="W2142" s="3">
        <v>1.0069444444444444E-3</v>
      </c>
      <c r="X2142" t="s">
        <v>4612</v>
      </c>
      <c r="Y2142">
        <v>16</v>
      </c>
      <c r="Z2142">
        <v>0</v>
      </c>
      <c r="AA2142" t="s">
        <v>49</v>
      </c>
      <c r="AB2142">
        <v>0</v>
      </c>
      <c r="AC2142" t="s">
        <v>49</v>
      </c>
      <c r="AD2142">
        <v>0</v>
      </c>
      <c r="AE2142">
        <v>-1</v>
      </c>
      <c r="AF2142" t="s">
        <v>50</v>
      </c>
      <c r="AG2142" t="s">
        <v>4324</v>
      </c>
    </row>
    <row r="2143" spans="1:33" x14ac:dyDescent="0.35">
      <c r="A2143" s="1">
        <v>44840.720138888886</v>
      </c>
      <c r="B2143">
        <v>279494</v>
      </c>
      <c r="C2143" t="s">
        <v>1333</v>
      </c>
      <c r="D2143" t="s">
        <v>125</v>
      </c>
      <c r="E2143" s="2">
        <v>37280</v>
      </c>
      <c r="F2143" t="str">
        <f>"9780198032953"</f>
        <v>9780198032953</v>
      </c>
      <c r="G2143" t="str">
        <f>"9780195144208"</f>
        <v>9780195144208</v>
      </c>
      <c r="H2143" t="s">
        <v>667</v>
      </c>
      <c r="I2143" t="s">
        <v>1334</v>
      </c>
      <c r="J2143" t="s">
        <v>1335</v>
      </c>
      <c r="K2143" t="s">
        <v>44</v>
      </c>
      <c r="N2143" t="s">
        <v>45</v>
      </c>
      <c r="O2143" t="s">
        <v>46</v>
      </c>
      <c r="P2143" t="s">
        <v>45</v>
      </c>
      <c r="Q2143" t="s">
        <v>47</v>
      </c>
      <c r="R2143" t="s">
        <v>44</v>
      </c>
      <c r="S2143">
        <v>0</v>
      </c>
      <c r="W2143" s="3">
        <v>4.6296296296296294E-5</v>
      </c>
      <c r="X2143" t="s">
        <v>121</v>
      </c>
      <c r="Y2143">
        <v>1</v>
      </c>
      <c r="Z2143">
        <v>0</v>
      </c>
      <c r="AA2143" t="s">
        <v>49</v>
      </c>
      <c r="AB2143">
        <v>0</v>
      </c>
      <c r="AC2143" t="s">
        <v>49</v>
      </c>
      <c r="AD2143">
        <v>0</v>
      </c>
      <c r="AE2143">
        <v>11303309</v>
      </c>
      <c r="AF2143" t="s">
        <v>50</v>
      </c>
      <c r="AG2143" t="s">
        <v>118</v>
      </c>
    </row>
    <row r="2144" spans="1:33" x14ac:dyDescent="0.35">
      <c r="A2144" s="1">
        <v>44840.705555555556</v>
      </c>
      <c r="B2144">
        <v>279494</v>
      </c>
      <c r="C2144" t="s">
        <v>1333</v>
      </c>
      <c r="D2144" t="s">
        <v>125</v>
      </c>
      <c r="E2144" s="2">
        <v>37280</v>
      </c>
      <c r="F2144" t="str">
        <f>"9780198032953"</f>
        <v>9780198032953</v>
      </c>
      <c r="G2144" t="str">
        <f>"9780195144208"</f>
        <v>9780195144208</v>
      </c>
      <c r="H2144" t="s">
        <v>667</v>
      </c>
      <c r="I2144" t="s">
        <v>1334</v>
      </c>
      <c r="J2144" t="s">
        <v>1335</v>
      </c>
      <c r="K2144" t="s">
        <v>44</v>
      </c>
      <c r="N2144" t="s">
        <v>45</v>
      </c>
      <c r="O2144" t="s">
        <v>46</v>
      </c>
      <c r="P2144" t="s">
        <v>45</v>
      </c>
      <c r="Q2144" t="s">
        <v>47</v>
      </c>
      <c r="R2144" t="s">
        <v>44</v>
      </c>
      <c r="S2144">
        <v>0</v>
      </c>
      <c r="W2144" s="3">
        <v>2.3148148148148147E-5</v>
      </c>
      <c r="X2144" t="s">
        <v>4613</v>
      </c>
      <c r="Y2144">
        <v>1</v>
      </c>
      <c r="Z2144">
        <v>0</v>
      </c>
      <c r="AA2144" t="s">
        <v>49</v>
      </c>
      <c r="AB2144">
        <v>0</v>
      </c>
      <c r="AC2144" t="s">
        <v>49</v>
      </c>
      <c r="AD2144">
        <v>0</v>
      </c>
      <c r="AE2144">
        <v>11303309</v>
      </c>
      <c r="AF2144" t="s">
        <v>50</v>
      </c>
      <c r="AG2144" t="s">
        <v>118</v>
      </c>
    </row>
    <row r="2145" spans="1:33" x14ac:dyDescent="0.35">
      <c r="A2145" s="1">
        <v>44840.697222222225</v>
      </c>
      <c r="B2145">
        <v>1341160</v>
      </c>
      <c r="C2145" t="s">
        <v>4614</v>
      </c>
      <c r="D2145" t="s">
        <v>4615</v>
      </c>
      <c r="E2145" s="2">
        <v>41456</v>
      </c>
      <c r="F2145" t="str">
        <f>"9781889057866"</f>
        <v>9781889057866</v>
      </c>
      <c r="G2145" t="str">
        <f>"9781889057989"</f>
        <v>9781889057989</v>
      </c>
      <c r="H2145" t="s">
        <v>77</v>
      </c>
      <c r="I2145">
        <v>610.76</v>
      </c>
      <c r="J2145" t="s">
        <v>4616</v>
      </c>
      <c r="K2145" t="s">
        <v>44</v>
      </c>
      <c r="N2145" t="s">
        <v>45</v>
      </c>
      <c r="O2145" t="s">
        <v>46</v>
      </c>
      <c r="P2145" t="s">
        <v>45</v>
      </c>
      <c r="Q2145" t="s">
        <v>47</v>
      </c>
      <c r="R2145" t="s">
        <v>44</v>
      </c>
      <c r="S2145">
        <v>0</v>
      </c>
      <c r="W2145" s="3">
        <v>5.7870370370370378E-4</v>
      </c>
      <c r="X2145" t="s">
        <v>4617</v>
      </c>
      <c r="Y2145">
        <v>4</v>
      </c>
      <c r="Z2145">
        <v>0</v>
      </c>
      <c r="AA2145" t="s">
        <v>49</v>
      </c>
      <c r="AB2145">
        <v>0</v>
      </c>
      <c r="AC2145" t="s">
        <v>49</v>
      </c>
      <c r="AD2145">
        <v>0</v>
      </c>
      <c r="AE2145">
        <v>10739147</v>
      </c>
      <c r="AF2145" t="s">
        <v>50</v>
      </c>
      <c r="AG2145" t="s">
        <v>1536</v>
      </c>
    </row>
    <row r="2146" spans="1:33" x14ac:dyDescent="0.35">
      <c r="A2146" s="1">
        <v>44840.656944444447</v>
      </c>
      <c r="B2146">
        <v>367052</v>
      </c>
      <c r="C2146" t="s">
        <v>1489</v>
      </c>
      <c r="D2146" t="s">
        <v>502</v>
      </c>
      <c r="E2146" s="2">
        <v>39737</v>
      </c>
      <c r="F2146" t="str">
        <f>"9780511436314"</f>
        <v>9780511436314</v>
      </c>
      <c r="G2146" t="str">
        <f>"9780521830447"</f>
        <v>9780521830447</v>
      </c>
      <c r="H2146" t="s">
        <v>712</v>
      </c>
      <c r="I2146" t="s">
        <v>1490</v>
      </c>
      <c r="J2146" t="s">
        <v>1491</v>
      </c>
      <c r="K2146" t="s">
        <v>44</v>
      </c>
      <c r="N2146" t="s">
        <v>45</v>
      </c>
      <c r="O2146" t="s">
        <v>46</v>
      </c>
      <c r="P2146" t="s">
        <v>45</v>
      </c>
      <c r="Q2146" t="s">
        <v>47</v>
      </c>
      <c r="R2146" t="s">
        <v>44</v>
      </c>
      <c r="S2146">
        <v>0</v>
      </c>
      <c r="W2146" s="3">
        <v>6.9444444444444444E-5</v>
      </c>
      <c r="X2146" t="s">
        <v>196</v>
      </c>
      <c r="Y2146">
        <v>2</v>
      </c>
      <c r="Z2146">
        <v>0</v>
      </c>
      <c r="AA2146" t="s">
        <v>49</v>
      </c>
      <c r="AB2146">
        <v>0</v>
      </c>
      <c r="AC2146" t="s">
        <v>49</v>
      </c>
      <c r="AD2146">
        <v>0</v>
      </c>
      <c r="AE2146">
        <v>10257525</v>
      </c>
      <c r="AF2146" t="s">
        <v>50</v>
      </c>
      <c r="AG2146" t="s">
        <v>1476</v>
      </c>
    </row>
    <row r="2147" spans="1:33" x14ac:dyDescent="0.35">
      <c r="A2147" s="1">
        <v>44840.643055555556</v>
      </c>
      <c r="B2147">
        <v>4183127</v>
      </c>
      <c r="C2147" t="s">
        <v>190</v>
      </c>
      <c r="D2147" t="s">
        <v>59</v>
      </c>
      <c r="E2147" s="2">
        <v>42310</v>
      </c>
      <c r="F2147" t="str">
        <f>"9783527684649"</f>
        <v>9783527684649</v>
      </c>
      <c r="G2147" t="str">
        <f>"9783527331659"</f>
        <v>9783527331659</v>
      </c>
      <c r="H2147" t="s">
        <v>191</v>
      </c>
      <c r="I2147" t="s">
        <v>192</v>
      </c>
      <c r="J2147" t="s">
        <v>193</v>
      </c>
      <c r="K2147" t="s">
        <v>44</v>
      </c>
      <c r="N2147" t="s">
        <v>45</v>
      </c>
      <c r="O2147" t="s">
        <v>46</v>
      </c>
      <c r="P2147" t="s">
        <v>45</v>
      </c>
      <c r="Q2147" t="s">
        <v>47</v>
      </c>
      <c r="R2147" t="s">
        <v>44</v>
      </c>
      <c r="S2147">
        <v>0</v>
      </c>
      <c r="W2147" s="3">
        <v>2.3611111111111111E-3</v>
      </c>
      <c r="X2147" t="s">
        <v>4618</v>
      </c>
      <c r="Y2147">
        <v>5</v>
      </c>
      <c r="Z2147">
        <v>0</v>
      </c>
      <c r="AA2147" t="s">
        <v>49</v>
      </c>
      <c r="AB2147">
        <v>0</v>
      </c>
      <c r="AC2147" t="s">
        <v>49</v>
      </c>
      <c r="AD2147">
        <v>0</v>
      </c>
      <c r="AE2147">
        <v>11125579</v>
      </c>
      <c r="AF2147" t="s">
        <v>50</v>
      </c>
      <c r="AG2147" t="s">
        <v>4619</v>
      </c>
    </row>
    <row r="2148" spans="1:33" x14ac:dyDescent="0.35">
      <c r="A2148" s="1">
        <v>44840.640972222223</v>
      </c>
      <c r="B2148">
        <v>279494</v>
      </c>
      <c r="C2148" t="s">
        <v>1333</v>
      </c>
      <c r="D2148" t="s">
        <v>125</v>
      </c>
      <c r="E2148" s="2">
        <v>37280</v>
      </c>
      <c r="F2148" t="str">
        <f>"9780198032953"</f>
        <v>9780198032953</v>
      </c>
      <c r="G2148" t="str">
        <f>"9780195144208"</f>
        <v>9780195144208</v>
      </c>
      <c r="H2148" t="s">
        <v>667</v>
      </c>
      <c r="I2148" t="s">
        <v>1334</v>
      </c>
      <c r="J2148" t="s">
        <v>1335</v>
      </c>
      <c r="K2148" t="s">
        <v>44</v>
      </c>
      <c r="N2148" t="s">
        <v>45</v>
      </c>
      <c r="O2148" t="s">
        <v>46</v>
      </c>
      <c r="P2148" t="s">
        <v>45</v>
      </c>
      <c r="Q2148" t="s">
        <v>47</v>
      </c>
      <c r="R2148" t="s">
        <v>44</v>
      </c>
      <c r="S2148">
        <v>0</v>
      </c>
      <c r="W2148" s="3">
        <v>1.1574074074074073E-4</v>
      </c>
      <c r="X2148" t="s">
        <v>56</v>
      </c>
      <c r="Y2148">
        <v>3</v>
      </c>
      <c r="Z2148">
        <v>0</v>
      </c>
      <c r="AA2148" t="s">
        <v>49</v>
      </c>
      <c r="AB2148">
        <v>0</v>
      </c>
      <c r="AC2148" t="s">
        <v>49</v>
      </c>
      <c r="AD2148">
        <v>0</v>
      </c>
      <c r="AE2148">
        <v>11303309</v>
      </c>
      <c r="AF2148" t="s">
        <v>50</v>
      </c>
      <c r="AG2148" t="s">
        <v>118</v>
      </c>
    </row>
    <row r="2149" spans="1:33" x14ac:dyDescent="0.35">
      <c r="A2149" s="1">
        <v>44840.637499999997</v>
      </c>
      <c r="B2149">
        <v>279494</v>
      </c>
      <c r="C2149" t="s">
        <v>1333</v>
      </c>
      <c r="D2149" t="s">
        <v>125</v>
      </c>
      <c r="E2149" s="2">
        <v>37280</v>
      </c>
      <c r="F2149" t="str">
        <f>"9780198032953"</f>
        <v>9780198032953</v>
      </c>
      <c r="G2149" t="str">
        <f>"9780195144208"</f>
        <v>9780195144208</v>
      </c>
      <c r="H2149" t="s">
        <v>667</v>
      </c>
      <c r="I2149" t="s">
        <v>1334</v>
      </c>
      <c r="J2149" t="s">
        <v>1335</v>
      </c>
      <c r="K2149" t="s">
        <v>44</v>
      </c>
      <c r="N2149" t="s">
        <v>45</v>
      </c>
      <c r="O2149" t="s">
        <v>46</v>
      </c>
      <c r="P2149" t="s">
        <v>45</v>
      </c>
      <c r="Q2149" t="s">
        <v>47</v>
      </c>
      <c r="R2149" t="s">
        <v>44</v>
      </c>
      <c r="S2149">
        <v>2</v>
      </c>
      <c r="W2149" s="3">
        <v>8.3333333333333339E-4</v>
      </c>
      <c r="X2149" t="s">
        <v>4620</v>
      </c>
      <c r="Y2149">
        <v>10</v>
      </c>
      <c r="Z2149">
        <v>1</v>
      </c>
      <c r="AA2149" t="s">
        <v>1553</v>
      </c>
      <c r="AB2149">
        <v>2</v>
      </c>
      <c r="AC2149" t="s">
        <v>49</v>
      </c>
      <c r="AD2149">
        <v>0</v>
      </c>
      <c r="AE2149">
        <v>11303309</v>
      </c>
      <c r="AF2149" t="s">
        <v>63</v>
      </c>
      <c r="AG2149" t="s">
        <v>1355</v>
      </c>
    </row>
    <row r="2150" spans="1:33" x14ac:dyDescent="0.35">
      <c r="A2150" s="1">
        <v>44840.634722222225</v>
      </c>
      <c r="B2150">
        <v>279494</v>
      </c>
      <c r="C2150" t="s">
        <v>1333</v>
      </c>
      <c r="D2150" t="s">
        <v>125</v>
      </c>
      <c r="E2150" s="2">
        <v>37280</v>
      </c>
      <c r="F2150" t="str">
        <f>"9780198032953"</f>
        <v>9780198032953</v>
      </c>
      <c r="G2150" t="str">
        <f>"9780195144208"</f>
        <v>9780195144208</v>
      </c>
      <c r="H2150" t="s">
        <v>667</v>
      </c>
      <c r="I2150" t="s">
        <v>1334</v>
      </c>
      <c r="J2150" t="s">
        <v>1335</v>
      </c>
      <c r="K2150" t="s">
        <v>44</v>
      </c>
      <c r="N2150" t="s">
        <v>45</v>
      </c>
      <c r="O2150" t="s">
        <v>46</v>
      </c>
      <c r="P2150" t="s">
        <v>45</v>
      </c>
      <c r="Q2150" t="s">
        <v>47</v>
      </c>
      <c r="R2150" t="s">
        <v>44</v>
      </c>
      <c r="S2150">
        <v>0</v>
      </c>
      <c r="W2150" s="3">
        <v>5.5555555555555556E-4</v>
      </c>
      <c r="X2150" t="s">
        <v>4621</v>
      </c>
      <c r="Y2150">
        <v>4</v>
      </c>
      <c r="Z2150">
        <v>0</v>
      </c>
      <c r="AA2150" t="s">
        <v>49</v>
      </c>
      <c r="AB2150">
        <v>0</v>
      </c>
      <c r="AC2150" t="s">
        <v>49</v>
      </c>
      <c r="AD2150">
        <v>0</v>
      </c>
      <c r="AE2150">
        <v>11303309</v>
      </c>
      <c r="AF2150" t="s">
        <v>50</v>
      </c>
      <c r="AG2150" t="s">
        <v>118</v>
      </c>
    </row>
    <row r="2151" spans="1:33" x14ac:dyDescent="0.35">
      <c r="A2151" s="1">
        <v>44840.633333333331</v>
      </c>
      <c r="B2151">
        <v>279494</v>
      </c>
      <c r="C2151" t="s">
        <v>1333</v>
      </c>
      <c r="D2151" t="s">
        <v>125</v>
      </c>
      <c r="E2151" s="2">
        <v>37280</v>
      </c>
      <c r="F2151" t="str">
        <f>"9780198032953"</f>
        <v>9780198032953</v>
      </c>
      <c r="G2151" t="str">
        <f>"9780195144208"</f>
        <v>9780195144208</v>
      </c>
      <c r="H2151" t="s">
        <v>667</v>
      </c>
      <c r="I2151" t="s">
        <v>1334</v>
      </c>
      <c r="J2151" t="s">
        <v>1335</v>
      </c>
      <c r="K2151" t="s">
        <v>44</v>
      </c>
      <c r="N2151" t="s">
        <v>45</v>
      </c>
      <c r="O2151" t="s">
        <v>46</v>
      </c>
      <c r="P2151" t="s">
        <v>45</v>
      </c>
      <c r="Q2151" t="s">
        <v>47</v>
      </c>
      <c r="R2151" t="s">
        <v>44</v>
      </c>
      <c r="S2151">
        <v>0</v>
      </c>
      <c r="W2151" s="3">
        <v>4.9768518518518521E-4</v>
      </c>
      <c r="X2151" t="s">
        <v>1236</v>
      </c>
      <c r="Y2151">
        <v>12</v>
      </c>
      <c r="Z2151">
        <v>0</v>
      </c>
      <c r="AA2151" t="s">
        <v>49</v>
      </c>
      <c r="AB2151">
        <v>0</v>
      </c>
      <c r="AC2151" t="s">
        <v>49</v>
      </c>
      <c r="AD2151">
        <v>0</v>
      </c>
      <c r="AE2151">
        <v>11303309</v>
      </c>
      <c r="AF2151" t="s">
        <v>50</v>
      </c>
      <c r="AG2151" t="s">
        <v>4622</v>
      </c>
    </row>
    <row r="2152" spans="1:33" x14ac:dyDescent="0.35">
      <c r="A2152" s="1">
        <v>44840.631944444445</v>
      </c>
      <c r="B2152">
        <v>1341160</v>
      </c>
      <c r="C2152" t="s">
        <v>4614</v>
      </c>
      <c r="D2152" t="s">
        <v>4615</v>
      </c>
      <c r="E2152" s="2">
        <v>41456</v>
      </c>
      <c r="F2152" t="str">
        <f>"9781889057866"</f>
        <v>9781889057866</v>
      </c>
      <c r="G2152" t="str">
        <f>"9781889057989"</f>
        <v>9781889057989</v>
      </c>
      <c r="H2152" t="s">
        <v>77</v>
      </c>
      <c r="I2152">
        <v>610.76</v>
      </c>
      <c r="J2152" t="s">
        <v>4616</v>
      </c>
      <c r="K2152" t="s">
        <v>44</v>
      </c>
      <c r="N2152" t="s">
        <v>45</v>
      </c>
      <c r="O2152" t="s">
        <v>46</v>
      </c>
      <c r="P2152" t="s">
        <v>45</v>
      </c>
      <c r="Q2152" t="s">
        <v>47</v>
      </c>
      <c r="R2152" t="s">
        <v>44</v>
      </c>
      <c r="S2152">
        <v>1</v>
      </c>
      <c r="W2152" s="3">
        <v>7.4189814814814813E-3</v>
      </c>
      <c r="X2152" t="s">
        <v>4623</v>
      </c>
      <c r="Y2152">
        <v>45</v>
      </c>
      <c r="Z2152">
        <v>0</v>
      </c>
      <c r="AA2152" t="s">
        <v>49</v>
      </c>
      <c r="AB2152">
        <v>0</v>
      </c>
      <c r="AC2152" t="s">
        <v>49</v>
      </c>
      <c r="AD2152">
        <v>0</v>
      </c>
      <c r="AE2152">
        <v>10739147</v>
      </c>
      <c r="AF2152" t="s">
        <v>63</v>
      </c>
      <c r="AG2152" t="s">
        <v>1536</v>
      </c>
    </row>
    <row r="2153" spans="1:33" x14ac:dyDescent="0.35">
      <c r="A2153" s="1">
        <v>44840.62777777778</v>
      </c>
      <c r="B2153">
        <v>279494</v>
      </c>
      <c r="C2153" t="s">
        <v>1333</v>
      </c>
      <c r="D2153" t="s">
        <v>125</v>
      </c>
      <c r="E2153" s="2">
        <v>37280</v>
      </c>
      <c r="F2153" t="str">
        <f t="shared" ref="F2153:F2160" si="0">"9780198032953"</f>
        <v>9780198032953</v>
      </c>
      <c r="G2153" t="str">
        <f t="shared" ref="G2153:G2160" si="1">"9780195144208"</f>
        <v>9780195144208</v>
      </c>
      <c r="H2153" t="s">
        <v>667</v>
      </c>
      <c r="I2153" t="s">
        <v>1334</v>
      </c>
      <c r="J2153" t="s">
        <v>1335</v>
      </c>
      <c r="K2153" t="s">
        <v>44</v>
      </c>
      <c r="N2153" t="s">
        <v>45</v>
      </c>
      <c r="O2153" t="s">
        <v>46</v>
      </c>
      <c r="P2153" t="s">
        <v>45</v>
      </c>
      <c r="Q2153" t="s">
        <v>47</v>
      </c>
      <c r="R2153" t="s">
        <v>44</v>
      </c>
      <c r="S2153">
        <v>0</v>
      </c>
      <c r="W2153" s="3">
        <v>3.0092592592592595E-4</v>
      </c>
      <c r="X2153" t="s">
        <v>4624</v>
      </c>
      <c r="Y2153">
        <v>6</v>
      </c>
      <c r="Z2153">
        <v>0</v>
      </c>
      <c r="AA2153" t="s">
        <v>49</v>
      </c>
      <c r="AB2153">
        <v>0</v>
      </c>
      <c r="AC2153" t="s">
        <v>49</v>
      </c>
      <c r="AD2153">
        <v>0</v>
      </c>
      <c r="AE2153">
        <v>11303309</v>
      </c>
      <c r="AF2153" t="s">
        <v>50</v>
      </c>
      <c r="AG2153" t="s">
        <v>118</v>
      </c>
    </row>
    <row r="2154" spans="1:33" x14ac:dyDescent="0.35">
      <c r="A2154" s="1">
        <v>44840.625694444447</v>
      </c>
      <c r="B2154">
        <v>279494</v>
      </c>
      <c r="C2154" t="s">
        <v>1333</v>
      </c>
      <c r="D2154" t="s">
        <v>125</v>
      </c>
      <c r="E2154" s="2">
        <v>37280</v>
      </c>
      <c r="F2154" t="str">
        <f t="shared" si="0"/>
        <v>9780198032953</v>
      </c>
      <c r="G2154" t="str">
        <f t="shared" si="1"/>
        <v>9780195144208</v>
      </c>
      <c r="H2154" t="s">
        <v>667</v>
      </c>
      <c r="I2154" t="s">
        <v>1334</v>
      </c>
      <c r="J2154" t="s">
        <v>1335</v>
      </c>
      <c r="K2154" t="s">
        <v>44</v>
      </c>
      <c r="N2154" t="s">
        <v>45</v>
      </c>
      <c r="O2154" t="s">
        <v>46</v>
      </c>
      <c r="P2154" t="s">
        <v>45</v>
      </c>
      <c r="Q2154" t="s">
        <v>47</v>
      </c>
      <c r="R2154" t="s">
        <v>44</v>
      </c>
      <c r="S2154">
        <v>0</v>
      </c>
      <c r="W2154" s="3">
        <v>2.0833333333333335E-4</v>
      </c>
      <c r="X2154" t="s">
        <v>2249</v>
      </c>
      <c r="Y2154">
        <v>6</v>
      </c>
      <c r="Z2154">
        <v>0</v>
      </c>
      <c r="AA2154" t="s">
        <v>49</v>
      </c>
      <c r="AB2154">
        <v>0</v>
      </c>
      <c r="AC2154" t="s">
        <v>49</v>
      </c>
      <c r="AD2154">
        <v>0</v>
      </c>
      <c r="AE2154">
        <v>11303309</v>
      </c>
      <c r="AF2154" t="s">
        <v>50</v>
      </c>
      <c r="AG2154" t="s">
        <v>4501</v>
      </c>
    </row>
    <row r="2155" spans="1:33" x14ac:dyDescent="0.35">
      <c r="A2155" s="1">
        <v>44840.625</v>
      </c>
      <c r="B2155">
        <v>279494</v>
      </c>
      <c r="C2155" t="s">
        <v>1333</v>
      </c>
      <c r="D2155" t="s">
        <v>125</v>
      </c>
      <c r="E2155" s="2">
        <v>37280</v>
      </c>
      <c r="F2155" t="str">
        <f t="shared" si="0"/>
        <v>9780198032953</v>
      </c>
      <c r="G2155" t="str">
        <f t="shared" si="1"/>
        <v>9780195144208</v>
      </c>
      <c r="H2155" t="s">
        <v>667</v>
      </c>
      <c r="I2155" t="s">
        <v>1334</v>
      </c>
      <c r="J2155" t="s">
        <v>1335</v>
      </c>
      <c r="K2155" t="s">
        <v>44</v>
      </c>
      <c r="N2155" t="s">
        <v>45</v>
      </c>
      <c r="O2155" t="s">
        <v>46</v>
      </c>
      <c r="P2155" t="s">
        <v>45</v>
      </c>
      <c r="Q2155" t="s">
        <v>47</v>
      </c>
      <c r="R2155" t="s">
        <v>44</v>
      </c>
      <c r="S2155">
        <v>0</v>
      </c>
      <c r="W2155" s="3">
        <v>9.6064814814814808E-4</v>
      </c>
      <c r="X2155" t="s">
        <v>4625</v>
      </c>
      <c r="Y2155">
        <v>10</v>
      </c>
      <c r="Z2155">
        <v>0</v>
      </c>
      <c r="AA2155" t="s">
        <v>49</v>
      </c>
      <c r="AB2155">
        <v>0</v>
      </c>
      <c r="AC2155" t="s">
        <v>49</v>
      </c>
      <c r="AD2155">
        <v>0</v>
      </c>
      <c r="AE2155">
        <v>11303309</v>
      </c>
      <c r="AF2155" t="s">
        <v>50</v>
      </c>
      <c r="AG2155" t="s">
        <v>1536</v>
      </c>
    </row>
    <row r="2156" spans="1:33" x14ac:dyDescent="0.35">
      <c r="A2156" s="1">
        <v>44840.625</v>
      </c>
      <c r="B2156">
        <v>279494</v>
      </c>
      <c r="C2156" t="s">
        <v>1333</v>
      </c>
      <c r="D2156" t="s">
        <v>125</v>
      </c>
      <c r="E2156" s="2">
        <v>37280</v>
      </c>
      <c r="F2156" t="str">
        <f t="shared" si="0"/>
        <v>9780198032953</v>
      </c>
      <c r="G2156" t="str">
        <f t="shared" si="1"/>
        <v>9780195144208</v>
      </c>
      <c r="H2156" t="s">
        <v>667</v>
      </c>
      <c r="I2156" t="s">
        <v>1334</v>
      </c>
      <c r="J2156" t="s">
        <v>1335</v>
      </c>
      <c r="K2156" t="s">
        <v>44</v>
      </c>
      <c r="N2156" t="s">
        <v>45</v>
      </c>
      <c r="O2156" t="s">
        <v>46</v>
      </c>
      <c r="P2156" t="s">
        <v>45</v>
      </c>
      <c r="Q2156" t="s">
        <v>47</v>
      </c>
      <c r="R2156" t="s">
        <v>44</v>
      </c>
      <c r="S2156">
        <v>0</v>
      </c>
      <c r="W2156" s="3">
        <v>8.9120370370370362E-4</v>
      </c>
      <c r="X2156" t="s">
        <v>4626</v>
      </c>
      <c r="Y2156">
        <v>7</v>
      </c>
      <c r="Z2156">
        <v>0</v>
      </c>
      <c r="AA2156" t="s">
        <v>49</v>
      </c>
      <c r="AB2156">
        <v>0</v>
      </c>
      <c r="AC2156" t="s">
        <v>49</v>
      </c>
      <c r="AD2156">
        <v>0</v>
      </c>
      <c r="AE2156">
        <v>11303309</v>
      </c>
      <c r="AF2156" t="s">
        <v>50</v>
      </c>
      <c r="AG2156" t="s">
        <v>118</v>
      </c>
    </row>
    <row r="2157" spans="1:33" x14ac:dyDescent="0.35">
      <c r="A2157" s="1">
        <v>44840.625</v>
      </c>
      <c r="B2157">
        <v>279494</v>
      </c>
      <c r="C2157" t="s">
        <v>1333</v>
      </c>
      <c r="D2157" t="s">
        <v>125</v>
      </c>
      <c r="E2157" s="2">
        <v>37280</v>
      </c>
      <c r="F2157" t="str">
        <f t="shared" si="0"/>
        <v>9780198032953</v>
      </c>
      <c r="G2157" t="str">
        <f t="shared" si="1"/>
        <v>9780195144208</v>
      </c>
      <c r="H2157" t="s">
        <v>667</v>
      </c>
      <c r="I2157" t="s">
        <v>1334</v>
      </c>
      <c r="J2157" t="s">
        <v>1335</v>
      </c>
      <c r="K2157" t="s">
        <v>44</v>
      </c>
      <c r="N2157" t="s">
        <v>45</v>
      </c>
      <c r="O2157" t="s">
        <v>46</v>
      </c>
      <c r="P2157" t="s">
        <v>45</v>
      </c>
      <c r="Q2157" t="s">
        <v>47</v>
      </c>
      <c r="R2157" t="s">
        <v>44</v>
      </c>
      <c r="S2157">
        <v>0</v>
      </c>
      <c r="W2157" s="3">
        <v>1.1689814814814816E-3</v>
      </c>
      <c r="X2157" t="s">
        <v>4627</v>
      </c>
      <c r="Y2157">
        <v>13</v>
      </c>
      <c r="Z2157">
        <v>0</v>
      </c>
      <c r="AA2157" t="s">
        <v>49</v>
      </c>
      <c r="AB2157">
        <v>0</v>
      </c>
      <c r="AC2157" t="s">
        <v>49</v>
      </c>
      <c r="AD2157">
        <v>0</v>
      </c>
      <c r="AE2157">
        <v>11303309</v>
      </c>
      <c r="AF2157" t="s">
        <v>50</v>
      </c>
      <c r="AG2157" t="s">
        <v>118</v>
      </c>
    </row>
    <row r="2158" spans="1:33" x14ac:dyDescent="0.35">
      <c r="A2158" s="1">
        <v>44840.625</v>
      </c>
      <c r="B2158">
        <v>279494</v>
      </c>
      <c r="C2158" t="s">
        <v>1333</v>
      </c>
      <c r="D2158" t="s">
        <v>125</v>
      </c>
      <c r="E2158" s="2">
        <v>37280</v>
      </c>
      <c r="F2158" t="str">
        <f t="shared" si="0"/>
        <v>9780198032953</v>
      </c>
      <c r="G2158" t="str">
        <f t="shared" si="1"/>
        <v>9780195144208</v>
      </c>
      <c r="H2158" t="s">
        <v>667</v>
      </c>
      <c r="I2158" t="s">
        <v>1334</v>
      </c>
      <c r="J2158" t="s">
        <v>1335</v>
      </c>
      <c r="K2158" t="s">
        <v>44</v>
      </c>
      <c r="N2158" t="s">
        <v>45</v>
      </c>
      <c r="O2158" t="s">
        <v>46</v>
      </c>
      <c r="P2158" t="s">
        <v>45</v>
      </c>
      <c r="Q2158" t="s">
        <v>47</v>
      </c>
      <c r="R2158" t="s">
        <v>44</v>
      </c>
      <c r="S2158">
        <v>0</v>
      </c>
      <c r="W2158" s="3">
        <v>2.0659722222222222E-2</v>
      </c>
      <c r="X2158" t="s">
        <v>4628</v>
      </c>
      <c r="Y2158">
        <v>6</v>
      </c>
      <c r="Z2158">
        <v>0</v>
      </c>
      <c r="AA2158" t="s">
        <v>49</v>
      </c>
      <c r="AB2158">
        <v>0</v>
      </c>
      <c r="AC2158" t="s">
        <v>49</v>
      </c>
      <c r="AD2158">
        <v>0</v>
      </c>
      <c r="AE2158">
        <v>11303309</v>
      </c>
      <c r="AF2158" t="s">
        <v>50</v>
      </c>
      <c r="AG2158" t="s">
        <v>4622</v>
      </c>
    </row>
    <row r="2159" spans="1:33" x14ac:dyDescent="0.35">
      <c r="A2159" s="1">
        <v>44840.625</v>
      </c>
      <c r="B2159">
        <v>279494</v>
      </c>
      <c r="C2159" t="s">
        <v>1333</v>
      </c>
      <c r="D2159" t="s">
        <v>125</v>
      </c>
      <c r="E2159" s="2">
        <v>37280</v>
      </c>
      <c r="F2159" t="str">
        <f t="shared" si="0"/>
        <v>9780198032953</v>
      </c>
      <c r="G2159" t="str">
        <f t="shared" si="1"/>
        <v>9780195144208</v>
      </c>
      <c r="H2159" t="s">
        <v>667</v>
      </c>
      <c r="I2159" t="s">
        <v>1334</v>
      </c>
      <c r="J2159" t="s">
        <v>1335</v>
      </c>
      <c r="K2159" t="s">
        <v>44</v>
      </c>
      <c r="N2159" t="s">
        <v>45</v>
      </c>
      <c r="O2159" t="s">
        <v>46</v>
      </c>
      <c r="P2159" t="s">
        <v>45</v>
      </c>
      <c r="Q2159" t="s">
        <v>47</v>
      </c>
      <c r="R2159" t="s">
        <v>44</v>
      </c>
      <c r="S2159">
        <v>0</v>
      </c>
      <c r="W2159" s="3">
        <v>3.7037037037037035E-4</v>
      </c>
      <c r="X2159" t="s">
        <v>4629</v>
      </c>
      <c r="Y2159">
        <v>7</v>
      </c>
      <c r="Z2159">
        <v>0</v>
      </c>
      <c r="AA2159" t="s">
        <v>49</v>
      </c>
      <c r="AB2159">
        <v>0</v>
      </c>
      <c r="AC2159" t="s">
        <v>49</v>
      </c>
      <c r="AD2159">
        <v>0</v>
      </c>
      <c r="AE2159">
        <v>11303309</v>
      </c>
      <c r="AF2159" t="s">
        <v>50</v>
      </c>
      <c r="AG2159" t="s">
        <v>3098</v>
      </c>
    </row>
    <row r="2160" spans="1:33" x14ac:dyDescent="0.35">
      <c r="A2160" s="1">
        <v>44840.624305555553</v>
      </c>
      <c r="B2160">
        <v>279494</v>
      </c>
      <c r="C2160" t="s">
        <v>1333</v>
      </c>
      <c r="D2160" t="s">
        <v>125</v>
      </c>
      <c r="E2160" s="2">
        <v>37280</v>
      </c>
      <c r="F2160" t="str">
        <f t="shared" si="0"/>
        <v>9780198032953</v>
      </c>
      <c r="G2160" t="str">
        <f t="shared" si="1"/>
        <v>9780195144208</v>
      </c>
      <c r="H2160" t="s">
        <v>667</v>
      </c>
      <c r="I2160" t="s">
        <v>1334</v>
      </c>
      <c r="J2160" t="s">
        <v>1335</v>
      </c>
      <c r="K2160" t="s">
        <v>44</v>
      </c>
      <c r="N2160" t="s">
        <v>45</v>
      </c>
      <c r="O2160" t="s">
        <v>46</v>
      </c>
      <c r="P2160" t="s">
        <v>45</v>
      </c>
      <c r="Q2160" t="s">
        <v>47</v>
      </c>
      <c r="R2160" t="s">
        <v>44</v>
      </c>
      <c r="S2160">
        <v>0</v>
      </c>
      <c r="W2160" s="3">
        <v>8.1018518518518516E-5</v>
      </c>
      <c r="X2160" t="s">
        <v>121</v>
      </c>
      <c r="Y2160">
        <v>1</v>
      </c>
      <c r="Z2160">
        <v>0</v>
      </c>
      <c r="AA2160" t="s">
        <v>49</v>
      </c>
      <c r="AB2160">
        <v>0</v>
      </c>
      <c r="AC2160" t="s">
        <v>49</v>
      </c>
      <c r="AD2160">
        <v>0</v>
      </c>
      <c r="AE2160">
        <v>11303309</v>
      </c>
      <c r="AF2160" t="s">
        <v>50</v>
      </c>
      <c r="AG2160" t="s">
        <v>300</v>
      </c>
    </row>
    <row r="2161" spans="1:33" x14ac:dyDescent="0.35">
      <c r="A2161" s="1">
        <v>44840.565972222219</v>
      </c>
      <c r="B2161">
        <v>4183127</v>
      </c>
      <c r="C2161" t="s">
        <v>190</v>
      </c>
      <c r="D2161" t="s">
        <v>59</v>
      </c>
      <c r="E2161" s="2">
        <v>42310</v>
      </c>
      <c r="F2161" t="str">
        <f>"9783527684649"</f>
        <v>9783527684649</v>
      </c>
      <c r="G2161" t="str">
        <f>"9783527331659"</f>
        <v>9783527331659</v>
      </c>
      <c r="H2161" t="s">
        <v>191</v>
      </c>
      <c r="I2161" t="s">
        <v>192</v>
      </c>
      <c r="J2161" t="s">
        <v>193</v>
      </c>
      <c r="K2161" t="s">
        <v>44</v>
      </c>
      <c r="N2161" t="s">
        <v>45</v>
      </c>
      <c r="O2161" t="s">
        <v>46</v>
      </c>
      <c r="P2161" t="s">
        <v>45</v>
      </c>
      <c r="Q2161" t="s">
        <v>47</v>
      </c>
      <c r="R2161" t="s">
        <v>44</v>
      </c>
      <c r="S2161">
        <v>0</v>
      </c>
      <c r="W2161" s="3">
        <v>1.0972222222222223E-2</v>
      </c>
      <c r="X2161" t="s">
        <v>4630</v>
      </c>
      <c r="Y2161">
        <v>19</v>
      </c>
      <c r="Z2161">
        <v>0</v>
      </c>
      <c r="AA2161" t="s">
        <v>49</v>
      </c>
      <c r="AB2161">
        <v>0</v>
      </c>
      <c r="AC2161" t="s">
        <v>49</v>
      </c>
      <c r="AD2161">
        <v>0</v>
      </c>
      <c r="AE2161">
        <v>11125579</v>
      </c>
      <c r="AF2161" t="s">
        <v>50</v>
      </c>
      <c r="AG2161" t="s">
        <v>1536</v>
      </c>
    </row>
    <row r="2162" spans="1:33" x14ac:dyDescent="0.35">
      <c r="A2162" s="1">
        <v>44840.552777777775</v>
      </c>
      <c r="B2162">
        <v>1186148</v>
      </c>
      <c r="C2162" t="s">
        <v>4631</v>
      </c>
      <c r="D2162" t="s">
        <v>465</v>
      </c>
      <c r="E2162" s="2">
        <v>40869</v>
      </c>
      <c r="F2162" t="str">
        <f>"9781849733182"</f>
        <v>9781849733182</v>
      </c>
      <c r="G2162" t="str">
        <f>"9781849730020"</f>
        <v>9781849730020</v>
      </c>
      <c r="H2162" t="s">
        <v>4632</v>
      </c>
      <c r="I2162">
        <v>363.73874999999998</v>
      </c>
      <c r="J2162" t="s">
        <v>4633</v>
      </c>
      <c r="K2162" t="s">
        <v>44</v>
      </c>
      <c r="N2162" t="s">
        <v>45</v>
      </c>
      <c r="O2162" t="s">
        <v>46</v>
      </c>
      <c r="P2162" t="s">
        <v>45</v>
      </c>
      <c r="Q2162" t="s">
        <v>47</v>
      </c>
      <c r="R2162" t="s">
        <v>44</v>
      </c>
      <c r="S2162">
        <v>0</v>
      </c>
      <c r="W2162" s="3">
        <v>4.7916666666666672E-3</v>
      </c>
      <c r="X2162" t="s">
        <v>4634</v>
      </c>
      <c r="Y2162">
        <v>9</v>
      </c>
      <c r="Z2162">
        <v>0</v>
      </c>
      <c r="AA2162" t="s">
        <v>49</v>
      </c>
      <c r="AB2162">
        <v>0</v>
      </c>
      <c r="AC2162" t="s">
        <v>49</v>
      </c>
      <c r="AD2162">
        <v>0</v>
      </c>
      <c r="AE2162">
        <v>10627615</v>
      </c>
      <c r="AF2162" t="s">
        <v>50</v>
      </c>
      <c r="AG2162" t="s">
        <v>264</v>
      </c>
    </row>
    <row r="2163" spans="1:33" x14ac:dyDescent="0.35">
      <c r="A2163" s="1">
        <v>44840.540972222225</v>
      </c>
      <c r="B2163">
        <v>5754522</v>
      </c>
      <c r="C2163" t="s">
        <v>4635</v>
      </c>
      <c r="D2163" t="s">
        <v>65</v>
      </c>
      <c r="E2163" s="2">
        <v>42254</v>
      </c>
      <c r="F2163" t="str">
        <f>"9780128011324"</f>
        <v>9780128011324</v>
      </c>
      <c r="G2163" t="str">
        <f>"9780128008843"</f>
        <v>9780128008843</v>
      </c>
      <c r="H2163" t="s">
        <v>4636</v>
      </c>
      <c r="I2163">
        <v>681</v>
      </c>
      <c r="J2163" t="s">
        <v>4637</v>
      </c>
      <c r="K2163" t="s">
        <v>44</v>
      </c>
      <c r="N2163" t="s">
        <v>45</v>
      </c>
      <c r="O2163" t="s">
        <v>46</v>
      </c>
      <c r="P2163" t="s">
        <v>45</v>
      </c>
      <c r="Q2163" t="s">
        <v>47</v>
      </c>
      <c r="R2163" t="s">
        <v>44</v>
      </c>
      <c r="S2163">
        <v>1</v>
      </c>
      <c r="W2163" s="3">
        <v>9.2592592592592588E-5</v>
      </c>
      <c r="X2163" t="s">
        <v>4638</v>
      </c>
      <c r="Y2163">
        <v>3</v>
      </c>
      <c r="Z2163">
        <v>0</v>
      </c>
      <c r="AA2163" t="s">
        <v>49</v>
      </c>
      <c r="AB2163">
        <v>0</v>
      </c>
      <c r="AC2163" t="s">
        <v>49</v>
      </c>
      <c r="AD2163">
        <v>0</v>
      </c>
      <c r="AE2163">
        <v>-1</v>
      </c>
      <c r="AF2163" t="s">
        <v>63</v>
      </c>
      <c r="AG2163" t="s">
        <v>1536</v>
      </c>
    </row>
    <row r="2164" spans="1:33" x14ac:dyDescent="0.35">
      <c r="A2164" s="1">
        <v>44840.539583333331</v>
      </c>
      <c r="B2164">
        <v>5754522</v>
      </c>
      <c r="C2164" t="s">
        <v>4635</v>
      </c>
      <c r="D2164" t="s">
        <v>65</v>
      </c>
      <c r="E2164" s="2">
        <v>42254</v>
      </c>
      <c r="F2164" t="str">
        <f>"9780128011324"</f>
        <v>9780128011324</v>
      </c>
      <c r="G2164" t="str">
        <f>"9780128008843"</f>
        <v>9780128008843</v>
      </c>
      <c r="H2164" t="s">
        <v>4636</v>
      </c>
      <c r="I2164">
        <v>681</v>
      </c>
      <c r="J2164" t="s">
        <v>4637</v>
      </c>
      <c r="K2164" t="s">
        <v>44</v>
      </c>
      <c r="N2164" t="s">
        <v>45</v>
      </c>
      <c r="O2164" t="s">
        <v>46</v>
      </c>
      <c r="P2164" t="s">
        <v>45</v>
      </c>
      <c r="Q2164" t="s">
        <v>47</v>
      </c>
      <c r="R2164" t="s">
        <v>44</v>
      </c>
      <c r="S2164">
        <v>0</v>
      </c>
      <c r="W2164" s="3">
        <v>1.4467592592592594E-3</v>
      </c>
      <c r="X2164" t="s">
        <v>4639</v>
      </c>
      <c r="Y2164">
        <v>2</v>
      </c>
      <c r="Z2164">
        <v>2</v>
      </c>
      <c r="AA2164" t="s">
        <v>4640</v>
      </c>
      <c r="AB2164">
        <v>2</v>
      </c>
      <c r="AC2164" t="s">
        <v>4641</v>
      </c>
      <c r="AD2164">
        <v>1</v>
      </c>
      <c r="AE2164">
        <v>-1</v>
      </c>
      <c r="AF2164" t="s">
        <v>63</v>
      </c>
      <c r="AG2164" t="s">
        <v>1536</v>
      </c>
    </row>
    <row r="2165" spans="1:33" x14ac:dyDescent="0.35">
      <c r="A2165" s="1">
        <v>44840.536805555559</v>
      </c>
      <c r="B2165">
        <v>297105</v>
      </c>
      <c r="C2165" t="s">
        <v>4642</v>
      </c>
      <c r="D2165" t="s">
        <v>65</v>
      </c>
      <c r="E2165" s="2">
        <v>36977</v>
      </c>
      <c r="F2165" t="str">
        <f>"9780080496481"</f>
        <v>9780080496481</v>
      </c>
      <c r="G2165" t="str">
        <f>"9780750650816"</f>
        <v>9780750650816</v>
      </c>
      <c r="H2165" t="s">
        <v>925</v>
      </c>
      <c r="I2165">
        <v>620.00440000000003</v>
      </c>
      <c r="J2165" t="s">
        <v>4643</v>
      </c>
      <c r="K2165" t="s">
        <v>44</v>
      </c>
      <c r="N2165" t="s">
        <v>45</v>
      </c>
      <c r="O2165" t="s">
        <v>46</v>
      </c>
      <c r="P2165" t="s">
        <v>45</v>
      </c>
      <c r="Q2165" t="s">
        <v>47</v>
      </c>
      <c r="R2165" t="s">
        <v>44</v>
      </c>
      <c r="S2165">
        <v>0</v>
      </c>
      <c r="W2165" s="3">
        <v>1.7245370370370372E-3</v>
      </c>
      <c r="X2165" t="s">
        <v>4644</v>
      </c>
      <c r="Y2165">
        <v>17</v>
      </c>
      <c r="Z2165">
        <v>2</v>
      </c>
      <c r="AA2165" t="s">
        <v>4645</v>
      </c>
      <c r="AB2165">
        <v>44</v>
      </c>
      <c r="AC2165" t="s">
        <v>49</v>
      </c>
      <c r="AD2165">
        <v>0</v>
      </c>
      <c r="AE2165">
        <v>10180879</v>
      </c>
      <c r="AF2165" t="s">
        <v>63</v>
      </c>
      <c r="AG2165" t="s">
        <v>1536</v>
      </c>
    </row>
    <row r="2166" spans="1:33" x14ac:dyDescent="0.35">
      <c r="A2166" s="1">
        <v>44840.536111111112</v>
      </c>
      <c r="B2166">
        <v>469749</v>
      </c>
      <c r="C2166" t="s">
        <v>2784</v>
      </c>
      <c r="D2166" t="s">
        <v>1458</v>
      </c>
      <c r="E2166" s="2">
        <v>39693</v>
      </c>
      <c r="F2166" t="str">
        <f>"9780470282069"</f>
        <v>9780470282069</v>
      </c>
      <c r="G2166" t="str">
        <f>"9780470105252"</f>
        <v>9780470105252</v>
      </c>
      <c r="H2166" t="s">
        <v>1112</v>
      </c>
      <c r="I2166">
        <v>660.28319999999997</v>
      </c>
      <c r="J2166" t="s">
        <v>2785</v>
      </c>
      <c r="K2166" t="s">
        <v>44</v>
      </c>
      <c r="N2166" t="s">
        <v>45</v>
      </c>
      <c r="O2166" t="s">
        <v>46</v>
      </c>
      <c r="P2166" t="s">
        <v>45</v>
      </c>
      <c r="Q2166" t="s">
        <v>47</v>
      </c>
      <c r="R2166" t="s">
        <v>44</v>
      </c>
      <c r="S2166">
        <v>0</v>
      </c>
      <c r="W2166" s="3">
        <v>4.6296296296296294E-5</v>
      </c>
      <c r="X2166" t="s">
        <v>121</v>
      </c>
      <c r="Y2166">
        <v>1</v>
      </c>
      <c r="Z2166">
        <v>0</v>
      </c>
      <c r="AA2166" t="s">
        <v>49</v>
      </c>
      <c r="AB2166">
        <v>0</v>
      </c>
      <c r="AC2166" t="s">
        <v>49</v>
      </c>
      <c r="AD2166">
        <v>0</v>
      </c>
      <c r="AE2166">
        <v>10296771</v>
      </c>
      <c r="AF2166" t="s">
        <v>50</v>
      </c>
      <c r="AG2166" t="s">
        <v>118</v>
      </c>
    </row>
    <row r="2167" spans="1:33" x14ac:dyDescent="0.35">
      <c r="A2167" s="1">
        <v>44840.522916666669</v>
      </c>
      <c r="B2167">
        <v>3138454</v>
      </c>
      <c r="C2167" t="s">
        <v>4646</v>
      </c>
      <c r="D2167" t="s">
        <v>2234</v>
      </c>
      <c r="E2167" s="2">
        <v>41359</v>
      </c>
      <c r="F2167" t="str">
        <f>"9780801468018"</f>
        <v>9780801468018</v>
      </c>
      <c r="G2167" t="str">
        <f>"9780801451836"</f>
        <v>9780801451836</v>
      </c>
      <c r="H2167" t="s">
        <v>667</v>
      </c>
      <c r="I2167" t="s">
        <v>4647</v>
      </c>
      <c r="J2167" t="s">
        <v>4648</v>
      </c>
      <c r="K2167" t="s">
        <v>44</v>
      </c>
      <c r="N2167" t="s">
        <v>45</v>
      </c>
      <c r="O2167" t="s">
        <v>46</v>
      </c>
      <c r="P2167" t="s">
        <v>177</v>
      </c>
      <c r="Q2167" t="s">
        <v>47</v>
      </c>
      <c r="R2167" t="s">
        <v>55</v>
      </c>
      <c r="S2167">
        <v>0</v>
      </c>
      <c r="W2167" s="3">
        <v>5.3819444444444453E-3</v>
      </c>
      <c r="X2167" t="s">
        <v>4649</v>
      </c>
      <c r="Y2167">
        <v>26</v>
      </c>
      <c r="Z2167">
        <v>0</v>
      </c>
      <c r="AA2167" t="s">
        <v>49</v>
      </c>
      <c r="AB2167">
        <v>0</v>
      </c>
      <c r="AC2167" t="s">
        <v>49</v>
      </c>
      <c r="AD2167">
        <v>0</v>
      </c>
      <c r="AE2167">
        <v>10679148</v>
      </c>
      <c r="AF2167" t="s">
        <v>50</v>
      </c>
      <c r="AG2167" t="s">
        <v>1536</v>
      </c>
    </row>
    <row r="2168" spans="1:33" x14ac:dyDescent="0.35">
      <c r="A2168" s="1">
        <v>44840.51458333333</v>
      </c>
      <c r="B2168">
        <v>6274779</v>
      </c>
      <c r="C2168" t="s">
        <v>4650</v>
      </c>
      <c r="D2168" t="s">
        <v>76</v>
      </c>
      <c r="E2168" s="2">
        <v>44048</v>
      </c>
      <c r="F2168" t="str">
        <f>"9781000164244"</f>
        <v>9781000164244</v>
      </c>
      <c r="G2168" t="str">
        <f>"9780367518219"</f>
        <v>9780367518219</v>
      </c>
      <c r="H2168" t="s">
        <v>4651</v>
      </c>
      <c r="I2168">
        <v>681.20246199999997</v>
      </c>
      <c r="J2168" t="s">
        <v>4652</v>
      </c>
      <c r="K2168" t="s">
        <v>55</v>
      </c>
      <c r="Q2168" t="s">
        <v>47</v>
      </c>
      <c r="R2168" t="s">
        <v>44</v>
      </c>
      <c r="S2168">
        <v>0</v>
      </c>
      <c r="W2168" s="3">
        <v>1.480324074074074E-2</v>
      </c>
      <c r="X2168" t="s">
        <v>4653</v>
      </c>
      <c r="Y2168">
        <v>13</v>
      </c>
      <c r="Z2168">
        <v>0</v>
      </c>
      <c r="AA2168" t="s">
        <v>49</v>
      </c>
      <c r="AB2168">
        <v>0</v>
      </c>
      <c r="AC2168" t="s">
        <v>49</v>
      </c>
      <c r="AD2168">
        <v>0</v>
      </c>
      <c r="AE2168">
        <v>-1</v>
      </c>
      <c r="AF2168" t="s">
        <v>63</v>
      </c>
      <c r="AG2168" t="s">
        <v>1536</v>
      </c>
    </row>
    <row r="2169" spans="1:33" x14ac:dyDescent="0.35">
      <c r="A2169" s="1">
        <v>44840.505555555559</v>
      </c>
      <c r="B2169">
        <v>3016979</v>
      </c>
      <c r="C2169" t="s">
        <v>4654</v>
      </c>
      <c r="D2169" t="s">
        <v>769</v>
      </c>
      <c r="E2169" s="2">
        <v>40148</v>
      </c>
      <c r="F2169" t="str">
        <f>"9781907975110"</f>
        <v>9781907975110</v>
      </c>
      <c r="G2169" t="str">
        <f>"9781906540999"</f>
        <v>9781906540999</v>
      </c>
      <c r="H2169" t="s">
        <v>1945</v>
      </c>
      <c r="J2169" t="s">
        <v>4655</v>
      </c>
      <c r="K2169" t="s">
        <v>44</v>
      </c>
      <c r="N2169" t="s">
        <v>45</v>
      </c>
      <c r="O2169" t="s">
        <v>46</v>
      </c>
      <c r="P2169" t="s">
        <v>45</v>
      </c>
      <c r="Q2169" t="s">
        <v>47</v>
      </c>
      <c r="R2169" t="s">
        <v>44</v>
      </c>
      <c r="S2169">
        <v>0</v>
      </c>
      <c r="W2169" s="3">
        <v>8.449074074074075E-4</v>
      </c>
      <c r="X2169" t="s">
        <v>4656</v>
      </c>
      <c r="Y2169">
        <v>19</v>
      </c>
      <c r="Z2169">
        <v>0</v>
      </c>
      <c r="AA2169" t="s">
        <v>49</v>
      </c>
      <c r="AB2169">
        <v>0</v>
      </c>
      <c r="AC2169" t="s">
        <v>49</v>
      </c>
      <c r="AD2169">
        <v>0</v>
      </c>
      <c r="AE2169">
        <v>10426633</v>
      </c>
      <c r="AF2169" t="s">
        <v>50</v>
      </c>
      <c r="AG2169" t="s">
        <v>1536</v>
      </c>
    </row>
    <row r="2170" spans="1:33" x14ac:dyDescent="0.35">
      <c r="A2170" s="1">
        <v>44840.501388888886</v>
      </c>
      <c r="B2170">
        <v>6304272</v>
      </c>
      <c r="C2170" t="s">
        <v>4657</v>
      </c>
      <c r="D2170" t="s">
        <v>65</v>
      </c>
      <c r="E2170" s="2">
        <v>44058</v>
      </c>
      <c r="F2170" t="str">
        <f>"9780128237205"</f>
        <v>9780128237205</v>
      </c>
      <c r="G2170" t="str">
        <f>"9780128237199"</f>
        <v>9780128237199</v>
      </c>
      <c r="H2170" t="s">
        <v>982</v>
      </c>
      <c r="I2170">
        <v>621.48332000000005</v>
      </c>
      <c r="J2170" t="s">
        <v>4658</v>
      </c>
      <c r="K2170" t="s">
        <v>55</v>
      </c>
      <c r="Q2170" t="s">
        <v>47</v>
      </c>
      <c r="R2170" t="s">
        <v>44</v>
      </c>
      <c r="S2170">
        <v>0</v>
      </c>
      <c r="W2170" s="3">
        <v>1.689814814814815E-3</v>
      </c>
      <c r="X2170" t="s">
        <v>4659</v>
      </c>
      <c r="Y2170">
        <v>28</v>
      </c>
      <c r="Z2170">
        <v>0</v>
      </c>
      <c r="AA2170" t="s">
        <v>49</v>
      </c>
      <c r="AB2170">
        <v>0</v>
      </c>
      <c r="AC2170" t="s">
        <v>49</v>
      </c>
      <c r="AD2170">
        <v>0</v>
      </c>
      <c r="AE2170">
        <v>-1</v>
      </c>
      <c r="AF2170" t="s">
        <v>50</v>
      </c>
      <c r="AG2170" t="s">
        <v>1536</v>
      </c>
    </row>
    <row r="2171" spans="1:33" x14ac:dyDescent="0.35">
      <c r="A2171" s="1">
        <v>44840.501388888886</v>
      </c>
      <c r="B2171">
        <v>6382160</v>
      </c>
      <c r="C2171" t="s">
        <v>4660</v>
      </c>
      <c r="D2171" t="s">
        <v>614</v>
      </c>
      <c r="E2171" s="2">
        <v>44136</v>
      </c>
      <c r="F2171" t="str">
        <f>"9789811584039"</f>
        <v>9789811584039</v>
      </c>
      <c r="G2171" t="str">
        <f>"9789811584022"</f>
        <v>9789811584022</v>
      </c>
      <c r="H2171" t="s">
        <v>542</v>
      </c>
      <c r="I2171">
        <v>621.30999999999995</v>
      </c>
      <c r="J2171" t="s">
        <v>567</v>
      </c>
      <c r="K2171" t="s">
        <v>55</v>
      </c>
      <c r="Q2171" t="s">
        <v>47</v>
      </c>
      <c r="R2171" t="s">
        <v>44</v>
      </c>
      <c r="S2171">
        <v>0</v>
      </c>
      <c r="W2171" s="3">
        <v>2.7777777777777778E-4</v>
      </c>
      <c r="X2171" t="s">
        <v>2908</v>
      </c>
      <c r="Y2171">
        <v>5</v>
      </c>
      <c r="Z2171">
        <v>0</v>
      </c>
      <c r="AA2171" t="s">
        <v>49</v>
      </c>
      <c r="AB2171">
        <v>0</v>
      </c>
      <c r="AC2171" t="s">
        <v>49</v>
      </c>
      <c r="AD2171">
        <v>0</v>
      </c>
      <c r="AE2171">
        <v>-1</v>
      </c>
      <c r="AF2171" t="s">
        <v>50</v>
      </c>
      <c r="AG2171" t="s">
        <v>1536</v>
      </c>
    </row>
    <row r="2172" spans="1:33" x14ac:dyDescent="0.35">
      <c r="A2172" s="1">
        <v>44840.480555555558</v>
      </c>
      <c r="B2172">
        <v>4183127</v>
      </c>
      <c r="C2172" t="s">
        <v>190</v>
      </c>
      <c r="D2172" t="s">
        <v>59</v>
      </c>
      <c r="E2172" s="2">
        <v>42310</v>
      </c>
      <c r="F2172" t="str">
        <f>"9783527684649"</f>
        <v>9783527684649</v>
      </c>
      <c r="G2172" t="str">
        <f>"9783527331659"</f>
        <v>9783527331659</v>
      </c>
      <c r="H2172" t="s">
        <v>191</v>
      </c>
      <c r="I2172" t="s">
        <v>192</v>
      </c>
      <c r="J2172" t="s">
        <v>193</v>
      </c>
      <c r="K2172" t="s">
        <v>44</v>
      </c>
      <c r="N2172" t="s">
        <v>45</v>
      </c>
      <c r="O2172" t="s">
        <v>46</v>
      </c>
      <c r="P2172" t="s">
        <v>45</v>
      </c>
      <c r="Q2172" t="s">
        <v>47</v>
      </c>
      <c r="R2172" t="s">
        <v>44</v>
      </c>
      <c r="S2172">
        <v>0</v>
      </c>
      <c r="W2172" s="3">
        <v>1.0185185185185186E-3</v>
      </c>
      <c r="X2172" t="s">
        <v>4661</v>
      </c>
      <c r="Y2172">
        <v>17</v>
      </c>
      <c r="Z2172">
        <v>0</v>
      </c>
      <c r="AA2172" t="s">
        <v>49</v>
      </c>
      <c r="AB2172">
        <v>0</v>
      </c>
      <c r="AC2172" t="s">
        <v>49</v>
      </c>
      <c r="AD2172">
        <v>0</v>
      </c>
      <c r="AE2172">
        <v>11125579</v>
      </c>
      <c r="AF2172" t="s">
        <v>50</v>
      </c>
      <c r="AG2172" t="s">
        <v>1536</v>
      </c>
    </row>
    <row r="2173" spans="1:33" x14ac:dyDescent="0.35">
      <c r="A2173" s="1">
        <v>44840.474305555559</v>
      </c>
      <c r="B2173">
        <v>4183127</v>
      </c>
      <c r="C2173" t="s">
        <v>190</v>
      </c>
      <c r="D2173" t="s">
        <v>59</v>
      </c>
      <c r="E2173" s="2">
        <v>42310</v>
      </c>
      <c r="F2173" t="str">
        <f>"9783527684649"</f>
        <v>9783527684649</v>
      </c>
      <c r="G2173" t="str">
        <f>"9783527331659"</f>
        <v>9783527331659</v>
      </c>
      <c r="H2173" t="s">
        <v>191</v>
      </c>
      <c r="I2173" t="s">
        <v>192</v>
      </c>
      <c r="J2173" t="s">
        <v>193</v>
      </c>
      <c r="K2173" t="s">
        <v>44</v>
      </c>
      <c r="N2173" t="s">
        <v>45</v>
      </c>
      <c r="O2173" t="s">
        <v>46</v>
      </c>
      <c r="P2173" t="s">
        <v>45</v>
      </c>
      <c r="Q2173" t="s">
        <v>47</v>
      </c>
      <c r="R2173" t="s">
        <v>44</v>
      </c>
      <c r="S2173">
        <v>0</v>
      </c>
      <c r="W2173" s="3">
        <v>3.4722222222222222E-5</v>
      </c>
      <c r="X2173" t="s">
        <v>121</v>
      </c>
      <c r="Y2173">
        <v>1</v>
      </c>
      <c r="Z2173">
        <v>0</v>
      </c>
      <c r="AA2173" t="s">
        <v>49</v>
      </c>
      <c r="AB2173">
        <v>0</v>
      </c>
      <c r="AC2173" t="s">
        <v>49</v>
      </c>
      <c r="AD2173">
        <v>0</v>
      </c>
      <c r="AE2173">
        <v>11125579</v>
      </c>
      <c r="AF2173" t="s">
        <v>50</v>
      </c>
      <c r="AG2173" t="s">
        <v>4619</v>
      </c>
    </row>
    <row r="2174" spans="1:33" x14ac:dyDescent="0.35">
      <c r="A2174" s="1">
        <v>44840.429166666669</v>
      </c>
      <c r="B2174">
        <v>4183127</v>
      </c>
      <c r="C2174" t="s">
        <v>190</v>
      </c>
      <c r="D2174" t="s">
        <v>59</v>
      </c>
      <c r="E2174" s="2">
        <v>42310</v>
      </c>
      <c r="F2174" t="str">
        <f>"9783527684649"</f>
        <v>9783527684649</v>
      </c>
      <c r="G2174" t="str">
        <f>"9783527331659"</f>
        <v>9783527331659</v>
      </c>
      <c r="H2174" t="s">
        <v>191</v>
      </c>
      <c r="I2174" t="s">
        <v>192</v>
      </c>
      <c r="J2174" t="s">
        <v>193</v>
      </c>
      <c r="K2174" t="s">
        <v>44</v>
      </c>
      <c r="N2174" t="s">
        <v>45</v>
      </c>
      <c r="O2174" t="s">
        <v>46</v>
      </c>
      <c r="P2174" t="s">
        <v>45</v>
      </c>
      <c r="Q2174" t="s">
        <v>47</v>
      </c>
      <c r="R2174" t="s">
        <v>44</v>
      </c>
      <c r="S2174">
        <v>0</v>
      </c>
      <c r="W2174" s="3">
        <v>2.2604166666666665E-2</v>
      </c>
      <c r="X2174" t="s">
        <v>4662</v>
      </c>
      <c r="Y2174">
        <v>40</v>
      </c>
      <c r="Z2174">
        <v>0</v>
      </c>
      <c r="AA2174" t="s">
        <v>49</v>
      </c>
      <c r="AB2174">
        <v>0</v>
      </c>
      <c r="AC2174" t="s">
        <v>49</v>
      </c>
      <c r="AD2174">
        <v>0</v>
      </c>
      <c r="AE2174">
        <v>11125579</v>
      </c>
      <c r="AF2174" t="s">
        <v>50</v>
      </c>
      <c r="AG2174" t="s">
        <v>4619</v>
      </c>
    </row>
    <row r="2175" spans="1:33" x14ac:dyDescent="0.35">
      <c r="A2175" s="1">
        <v>44840.388194444444</v>
      </c>
      <c r="B2175">
        <v>3564030</v>
      </c>
      <c r="C2175" t="s">
        <v>4153</v>
      </c>
      <c r="D2175" t="s">
        <v>175</v>
      </c>
      <c r="E2175" s="2">
        <v>38058</v>
      </c>
      <c r="F2175" t="str">
        <f>"9780309527200"</f>
        <v>9780309527200</v>
      </c>
      <c r="G2175" t="str">
        <f>"9780309090636"</f>
        <v>9780309090636</v>
      </c>
      <c r="H2175" t="s">
        <v>4154</v>
      </c>
      <c r="I2175" t="s">
        <v>4155</v>
      </c>
      <c r="J2175" t="s">
        <v>4156</v>
      </c>
      <c r="K2175" t="s">
        <v>44</v>
      </c>
      <c r="N2175" t="s">
        <v>45</v>
      </c>
      <c r="O2175" t="s">
        <v>46</v>
      </c>
      <c r="P2175" t="s">
        <v>177</v>
      </c>
      <c r="Q2175" t="s">
        <v>47</v>
      </c>
      <c r="R2175" t="s">
        <v>55</v>
      </c>
      <c r="S2175">
        <v>0</v>
      </c>
      <c r="W2175" s="3">
        <v>5.7870370370370366E-5</v>
      </c>
      <c r="X2175" t="s">
        <v>121</v>
      </c>
      <c r="Y2175">
        <v>1</v>
      </c>
      <c r="Z2175">
        <v>0</v>
      </c>
      <c r="AA2175" t="s">
        <v>49</v>
      </c>
      <c r="AB2175">
        <v>0</v>
      </c>
      <c r="AC2175" t="s">
        <v>49</v>
      </c>
      <c r="AD2175">
        <v>0</v>
      </c>
      <c r="AE2175">
        <v>10051648</v>
      </c>
      <c r="AF2175" t="s">
        <v>50</v>
      </c>
      <c r="AG2175" t="s">
        <v>118</v>
      </c>
    </row>
    <row r="2176" spans="1:33" x14ac:dyDescent="0.35">
      <c r="A2176" s="1">
        <v>44840.140277777777</v>
      </c>
      <c r="B2176">
        <v>469749</v>
      </c>
      <c r="C2176" t="s">
        <v>2784</v>
      </c>
      <c r="D2176" t="s">
        <v>1458</v>
      </c>
      <c r="E2176" s="2">
        <v>39693</v>
      </c>
      <c r="F2176" t="str">
        <f>"9780470282069"</f>
        <v>9780470282069</v>
      </c>
      <c r="G2176" t="str">
        <f>"9780470105252"</f>
        <v>9780470105252</v>
      </c>
      <c r="H2176" t="s">
        <v>1112</v>
      </c>
      <c r="I2176">
        <v>660.28319999999997</v>
      </c>
      <c r="J2176" t="s">
        <v>2785</v>
      </c>
      <c r="K2176" t="s">
        <v>44</v>
      </c>
      <c r="N2176" t="s">
        <v>45</v>
      </c>
      <c r="O2176" t="s">
        <v>46</v>
      </c>
      <c r="P2176" t="s">
        <v>45</v>
      </c>
      <c r="Q2176" t="s">
        <v>47</v>
      </c>
      <c r="R2176" t="s">
        <v>44</v>
      </c>
      <c r="S2176">
        <v>1</v>
      </c>
      <c r="W2176" s="3">
        <v>0</v>
      </c>
      <c r="X2176" t="s">
        <v>49</v>
      </c>
      <c r="Y2176">
        <v>0</v>
      </c>
      <c r="Z2176">
        <v>0</v>
      </c>
      <c r="AA2176" t="s">
        <v>49</v>
      </c>
      <c r="AB2176">
        <v>0</v>
      </c>
      <c r="AC2176" t="s">
        <v>49</v>
      </c>
      <c r="AD2176">
        <v>0</v>
      </c>
      <c r="AE2176">
        <v>10296771</v>
      </c>
      <c r="AF2176" t="s">
        <v>63</v>
      </c>
      <c r="AG2176" t="s">
        <v>118</v>
      </c>
    </row>
    <row r="2177" spans="1:33" x14ac:dyDescent="0.35">
      <c r="A2177" s="1">
        <v>44840.136805555558</v>
      </c>
      <c r="B2177">
        <v>469749</v>
      </c>
      <c r="C2177" t="s">
        <v>2784</v>
      </c>
      <c r="D2177" t="s">
        <v>1458</v>
      </c>
      <c r="E2177" s="2">
        <v>39693</v>
      </c>
      <c r="F2177" t="str">
        <f>"9780470282069"</f>
        <v>9780470282069</v>
      </c>
      <c r="G2177" t="str">
        <f>"9780470105252"</f>
        <v>9780470105252</v>
      </c>
      <c r="H2177" t="s">
        <v>1112</v>
      </c>
      <c r="I2177">
        <v>660.28319999999997</v>
      </c>
      <c r="J2177" t="s">
        <v>2785</v>
      </c>
      <c r="K2177" t="s">
        <v>44</v>
      </c>
      <c r="N2177" t="s">
        <v>45</v>
      </c>
      <c r="O2177" t="s">
        <v>46</v>
      </c>
      <c r="P2177" t="s">
        <v>45</v>
      </c>
      <c r="Q2177" t="s">
        <v>47</v>
      </c>
      <c r="R2177" t="s">
        <v>44</v>
      </c>
      <c r="S2177">
        <v>0</v>
      </c>
      <c r="W2177" s="3">
        <v>3.6111111111111114E-3</v>
      </c>
      <c r="X2177" t="s">
        <v>4663</v>
      </c>
      <c r="Y2177">
        <v>5</v>
      </c>
      <c r="Z2177">
        <v>0</v>
      </c>
      <c r="AA2177" t="s">
        <v>49</v>
      </c>
      <c r="AB2177">
        <v>0</v>
      </c>
      <c r="AC2177" t="s">
        <v>49</v>
      </c>
      <c r="AD2177">
        <v>0</v>
      </c>
      <c r="AE2177">
        <v>10296771</v>
      </c>
      <c r="AF2177" t="s">
        <v>63</v>
      </c>
      <c r="AG2177" t="s">
        <v>118</v>
      </c>
    </row>
    <row r="2178" spans="1:33" x14ac:dyDescent="0.35">
      <c r="A2178" s="1">
        <v>44839.996527777781</v>
      </c>
      <c r="B2178">
        <v>5043170</v>
      </c>
      <c r="C2178" t="s">
        <v>4664</v>
      </c>
      <c r="D2178" t="s">
        <v>213</v>
      </c>
      <c r="E2178" s="2">
        <v>42991</v>
      </c>
      <c r="F2178" t="str">
        <f>"9780444637925"</f>
        <v>9780444637925</v>
      </c>
      <c r="G2178" t="str">
        <f>"9780444640383"</f>
        <v>9780444640383</v>
      </c>
      <c r="H2178" t="s">
        <v>1112</v>
      </c>
      <c r="I2178">
        <v>660.072</v>
      </c>
      <c r="J2178" t="s">
        <v>4665</v>
      </c>
      <c r="K2178" t="s">
        <v>55</v>
      </c>
      <c r="N2178" t="s">
        <v>79</v>
      </c>
      <c r="P2178" t="s">
        <v>80</v>
      </c>
      <c r="Q2178" t="s">
        <v>47</v>
      </c>
      <c r="R2178" t="s">
        <v>44</v>
      </c>
      <c r="S2178">
        <v>0</v>
      </c>
      <c r="W2178" s="3">
        <v>0</v>
      </c>
      <c r="X2178" t="s">
        <v>49</v>
      </c>
      <c r="Y2178">
        <v>0</v>
      </c>
      <c r="Z2178">
        <v>2</v>
      </c>
      <c r="AA2178" t="s">
        <v>4666</v>
      </c>
      <c r="AB2178">
        <v>64</v>
      </c>
      <c r="AC2178" t="s">
        <v>49</v>
      </c>
      <c r="AD2178">
        <v>0</v>
      </c>
      <c r="AE2178">
        <v>11438547</v>
      </c>
      <c r="AF2178" t="s">
        <v>50</v>
      </c>
      <c r="AG2178" t="s">
        <v>493</v>
      </c>
    </row>
    <row r="2179" spans="1:33" x14ac:dyDescent="0.35">
      <c r="A2179" s="1">
        <v>44839.993055555555</v>
      </c>
      <c r="B2179">
        <v>4183127</v>
      </c>
      <c r="C2179" t="s">
        <v>190</v>
      </c>
      <c r="D2179" t="s">
        <v>59</v>
      </c>
      <c r="E2179" s="2">
        <v>42310</v>
      </c>
      <c r="F2179" t="str">
        <f>"9783527684649"</f>
        <v>9783527684649</v>
      </c>
      <c r="G2179" t="str">
        <f>"9783527331659"</f>
        <v>9783527331659</v>
      </c>
      <c r="H2179" t="s">
        <v>191</v>
      </c>
      <c r="I2179" t="s">
        <v>192</v>
      </c>
      <c r="J2179" t="s">
        <v>193</v>
      </c>
      <c r="K2179" t="s">
        <v>44</v>
      </c>
      <c r="N2179" t="s">
        <v>45</v>
      </c>
      <c r="O2179" t="s">
        <v>46</v>
      </c>
      <c r="P2179" t="s">
        <v>45</v>
      </c>
      <c r="Q2179" t="s">
        <v>47</v>
      </c>
      <c r="R2179" t="s">
        <v>44</v>
      </c>
      <c r="S2179">
        <v>0</v>
      </c>
      <c r="W2179" s="3">
        <v>2.2916666666666667E-3</v>
      </c>
      <c r="X2179" t="s">
        <v>4667</v>
      </c>
      <c r="Y2179">
        <v>20</v>
      </c>
      <c r="Z2179">
        <v>1</v>
      </c>
      <c r="AA2179" t="s">
        <v>2954</v>
      </c>
      <c r="AB2179">
        <v>18</v>
      </c>
      <c r="AC2179" t="s">
        <v>49</v>
      </c>
      <c r="AD2179">
        <v>0</v>
      </c>
      <c r="AE2179">
        <v>11125579</v>
      </c>
      <c r="AF2179" t="s">
        <v>63</v>
      </c>
      <c r="AG2179" t="s">
        <v>118</v>
      </c>
    </row>
    <row r="2180" spans="1:33" x14ac:dyDescent="0.35">
      <c r="A2180" s="1">
        <v>44839.988888888889</v>
      </c>
      <c r="B2180">
        <v>1602192</v>
      </c>
      <c r="C2180" t="s">
        <v>4539</v>
      </c>
      <c r="D2180" t="s">
        <v>76</v>
      </c>
      <c r="E2180" s="2">
        <v>40091</v>
      </c>
      <c r="F2180" t="str">
        <f>"9781317740711"</f>
        <v>9781317740711</v>
      </c>
      <c r="G2180" t="str">
        <f>"9781841697468"</f>
        <v>9781841697468</v>
      </c>
      <c r="H2180" t="s">
        <v>244</v>
      </c>
      <c r="I2180">
        <v>155.19999999999999</v>
      </c>
      <c r="J2180" t="s">
        <v>4540</v>
      </c>
      <c r="K2180" t="s">
        <v>44</v>
      </c>
      <c r="N2180" t="s">
        <v>45</v>
      </c>
      <c r="O2180" t="s">
        <v>46</v>
      </c>
      <c r="P2180" t="s">
        <v>45</v>
      </c>
      <c r="Q2180" t="s">
        <v>47</v>
      </c>
      <c r="R2180" t="s">
        <v>44</v>
      </c>
      <c r="S2180">
        <v>0</v>
      </c>
      <c r="W2180" s="3">
        <v>1.298611111111111E-2</v>
      </c>
      <c r="X2180" t="s">
        <v>4668</v>
      </c>
      <c r="Y2180">
        <v>7</v>
      </c>
      <c r="Z2180">
        <v>0</v>
      </c>
      <c r="AA2180" t="s">
        <v>49</v>
      </c>
      <c r="AB2180">
        <v>0</v>
      </c>
      <c r="AC2180" t="s">
        <v>49</v>
      </c>
      <c r="AD2180">
        <v>0</v>
      </c>
      <c r="AE2180">
        <v>10830657</v>
      </c>
      <c r="AF2180" t="s">
        <v>50</v>
      </c>
      <c r="AG2180" t="s">
        <v>1536</v>
      </c>
    </row>
    <row r="2181" spans="1:33" x14ac:dyDescent="0.35">
      <c r="A2181" s="1">
        <v>44839.969444444447</v>
      </c>
      <c r="B2181">
        <v>819162</v>
      </c>
      <c r="C2181" t="s">
        <v>3732</v>
      </c>
      <c r="D2181" t="s">
        <v>59</v>
      </c>
      <c r="E2181" s="2">
        <v>40812</v>
      </c>
      <c r="F2181" t="str">
        <f>"9781119978572"</f>
        <v>9781119978572</v>
      </c>
      <c r="G2181" t="str">
        <f>"9780470972007"</f>
        <v>9780470972007</v>
      </c>
      <c r="H2181" t="s">
        <v>1720</v>
      </c>
      <c r="I2181" t="s">
        <v>3733</v>
      </c>
      <c r="J2181" t="s">
        <v>3734</v>
      </c>
      <c r="K2181" t="s">
        <v>44</v>
      </c>
      <c r="N2181" t="s">
        <v>45</v>
      </c>
      <c r="O2181" t="s">
        <v>46</v>
      </c>
      <c r="P2181" t="s">
        <v>45</v>
      </c>
      <c r="Q2181" t="s">
        <v>47</v>
      </c>
      <c r="R2181" t="s">
        <v>44</v>
      </c>
      <c r="S2181">
        <v>0</v>
      </c>
      <c r="W2181" s="3">
        <v>8.4375000000000006E-3</v>
      </c>
      <c r="X2181" t="s">
        <v>4669</v>
      </c>
      <c r="Y2181">
        <v>12</v>
      </c>
      <c r="Z2181">
        <v>0</v>
      </c>
      <c r="AA2181" t="s">
        <v>49</v>
      </c>
      <c r="AB2181">
        <v>0</v>
      </c>
      <c r="AC2181" t="s">
        <v>49</v>
      </c>
      <c r="AD2181">
        <v>0</v>
      </c>
      <c r="AE2181">
        <v>10488531</v>
      </c>
      <c r="AF2181" t="s">
        <v>50</v>
      </c>
      <c r="AG2181" t="s">
        <v>118</v>
      </c>
    </row>
    <row r="2182" spans="1:33" x14ac:dyDescent="0.35">
      <c r="A2182" s="1">
        <v>44839.932638888888</v>
      </c>
      <c r="B2182">
        <v>819162</v>
      </c>
      <c r="C2182" t="s">
        <v>3732</v>
      </c>
      <c r="D2182" t="s">
        <v>59</v>
      </c>
      <c r="E2182" s="2">
        <v>40812</v>
      </c>
      <c r="F2182" t="str">
        <f>"9781119978572"</f>
        <v>9781119978572</v>
      </c>
      <c r="G2182" t="str">
        <f>"9780470972007"</f>
        <v>9780470972007</v>
      </c>
      <c r="H2182" t="s">
        <v>1720</v>
      </c>
      <c r="I2182" t="s">
        <v>3733</v>
      </c>
      <c r="J2182" t="s">
        <v>3734</v>
      </c>
      <c r="K2182" t="s">
        <v>44</v>
      </c>
      <c r="N2182" t="s">
        <v>45</v>
      </c>
      <c r="O2182" t="s">
        <v>46</v>
      </c>
      <c r="P2182" t="s">
        <v>45</v>
      </c>
      <c r="Q2182" t="s">
        <v>47</v>
      </c>
      <c r="R2182" t="s">
        <v>44</v>
      </c>
      <c r="S2182">
        <v>0</v>
      </c>
      <c r="W2182" s="3">
        <v>2.2106481481481478E-3</v>
      </c>
      <c r="X2182" t="s">
        <v>4670</v>
      </c>
      <c r="Y2182">
        <v>44</v>
      </c>
      <c r="Z2182">
        <v>0</v>
      </c>
      <c r="AA2182" t="s">
        <v>49</v>
      </c>
      <c r="AB2182">
        <v>0</v>
      </c>
      <c r="AC2182" t="s">
        <v>49</v>
      </c>
      <c r="AD2182">
        <v>0</v>
      </c>
      <c r="AE2182">
        <v>10488531</v>
      </c>
      <c r="AF2182" t="s">
        <v>50</v>
      </c>
      <c r="AG2182" t="s">
        <v>118</v>
      </c>
    </row>
    <row r="2183" spans="1:33" x14ac:dyDescent="0.35">
      <c r="A2183" s="1">
        <v>44839.878472222219</v>
      </c>
      <c r="B2183">
        <v>4183127</v>
      </c>
      <c r="C2183" t="s">
        <v>190</v>
      </c>
      <c r="D2183" t="s">
        <v>59</v>
      </c>
      <c r="E2183" s="2">
        <v>42310</v>
      </c>
      <c r="F2183" t="str">
        <f>"9783527684649"</f>
        <v>9783527684649</v>
      </c>
      <c r="G2183" t="str">
        <f>"9783527331659"</f>
        <v>9783527331659</v>
      </c>
      <c r="H2183" t="s">
        <v>191</v>
      </c>
      <c r="I2183" t="s">
        <v>192</v>
      </c>
      <c r="J2183" t="s">
        <v>193</v>
      </c>
      <c r="K2183" t="s">
        <v>44</v>
      </c>
      <c r="N2183" t="s">
        <v>45</v>
      </c>
      <c r="O2183" t="s">
        <v>46</v>
      </c>
      <c r="P2183" t="s">
        <v>45</v>
      </c>
      <c r="Q2183" t="s">
        <v>47</v>
      </c>
      <c r="R2183" t="s">
        <v>44</v>
      </c>
      <c r="S2183">
        <v>0</v>
      </c>
      <c r="W2183" s="3">
        <v>9.2592592592592588E-5</v>
      </c>
      <c r="X2183" t="s">
        <v>196</v>
      </c>
      <c r="Y2183">
        <v>2</v>
      </c>
      <c r="Z2183">
        <v>0</v>
      </c>
      <c r="AA2183" t="s">
        <v>49</v>
      </c>
      <c r="AB2183">
        <v>0</v>
      </c>
      <c r="AC2183" t="s">
        <v>49</v>
      </c>
      <c r="AD2183">
        <v>0</v>
      </c>
      <c r="AE2183">
        <v>11125579</v>
      </c>
      <c r="AF2183" t="s">
        <v>50</v>
      </c>
      <c r="AG2183" t="s">
        <v>1536</v>
      </c>
    </row>
    <row r="2184" spans="1:33" x14ac:dyDescent="0.35">
      <c r="A2184" s="1">
        <v>44839.851388888892</v>
      </c>
      <c r="B2184">
        <v>3338641</v>
      </c>
      <c r="C2184" t="s">
        <v>302</v>
      </c>
      <c r="D2184" t="s">
        <v>303</v>
      </c>
      <c r="E2184" s="2">
        <v>39143</v>
      </c>
      <c r="F2184" t="str">
        <f>"9780262282888"</f>
        <v>9780262282888</v>
      </c>
      <c r="G2184" t="str">
        <f>"9780262195577"</f>
        <v>9780262195577</v>
      </c>
      <c r="H2184" t="s">
        <v>304</v>
      </c>
      <c r="I2184" t="s">
        <v>305</v>
      </c>
      <c r="K2184" t="s">
        <v>44</v>
      </c>
      <c r="N2184" t="s">
        <v>45</v>
      </c>
      <c r="O2184" t="s">
        <v>46</v>
      </c>
      <c r="P2184" t="s">
        <v>45</v>
      </c>
      <c r="Q2184" t="s">
        <v>47</v>
      </c>
      <c r="R2184" t="s">
        <v>44</v>
      </c>
      <c r="S2184">
        <v>0</v>
      </c>
      <c r="W2184" s="3">
        <v>0</v>
      </c>
      <c r="X2184" t="s">
        <v>49</v>
      </c>
      <c r="Y2184">
        <v>0</v>
      </c>
      <c r="Z2184">
        <v>1</v>
      </c>
      <c r="AA2184" t="s">
        <v>4159</v>
      </c>
      <c r="AB2184">
        <v>26</v>
      </c>
      <c r="AC2184" t="s">
        <v>49</v>
      </c>
      <c r="AD2184">
        <v>0</v>
      </c>
      <c r="AE2184">
        <v>10173702</v>
      </c>
      <c r="AF2184" t="s">
        <v>50</v>
      </c>
      <c r="AG2184" t="s">
        <v>505</v>
      </c>
    </row>
    <row r="2185" spans="1:33" x14ac:dyDescent="0.35">
      <c r="A2185" s="1">
        <v>44839.839583333334</v>
      </c>
      <c r="B2185">
        <v>3338641</v>
      </c>
      <c r="C2185" t="s">
        <v>302</v>
      </c>
      <c r="D2185" t="s">
        <v>303</v>
      </c>
      <c r="E2185" s="2">
        <v>39143</v>
      </c>
      <c r="F2185" t="str">
        <f>"9780262282888"</f>
        <v>9780262282888</v>
      </c>
      <c r="G2185" t="str">
        <f>"9780262195577"</f>
        <v>9780262195577</v>
      </c>
      <c r="H2185" t="s">
        <v>304</v>
      </c>
      <c r="I2185" t="s">
        <v>305</v>
      </c>
      <c r="K2185" t="s">
        <v>44</v>
      </c>
      <c r="N2185" t="s">
        <v>45</v>
      </c>
      <c r="O2185" t="s">
        <v>46</v>
      </c>
      <c r="P2185" t="s">
        <v>45</v>
      </c>
      <c r="Q2185" t="s">
        <v>47</v>
      </c>
      <c r="R2185" t="s">
        <v>44</v>
      </c>
      <c r="S2185">
        <v>0</v>
      </c>
      <c r="W2185" s="3">
        <v>6.5972222222222213E-4</v>
      </c>
      <c r="X2185" t="s">
        <v>2913</v>
      </c>
      <c r="Y2185">
        <v>6</v>
      </c>
      <c r="Z2185">
        <v>1</v>
      </c>
      <c r="AA2185" t="s">
        <v>4159</v>
      </c>
      <c r="AB2185">
        <v>26</v>
      </c>
      <c r="AC2185" t="s">
        <v>49</v>
      </c>
      <c r="AD2185">
        <v>0</v>
      </c>
      <c r="AE2185">
        <v>10173702</v>
      </c>
      <c r="AF2185" t="s">
        <v>50</v>
      </c>
      <c r="AG2185" t="s">
        <v>505</v>
      </c>
    </row>
    <row r="2186" spans="1:33" x14ac:dyDescent="0.35">
      <c r="A2186" s="1">
        <v>44839.80972222222</v>
      </c>
      <c r="B2186">
        <v>2197273</v>
      </c>
      <c r="C2186" t="s">
        <v>4595</v>
      </c>
      <c r="D2186" t="s">
        <v>65</v>
      </c>
      <c r="E2186" s="2">
        <v>42237</v>
      </c>
      <c r="F2186" t="str">
        <f>"9781782423843"</f>
        <v>9781782423843</v>
      </c>
      <c r="G2186" t="str">
        <f>"9781782423621"</f>
        <v>9781782423621</v>
      </c>
      <c r="H2186" t="s">
        <v>1112</v>
      </c>
      <c r="I2186">
        <v>665.81</v>
      </c>
      <c r="J2186" t="s">
        <v>4596</v>
      </c>
      <c r="K2186" t="s">
        <v>44</v>
      </c>
      <c r="N2186" t="s">
        <v>45</v>
      </c>
      <c r="O2186" t="s">
        <v>46</v>
      </c>
      <c r="P2186" t="s">
        <v>45</v>
      </c>
      <c r="Q2186" t="s">
        <v>47</v>
      </c>
      <c r="R2186" t="s">
        <v>44</v>
      </c>
      <c r="S2186">
        <v>0</v>
      </c>
      <c r="W2186" s="3">
        <v>7.5694444444444446E-3</v>
      </c>
      <c r="X2186" t="s">
        <v>4671</v>
      </c>
      <c r="Y2186">
        <v>16</v>
      </c>
      <c r="Z2186">
        <v>0</v>
      </c>
      <c r="AA2186" t="s">
        <v>49</v>
      </c>
      <c r="AB2186">
        <v>0</v>
      </c>
      <c r="AC2186" t="s">
        <v>49</v>
      </c>
      <c r="AD2186">
        <v>0</v>
      </c>
      <c r="AE2186">
        <v>11306153</v>
      </c>
      <c r="AF2186" t="s">
        <v>50</v>
      </c>
      <c r="AG2186" t="s">
        <v>4672</v>
      </c>
    </row>
    <row r="2187" spans="1:33" x14ac:dyDescent="0.35">
      <c r="A2187" s="1">
        <v>44839.802083333336</v>
      </c>
      <c r="B2187">
        <v>4183127</v>
      </c>
      <c r="C2187" t="s">
        <v>190</v>
      </c>
      <c r="D2187" t="s">
        <v>59</v>
      </c>
      <c r="E2187" s="2">
        <v>42310</v>
      </c>
      <c r="F2187" t="str">
        <f>"9783527684649"</f>
        <v>9783527684649</v>
      </c>
      <c r="G2187" t="str">
        <f>"9783527331659"</f>
        <v>9783527331659</v>
      </c>
      <c r="H2187" t="s">
        <v>191</v>
      </c>
      <c r="I2187" t="s">
        <v>192</v>
      </c>
      <c r="J2187" t="s">
        <v>193</v>
      </c>
      <c r="K2187" t="s">
        <v>44</v>
      </c>
      <c r="N2187" t="s">
        <v>45</v>
      </c>
      <c r="O2187" t="s">
        <v>46</v>
      </c>
      <c r="P2187" t="s">
        <v>45</v>
      </c>
      <c r="Q2187" t="s">
        <v>47</v>
      </c>
      <c r="R2187" t="s">
        <v>44</v>
      </c>
      <c r="S2187">
        <v>0</v>
      </c>
      <c r="W2187" s="3">
        <v>4.3518518518518515E-3</v>
      </c>
      <c r="X2187" t="s">
        <v>4673</v>
      </c>
      <c r="Y2187">
        <v>14</v>
      </c>
      <c r="Z2187">
        <v>0</v>
      </c>
      <c r="AA2187" t="s">
        <v>49</v>
      </c>
      <c r="AB2187">
        <v>0</v>
      </c>
      <c r="AC2187" t="s">
        <v>49</v>
      </c>
      <c r="AD2187">
        <v>0</v>
      </c>
      <c r="AE2187">
        <v>11125579</v>
      </c>
      <c r="AF2187" t="s">
        <v>50</v>
      </c>
      <c r="AG2187" t="s">
        <v>4619</v>
      </c>
    </row>
    <row r="2188" spans="1:33" x14ac:dyDescent="0.35">
      <c r="A2188" s="1">
        <v>44839.798611111109</v>
      </c>
      <c r="B2188">
        <v>4183127</v>
      </c>
      <c r="C2188" t="s">
        <v>190</v>
      </c>
      <c r="D2188" t="s">
        <v>59</v>
      </c>
      <c r="E2188" s="2">
        <v>42310</v>
      </c>
      <c r="F2188" t="str">
        <f>"9783527684649"</f>
        <v>9783527684649</v>
      </c>
      <c r="G2188" t="str">
        <f>"9783527331659"</f>
        <v>9783527331659</v>
      </c>
      <c r="H2188" t="s">
        <v>191</v>
      </c>
      <c r="I2188" t="s">
        <v>192</v>
      </c>
      <c r="J2188" t="s">
        <v>193</v>
      </c>
      <c r="K2188" t="s">
        <v>44</v>
      </c>
      <c r="N2188" t="s">
        <v>45</v>
      </c>
      <c r="O2188" t="s">
        <v>46</v>
      </c>
      <c r="P2188" t="s">
        <v>45</v>
      </c>
      <c r="Q2188" t="s">
        <v>47</v>
      </c>
      <c r="R2188" t="s">
        <v>44</v>
      </c>
      <c r="S2188">
        <v>0</v>
      </c>
      <c r="W2188" s="3">
        <v>8.1018518518518516E-5</v>
      </c>
      <c r="X2188" t="s">
        <v>196</v>
      </c>
      <c r="Y2188">
        <v>2</v>
      </c>
      <c r="Z2188">
        <v>0</v>
      </c>
      <c r="AA2188" t="s">
        <v>49</v>
      </c>
      <c r="AB2188">
        <v>0</v>
      </c>
      <c r="AC2188" t="s">
        <v>49</v>
      </c>
      <c r="AD2188">
        <v>0</v>
      </c>
      <c r="AE2188">
        <v>11125579</v>
      </c>
      <c r="AF2188" t="s">
        <v>50</v>
      </c>
      <c r="AG2188" t="s">
        <v>118</v>
      </c>
    </row>
    <row r="2189" spans="1:33" x14ac:dyDescent="0.35">
      <c r="A2189" s="1">
        <v>44839.771527777775</v>
      </c>
      <c r="B2189">
        <v>4183127</v>
      </c>
      <c r="C2189" t="s">
        <v>190</v>
      </c>
      <c r="D2189" t="s">
        <v>59</v>
      </c>
      <c r="E2189" s="2">
        <v>42310</v>
      </c>
      <c r="F2189" t="str">
        <f>"9783527684649"</f>
        <v>9783527684649</v>
      </c>
      <c r="G2189" t="str">
        <f>"9783527331659"</f>
        <v>9783527331659</v>
      </c>
      <c r="H2189" t="s">
        <v>191</v>
      </c>
      <c r="I2189" t="s">
        <v>192</v>
      </c>
      <c r="J2189" t="s">
        <v>193</v>
      </c>
      <c r="K2189" t="s">
        <v>44</v>
      </c>
      <c r="N2189" t="s">
        <v>45</v>
      </c>
      <c r="O2189" t="s">
        <v>46</v>
      </c>
      <c r="P2189" t="s">
        <v>45</v>
      </c>
      <c r="Q2189" t="s">
        <v>47</v>
      </c>
      <c r="R2189" t="s">
        <v>44</v>
      </c>
      <c r="S2189">
        <v>0</v>
      </c>
      <c r="W2189" s="3">
        <v>5.208333333333333E-3</v>
      </c>
      <c r="X2189" t="s">
        <v>4674</v>
      </c>
      <c r="Y2189">
        <v>10</v>
      </c>
      <c r="Z2189">
        <v>0</v>
      </c>
      <c r="AA2189" t="s">
        <v>49</v>
      </c>
      <c r="AB2189">
        <v>0</v>
      </c>
      <c r="AC2189" t="s">
        <v>49</v>
      </c>
      <c r="AD2189">
        <v>0</v>
      </c>
      <c r="AE2189">
        <v>11125579</v>
      </c>
      <c r="AF2189" t="s">
        <v>50</v>
      </c>
      <c r="AG2189" t="s">
        <v>4619</v>
      </c>
    </row>
    <row r="2190" spans="1:33" x14ac:dyDescent="0.35">
      <c r="A2190" s="1">
        <v>44839.755555555559</v>
      </c>
      <c r="B2190">
        <v>693314</v>
      </c>
      <c r="C2190" t="s">
        <v>4497</v>
      </c>
      <c r="D2190" t="s">
        <v>59</v>
      </c>
      <c r="E2190" s="2">
        <v>40805</v>
      </c>
      <c r="F2190" t="str">
        <f>"9781119971016"</f>
        <v>9781119971016</v>
      </c>
      <c r="G2190" t="str">
        <f>"9780470750124"</f>
        <v>9780470750124</v>
      </c>
      <c r="H2190" t="s">
        <v>579</v>
      </c>
      <c r="I2190">
        <v>629.47400000000005</v>
      </c>
      <c r="J2190" t="s">
        <v>4498</v>
      </c>
      <c r="K2190" t="s">
        <v>55</v>
      </c>
      <c r="N2190" t="s">
        <v>79</v>
      </c>
      <c r="P2190" t="s">
        <v>80</v>
      </c>
      <c r="Q2190" t="s">
        <v>47</v>
      </c>
      <c r="R2190" t="s">
        <v>44</v>
      </c>
      <c r="S2190">
        <v>0</v>
      </c>
      <c r="W2190" s="3">
        <v>5.4398148148148144E-4</v>
      </c>
      <c r="X2190" t="s">
        <v>4675</v>
      </c>
      <c r="Y2190">
        <v>7</v>
      </c>
      <c r="Z2190">
        <v>0</v>
      </c>
      <c r="AA2190" t="s">
        <v>49</v>
      </c>
      <c r="AB2190">
        <v>0</v>
      </c>
      <c r="AC2190" t="s">
        <v>49</v>
      </c>
      <c r="AD2190">
        <v>0</v>
      </c>
      <c r="AE2190">
        <v>10494538</v>
      </c>
      <c r="AF2190" t="s">
        <v>50</v>
      </c>
      <c r="AG2190" t="s">
        <v>118</v>
      </c>
    </row>
    <row r="2191" spans="1:33" x14ac:dyDescent="0.35">
      <c r="A2191" s="1">
        <v>44839.676388888889</v>
      </c>
      <c r="B2191">
        <v>28983913</v>
      </c>
      <c r="C2191" t="s">
        <v>1089</v>
      </c>
      <c r="D2191" t="s">
        <v>1090</v>
      </c>
      <c r="E2191" s="2">
        <v>44245</v>
      </c>
      <c r="F2191" t="str">
        <f>"9780768099430"</f>
        <v>9780768099430</v>
      </c>
      <c r="G2191" t="str">
        <f>"9780768099423"</f>
        <v>9780768099423</v>
      </c>
      <c r="H2191" t="s">
        <v>639</v>
      </c>
      <c r="K2191" t="s">
        <v>44</v>
      </c>
      <c r="N2191" t="s">
        <v>45</v>
      </c>
      <c r="O2191" t="s">
        <v>46</v>
      </c>
      <c r="P2191" t="s">
        <v>45</v>
      </c>
      <c r="Q2191" t="s">
        <v>47</v>
      </c>
      <c r="R2191" t="s">
        <v>44</v>
      </c>
      <c r="S2191">
        <v>1</v>
      </c>
      <c r="W2191" s="3">
        <v>4.8611111111111104E-4</v>
      </c>
      <c r="X2191" t="s">
        <v>4676</v>
      </c>
      <c r="Y2191">
        <v>6</v>
      </c>
      <c r="Z2191">
        <v>0</v>
      </c>
      <c r="AA2191" t="s">
        <v>49</v>
      </c>
      <c r="AB2191">
        <v>0</v>
      </c>
      <c r="AC2191" t="s">
        <v>49</v>
      </c>
      <c r="AD2191">
        <v>0</v>
      </c>
      <c r="AE2191">
        <v>-1</v>
      </c>
      <c r="AF2191" t="s">
        <v>63</v>
      </c>
      <c r="AG2191" t="s">
        <v>118</v>
      </c>
    </row>
    <row r="2192" spans="1:33" x14ac:dyDescent="0.35">
      <c r="A2192" s="1">
        <v>44839.67291666667</v>
      </c>
      <c r="B2192">
        <v>28983913</v>
      </c>
      <c r="C2192" t="s">
        <v>1089</v>
      </c>
      <c r="D2192" t="s">
        <v>1090</v>
      </c>
      <c r="E2192" s="2">
        <v>44245</v>
      </c>
      <c r="F2192" t="str">
        <f>"9780768099430"</f>
        <v>9780768099430</v>
      </c>
      <c r="G2192" t="str">
        <f>"9780768099423"</f>
        <v>9780768099423</v>
      </c>
      <c r="H2192" t="s">
        <v>639</v>
      </c>
      <c r="K2192" t="s">
        <v>44</v>
      </c>
      <c r="N2192" t="s">
        <v>45</v>
      </c>
      <c r="O2192" t="s">
        <v>46</v>
      </c>
      <c r="P2192" t="s">
        <v>45</v>
      </c>
      <c r="Q2192" t="s">
        <v>47</v>
      </c>
      <c r="R2192" t="s">
        <v>44</v>
      </c>
      <c r="S2192">
        <v>0</v>
      </c>
      <c r="W2192" s="3">
        <v>3.37962962962963E-3</v>
      </c>
      <c r="X2192" t="s">
        <v>4677</v>
      </c>
      <c r="Y2192">
        <v>9</v>
      </c>
      <c r="Z2192">
        <v>1</v>
      </c>
      <c r="AA2192" t="s">
        <v>4678</v>
      </c>
      <c r="AB2192">
        <v>6</v>
      </c>
      <c r="AC2192" t="s">
        <v>49</v>
      </c>
      <c r="AD2192">
        <v>0</v>
      </c>
      <c r="AE2192">
        <v>-1</v>
      </c>
      <c r="AF2192" t="s">
        <v>63</v>
      </c>
      <c r="AG2192" t="s">
        <v>118</v>
      </c>
    </row>
    <row r="2193" spans="1:33" x14ac:dyDescent="0.35">
      <c r="A2193" s="1">
        <v>44839.651388888888</v>
      </c>
      <c r="B2193">
        <v>1014261</v>
      </c>
      <c r="C2193" t="s">
        <v>4110</v>
      </c>
      <c r="D2193" t="s">
        <v>329</v>
      </c>
      <c r="E2193" s="2">
        <v>41177</v>
      </c>
      <c r="F2193" t="str">
        <f>"9781455730032"</f>
        <v>9781455730032</v>
      </c>
      <c r="G2193" t="str">
        <f>"9781455728343"</f>
        <v>9781455728343</v>
      </c>
      <c r="H2193" t="s">
        <v>1112</v>
      </c>
      <c r="I2193">
        <v>668.9</v>
      </c>
      <c r="J2193" t="s">
        <v>4111</v>
      </c>
      <c r="K2193" t="s">
        <v>44</v>
      </c>
      <c r="N2193" t="s">
        <v>45</v>
      </c>
      <c r="O2193" t="s">
        <v>46</v>
      </c>
      <c r="P2193" t="s">
        <v>45</v>
      </c>
      <c r="Q2193" t="s">
        <v>47</v>
      </c>
      <c r="R2193" t="s">
        <v>44</v>
      </c>
      <c r="S2193">
        <v>0</v>
      </c>
      <c r="W2193" s="3">
        <v>8.6458333333333335E-3</v>
      </c>
      <c r="X2193" t="s">
        <v>4679</v>
      </c>
      <c r="Y2193">
        <v>10</v>
      </c>
      <c r="Z2193">
        <v>0</v>
      </c>
      <c r="AA2193" t="s">
        <v>49</v>
      </c>
      <c r="AB2193">
        <v>0</v>
      </c>
      <c r="AC2193" t="s">
        <v>4680</v>
      </c>
      <c r="AD2193">
        <v>1</v>
      </c>
      <c r="AE2193">
        <v>10595530</v>
      </c>
      <c r="AF2193" t="s">
        <v>50</v>
      </c>
      <c r="AG2193" t="s">
        <v>2972</v>
      </c>
    </row>
    <row r="2194" spans="1:33" x14ac:dyDescent="0.35">
      <c r="A2194" s="1">
        <v>44839.637499999997</v>
      </c>
      <c r="B2194">
        <v>1791963</v>
      </c>
      <c r="C2194" t="s">
        <v>4681</v>
      </c>
      <c r="D2194" t="s">
        <v>59</v>
      </c>
      <c r="E2194" s="2">
        <v>41932</v>
      </c>
      <c r="F2194" t="str">
        <f>"9781118899496"</f>
        <v>9781118899496</v>
      </c>
      <c r="G2194" t="str">
        <f>"9781118104811"</f>
        <v>9781118104811</v>
      </c>
      <c r="H2194" t="s">
        <v>116</v>
      </c>
      <c r="I2194">
        <v>668.4</v>
      </c>
      <c r="J2194" t="s">
        <v>4682</v>
      </c>
      <c r="K2194" t="s">
        <v>44</v>
      </c>
      <c r="N2194" t="s">
        <v>45</v>
      </c>
      <c r="O2194" t="s">
        <v>46</v>
      </c>
      <c r="P2194" t="s">
        <v>45</v>
      </c>
      <c r="Q2194" t="s">
        <v>47</v>
      </c>
      <c r="R2194" t="s">
        <v>44</v>
      </c>
      <c r="S2194">
        <v>0</v>
      </c>
      <c r="W2194" s="3">
        <v>5.0000000000000001E-3</v>
      </c>
      <c r="X2194" t="s">
        <v>4683</v>
      </c>
      <c r="Y2194">
        <v>21</v>
      </c>
      <c r="Z2194">
        <v>0</v>
      </c>
      <c r="AA2194" t="s">
        <v>49</v>
      </c>
      <c r="AB2194">
        <v>0</v>
      </c>
      <c r="AC2194" t="s">
        <v>4684</v>
      </c>
      <c r="AD2194">
        <v>2</v>
      </c>
      <c r="AE2194">
        <v>10937143</v>
      </c>
      <c r="AF2194" t="s">
        <v>50</v>
      </c>
      <c r="AG2194" t="s">
        <v>2972</v>
      </c>
    </row>
    <row r="2195" spans="1:33" x14ac:dyDescent="0.35">
      <c r="A2195" s="1">
        <v>44839.625</v>
      </c>
      <c r="B2195">
        <v>4183127</v>
      </c>
      <c r="C2195" t="s">
        <v>190</v>
      </c>
      <c r="D2195" t="s">
        <v>59</v>
      </c>
      <c r="E2195" s="2">
        <v>42310</v>
      </c>
      <c r="F2195" t="str">
        <f>"9783527684649"</f>
        <v>9783527684649</v>
      </c>
      <c r="G2195" t="str">
        <f>"9783527331659"</f>
        <v>9783527331659</v>
      </c>
      <c r="H2195" t="s">
        <v>191</v>
      </c>
      <c r="I2195" t="s">
        <v>192</v>
      </c>
      <c r="J2195" t="s">
        <v>193</v>
      </c>
      <c r="K2195" t="s">
        <v>44</v>
      </c>
      <c r="N2195" t="s">
        <v>45</v>
      </c>
      <c r="O2195" t="s">
        <v>46</v>
      </c>
      <c r="P2195" t="s">
        <v>45</v>
      </c>
      <c r="Q2195" t="s">
        <v>47</v>
      </c>
      <c r="R2195" t="s">
        <v>44</v>
      </c>
      <c r="S2195">
        <v>0</v>
      </c>
      <c r="W2195" s="3">
        <v>3.2523148148148151E-3</v>
      </c>
      <c r="X2195" t="s">
        <v>4685</v>
      </c>
      <c r="Y2195">
        <v>8</v>
      </c>
      <c r="Z2195">
        <v>1</v>
      </c>
      <c r="AA2195" t="s">
        <v>4686</v>
      </c>
      <c r="AB2195">
        <v>20</v>
      </c>
      <c r="AC2195" t="s">
        <v>4687</v>
      </c>
      <c r="AD2195">
        <v>2</v>
      </c>
      <c r="AE2195">
        <v>11125579</v>
      </c>
      <c r="AF2195" t="s">
        <v>50</v>
      </c>
      <c r="AG2195" t="s">
        <v>118</v>
      </c>
    </row>
    <row r="2196" spans="1:33" x14ac:dyDescent="0.35">
      <c r="A2196" s="1">
        <v>44839.62222222222</v>
      </c>
      <c r="B2196">
        <v>1186203</v>
      </c>
      <c r="C2196" t="s">
        <v>4688</v>
      </c>
      <c r="D2196" t="s">
        <v>465</v>
      </c>
      <c r="E2196" s="2">
        <v>37091</v>
      </c>
      <c r="F2196" t="str">
        <f>"9781847552228"</f>
        <v>9781847552228</v>
      </c>
      <c r="G2196" t="str">
        <f>"9780854046058"</f>
        <v>9780854046058</v>
      </c>
      <c r="H2196" t="s">
        <v>546</v>
      </c>
      <c r="I2196">
        <v>621.31241999999997</v>
      </c>
      <c r="J2196" t="s">
        <v>4689</v>
      </c>
      <c r="K2196" t="s">
        <v>44</v>
      </c>
      <c r="N2196" t="s">
        <v>45</v>
      </c>
      <c r="O2196" t="s">
        <v>46</v>
      </c>
      <c r="P2196" t="s">
        <v>45</v>
      </c>
      <c r="Q2196" t="s">
        <v>47</v>
      </c>
      <c r="R2196" t="s">
        <v>44</v>
      </c>
      <c r="S2196">
        <v>0</v>
      </c>
      <c r="W2196" s="3">
        <v>1.2384259259259258E-3</v>
      </c>
      <c r="X2196" t="s">
        <v>4690</v>
      </c>
      <c r="Y2196">
        <v>17</v>
      </c>
      <c r="Z2196">
        <v>0</v>
      </c>
      <c r="AA2196" t="s">
        <v>49</v>
      </c>
      <c r="AB2196">
        <v>0</v>
      </c>
      <c r="AC2196" t="s">
        <v>49</v>
      </c>
      <c r="AD2196">
        <v>0</v>
      </c>
      <c r="AE2196">
        <v>10626380</v>
      </c>
      <c r="AF2196" t="s">
        <v>50</v>
      </c>
      <c r="AG2196" t="s">
        <v>1355</v>
      </c>
    </row>
    <row r="2197" spans="1:33" x14ac:dyDescent="0.35">
      <c r="A2197" s="1">
        <v>44839.6</v>
      </c>
      <c r="B2197">
        <v>6460379</v>
      </c>
      <c r="C2197" t="s">
        <v>212</v>
      </c>
      <c r="D2197" t="s">
        <v>213</v>
      </c>
      <c r="E2197" s="2">
        <v>44218</v>
      </c>
      <c r="F2197" t="str">
        <f>"9780128232620"</f>
        <v>9780128232620</v>
      </c>
      <c r="G2197" t="str">
        <f>"9780128220993"</f>
        <v>9780128220993</v>
      </c>
      <c r="H2197" t="s">
        <v>214</v>
      </c>
      <c r="I2197">
        <v>547.04999999999995</v>
      </c>
      <c r="J2197" t="s">
        <v>215</v>
      </c>
      <c r="K2197" t="s">
        <v>55</v>
      </c>
      <c r="Q2197" t="s">
        <v>47</v>
      </c>
      <c r="R2197" t="s">
        <v>44</v>
      </c>
      <c r="S2197">
        <v>0</v>
      </c>
      <c r="W2197" s="3">
        <v>3.4490740740740745E-3</v>
      </c>
      <c r="X2197" t="s">
        <v>4691</v>
      </c>
      <c r="Y2197">
        <v>31</v>
      </c>
      <c r="Z2197">
        <v>0</v>
      </c>
      <c r="AA2197" t="s">
        <v>49</v>
      </c>
      <c r="AB2197">
        <v>0</v>
      </c>
      <c r="AC2197" t="s">
        <v>49</v>
      </c>
      <c r="AD2197">
        <v>0</v>
      </c>
      <c r="AE2197">
        <v>-1</v>
      </c>
      <c r="AF2197" t="s">
        <v>50</v>
      </c>
      <c r="AG2197" t="s">
        <v>4485</v>
      </c>
    </row>
    <row r="2198" spans="1:33" x14ac:dyDescent="0.35">
      <c r="A2198" s="1">
        <v>44839.592361111114</v>
      </c>
      <c r="B2198">
        <v>6321997</v>
      </c>
      <c r="C2198" t="s">
        <v>4692</v>
      </c>
      <c r="D2198" t="s">
        <v>614</v>
      </c>
      <c r="E2198" s="2">
        <v>44073</v>
      </c>
      <c r="F2198" t="str">
        <f>"9789811548710"</f>
        <v>9789811548710</v>
      </c>
      <c r="G2198" t="str">
        <f>"9789811548703"</f>
        <v>9789811548703</v>
      </c>
      <c r="H2198" t="s">
        <v>4693</v>
      </c>
      <c r="I2198">
        <v>363.7387463</v>
      </c>
      <c r="J2198" t="s">
        <v>4694</v>
      </c>
      <c r="K2198" t="s">
        <v>55</v>
      </c>
      <c r="Q2198" t="s">
        <v>47</v>
      </c>
      <c r="R2198" t="s">
        <v>44</v>
      </c>
      <c r="S2198">
        <v>0</v>
      </c>
      <c r="W2198" s="3">
        <v>2.1643518518518518E-3</v>
      </c>
      <c r="X2198" t="s">
        <v>4695</v>
      </c>
      <c r="Y2198">
        <v>7</v>
      </c>
      <c r="Z2198">
        <v>0</v>
      </c>
      <c r="AA2198" t="s">
        <v>49</v>
      </c>
      <c r="AB2198">
        <v>0</v>
      </c>
      <c r="AC2198" t="s">
        <v>49</v>
      </c>
      <c r="AD2198">
        <v>0</v>
      </c>
      <c r="AE2198">
        <v>-1</v>
      </c>
      <c r="AF2198" t="s">
        <v>50</v>
      </c>
      <c r="AG2198" t="s">
        <v>4485</v>
      </c>
    </row>
    <row r="2199" spans="1:33" x14ac:dyDescent="0.35">
      <c r="A2199" s="1">
        <v>44839.556250000001</v>
      </c>
      <c r="B2199">
        <v>2037866</v>
      </c>
      <c r="C2199" t="s">
        <v>4696</v>
      </c>
      <c r="D2199" t="s">
        <v>76</v>
      </c>
      <c r="E2199" s="2">
        <v>35246</v>
      </c>
      <c r="F2199" t="str">
        <f>"9781315706184"</f>
        <v>9781315706184</v>
      </c>
      <c r="G2199" t="str">
        <f>"9781563248795"</f>
        <v>9781563248795</v>
      </c>
      <c r="H2199" t="s">
        <v>498</v>
      </c>
      <c r="I2199">
        <v>160</v>
      </c>
      <c r="J2199" t="s">
        <v>4697</v>
      </c>
      <c r="K2199" t="s">
        <v>44</v>
      </c>
      <c r="N2199" t="s">
        <v>45</v>
      </c>
      <c r="O2199" t="s">
        <v>46</v>
      </c>
      <c r="P2199" t="s">
        <v>45</v>
      </c>
      <c r="Q2199" t="s">
        <v>47</v>
      </c>
      <c r="R2199" t="s">
        <v>44</v>
      </c>
      <c r="S2199">
        <v>0</v>
      </c>
      <c r="W2199" s="3">
        <v>3.5879629629629635E-4</v>
      </c>
      <c r="X2199" t="s">
        <v>4698</v>
      </c>
      <c r="Y2199">
        <v>4</v>
      </c>
      <c r="Z2199">
        <v>0</v>
      </c>
      <c r="AA2199" t="s">
        <v>49</v>
      </c>
      <c r="AB2199">
        <v>0</v>
      </c>
      <c r="AC2199" t="s">
        <v>49</v>
      </c>
      <c r="AD2199">
        <v>0</v>
      </c>
      <c r="AE2199">
        <v>11051832</v>
      </c>
      <c r="AF2199" t="s">
        <v>50</v>
      </c>
      <c r="AG2199" t="s">
        <v>1355</v>
      </c>
    </row>
    <row r="2200" spans="1:33" x14ac:dyDescent="0.35">
      <c r="A2200" s="1">
        <v>44839.526388888888</v>
      </c>
      <c r="B2200">
        <v>6454860</v>
      </c>
      <c r="C2200" t="s">
        <v>4699</v>
      </c>
      <c r="D2200" t="s">
        <v>76</v>
      </c>
      <c r="E2200" s="2">
        <v>44166</v>
      </c>
      <c r="F2200" t="str">
        <f>"9781000264555"</f>
        <v>9781000264555</v>
      </c>
      <c r="G2200" t="str">
        <f>"9780367259389"</f>
        <v>9780367259389</v>
      </c>
      <c r="H2200" t="s">
        <v>290</v>
      </c>
      <c r="I2200">
        <v>628.5</v>
      </c>
      <c r="J2200" t="s">
        <v>4700</v>
      </c>
      <c r="K2200" t="s">
        <v>55</v>
      </c>
      <c r="Q2200" t="s">
        <v>47</v>
      </c>
      <c r="R2200" t="s">
        <v>44</v>
      </c>
      <c r="S2200">
        <v>0</v>
      </c>
      <c r="W2200" s="3">
        <v>4.8611111111111104E-4</v>
      </c>
      <c r="X2200" t="s">
        <v>4701</v>
      </c>
      <c r="Y2200">
        <v>2</v>
      </c>
      <c r="Z2200">
        <v>0</v>
      </c>
      <c r="AA2200" t="s">
        <v>49</v>
      </c>
      <c r="AB2200">
        <v>0</v>
      </c>
      <c r="AC2200" t="s">
        <v>49</v>
      </c>
      <c r="AD2200">
        <v>0</v>
      </c>
      <c r="AE2200">
        <v>-1</v>
      </c>
      <c r="AF2200" t="s">
        <v>50</v>
      </c>
      <c r="AG2200" t="s">
        <v>4702</v>
      </c>
    </row>
    <row r="2201" spans="1:33" x14ac:dyDescent="0.35">
      <c r="A2201" s="1">
        <v>44839.48333333333</v>
      </c>
      <c r="B2201">
        <v>3564603</v>
      </c>
      <c r="C2201" t="s">
        <v>4423</v>
      </c>
      <c r="D2201" t="s">
        <v>125</v>
      </c>
      <c r="E2201" s="2">
        <v>42234</v>
      </c>
      <c r="F2201" t="str">
        <f>"9780191008559"</f>
        <v>9780191008559</v>
      </c>
      <c r="G2201" t="str">
        <f>"9780199652112"</f>
        <v>9780199652112</v>
      </c>
      <c r="H2201" t="s">
        <v>538</v>
      </c>
      <c r="I2201">
        <v>621.47</v>
      </c>
      <c r="J2201" t="s">
        <v>4424</v>
      </c>
      <c r="K2201" t="s">
        <v>55</v>
      </c>
      <c r="N2201" t="s">
        <v>79</v>
      </c>
      <c r="P2201" t="s">
        <v>80</v>
      </c>
      <c r="Q2201" t="s">
        <v>47</v>
      </c>
      <c r="R2201" t="s">
        <v>44</v>
      </c>
      <c r="S2201">
        <v>0</v>
      </c>
      <c r="W2201" s="3">
        <v>1.7465277777777777E-2</v>
      </c>
      <c r="X2201" t="s">
        <v>4703</v>
      </c>
      <c r="Y2201">
        <v>109</v>
      </c>
      <c r="Z2201">
        <v>0</v>
      </c>
      <c r="AA2201" t="s">
        <v>49</v>
      </c>
      <c r="AB2201">
        <v>0</v>
      </c>
      <c r="AC2201" t="s">
        <v>49</v>
      </c>
      <c r="AD2201">
        <v>0</v>
      </c>
      <c r="AE2201">
        <v>11058629</v>
      </c>
      <c r="AF2201" t="s">
        <v>50</v>
      </c>
      <c r="AG2201" t="s">
        <v>866</v>
      </c>
    </row>
    <row r="2202" spans="1:33" x14ac:dyDescent="0.35">
      <c r="A2202" s="1">
        <v>44839.46597222222</v>
      </c>
      <c r="B2202">
        <v>1895341</v>
      </c>
      <c r="C2202" t="s">
        <v>4704</v>
      </c>
      <c r="D2202" t="s">
        <v>59</v>
      </c>
      <c r="E2202" s="2">
        <v>42121</v>
      </c>
      <c r="F2202" t="str">
        <f>"9781119059998"</f>
        <v>9781119059998</v>
      </c>
      <c r="G2202" t="str">
        <f>"9781119059721"</f>
        <v>9781119059721</v>
      </c>
      <c r="H2202" t="s">
        <v>60</v>
      </c>
      <c r="I2202" t="s">
        <v>4705</v>
      </c>
      <c r="J2202" t="s">
        <v>4706</v>
      </c>
      <c r="K2202" t="s">
        <v>44</v>
      </c>
      <c r="N2202" t="s">
        <v>45</v>
      </c>
      <c r="O2202" t="s">
        <v>46</v>
      </c>
      <c r="P2202" t="s">
        <v>45</v>
      </c>
      <c r="Q2202" t="s">
        <v>47</v>
      </c>
      <c r="R2202" t="s">
        <v>44</v>
      </c>
      <c r="S2202">
        <v>0</v>
      </c>
      <c r="W2202" s="3">
        <v>7.0601851851851841E-3</v>
      </c>
      <c r="X2202" t="s">
        <v>4707</v>
      </c>
      <c r="Y2202">
        <v>24</v>
      </c>
      <c r="Z2202">
        <v>0</v>
      </c>
      <c r="AA2202" t="s">
        <v>49</v>
      </c>
      <c r="AB2202">
        <v>0</v>
      </c>
      <c r="AC2202" t="s">
        <v>49</v>
      </c>
      <c r="AD2202">
        <v>0</v>
      </c>
      <c r="AE2202">
        <v>11052385</v>
      </c>
      <c r="AF2202" t="s">
        <v>50</v>
      </c>
      <c r="AG2202" t="s">
        <v>866</v>
      </c>
    </row>
    <row r="2203" spans="1:33" x14ac:dyDescent="0.35">
      <c r="A2203" s="1">
        <v>44839.453472222223</v>
      </c>
      <c r="B2203">
        <v>6382172</v>
      </c>
      <c r="C2203" t="s">
        <v>3959</v>
      </c>
      <c r="D2203" t="s">
        <v>65</v>
      </c>
      <c r="E2203" s="2">
        <v>44133</v>
      </c>
      <c r="F2203" t="str">
        <f>"9780128209929"</f>
        <v>9780128209929</v>
      </c>
      <c r="G2203" t="str">
        <f>"9780128209912"</f>
        <v>9780128209912</v>
      </c>
      <c r="H2203" t="s">
        <v>322</v>
      </c>
      <c r="I2203" t="s">
        <v>3960</v>
      </c>
      <c r="J2203" t="s">
        <v>3961</v>
      </c>
      <c r="K2203" t="s">
        <v>55</v>
      </c>
      <c r="Q2203" t="s">
        <v>47</v>
      </c>
      <c r="R2203" t="s">
        <v>44</v>
      </c>
      <c r="S2203">
        <v>0</v>
      </c>
      <c r="W2203" s="3">
        <v>0</v>
      </c>
      <c r="X2203" t="s">
        <v>49</v>
      </c>
      <c r="Y2203">
        <v>0</v>
      </c>
      <c r="Z2203">
        <v>0</v>
      </c>
      <c r="AA2203" t="s">
        <v>49</v>
      </c>
      <c r="AB2203">
        <v>0</v>
      </c>
      <c r="AC2203" t="s">
        <v>49</v>
      </c>
      <c r="AD2203">
        <v>0</v>
      </c>
      <c r="AE2203">
        <v>-1</v>
      </c>
      <c r="AF2203" t="s">
        <v>63</v>
      </c>
      <c r="AG2203" t="s">
        <v>3037</v>
      </c>
    </row>
    <row r="2204" spans="1:33" x14ac:dyDescent="0.35">
      <c r="A2204" s="1">
        <v>44839.407638888886</v>
      </c>
      <c r="B2204">
        <v>5928975</v>
      </c>
      <c r="C2204" t="s">
        <v>4708</v>
      </c>
      <c r="D2204" t="s">
        <v>105</v>
      </c>
      <c r="E2204" s="2">
        <v>43756</v>
      </c>
      <c r="F2204" t="str">
        <f>"9783030154240"</f>
        <v>9783030154240</v>
      </c>
      <c r="G2204" t="str">
        <f>"9783030154233"</f>
        <v>9783030154233</v>
      </c>
      <c r="H2204" t="s">
        <v>111</v>
      </c>
      <c r="I2204">
        <v>363.73874000000001</v>
      </c>
      <c r="J2204" t="s">
        <v>3971</v>
      </c>
      <c r="K2204" t="s">
        <v>55</v>
      </c>
      <c r="Q2204" t="s">
        <v>47</v>
      </c>
      <c r="R2204" t="s">
        <v>44</v>
      </c>
      <c r="S2204">
        <v>0</v>
      </c>
      <c r="W2204" s="3">
        <v>1.6203703703703703E-4</v>
      </c>
      <c r="X2204" t="s">
        <v>4709</v>
      </c>
      <c r="Y2204">
        <v>4</v>
      </c>
      <c r="Z2204">
        <v>0</v>
      </c>
      <c r="AA2204" t="s">
        <v>49</v>
      </c>
      <c r="AB2204">
        <v>0</v>
      </c>
      <c r="AC2204" t="s">
        <v>49</v>
      </c>
      <c r="AD2204">
        <v>0</v>
      </c>
      <c r="AE2204">
        <v>-1</v>
      </c>
      <c r="AF2204" t="s">
        <v>50</v>
      </c>
      <c r="AG2204" t="s">
        <v>1355</v>
      </c>
    </row>
    <row r="2205" spans="1:33" x14ac:dyDescent="0.35">
      <c r="A2205" s="1">
        <v>44839.40625</v>
      </c>
      <c r="B2205">
        <v>4183127</v>
      </c>
      <c r="C2205" t="s">
        <v>190</v>
      </c>
      <c r="D2205" t="s">
        <v>59</v>
      </c>
      <c r="E2205" s="2">
        <v>42310</v>
      </c>
      <c r="F2205" t="str">
        <f>"9783527684649"</f>
        <v>9783527684649</v>
      </c>
      <c r="G2205" t="str">
        <f>"9783527331659"</f>
        <v>9783527331659</v>
      </c>
      <c r="H2205" t="s">
        <v>191</v>
      </c>
      <c r="I2205" t="s">
        <v>192</v>
      </c>
      <c r="J2205" t="s">
        <v>193</v>
      </c>
      <c r="K2205" t="s">
        <v>44</v>
      </c>
      <c r="N2205" t="s">
        <v>45</v>
      </c>
      <c r="O2205" t="s">
        <v>46</v>
      </c>
      <c r="P2205" t="s">
        <v>45</v>
      </c>
      <c r="Q2205" t="s">
        <v>47</v>
      </c>
      <c r="R2205" t="s">
        <v>44</v>
      </c>
      <c r="S2205">
        <v>0</v>
      </c>
      <c r="W2205" s="3">
        <v>1.5740740740740741E-3</v>
      </c>
      <c r="X2205" t="s">
        <v>4710</v>
      </c>
      <c r="Y2205">
        <v>8</v>
      </c>
      <c r="Z2205">
        <v>0</v>
      </c>
      <c r="AA2205" t="s">
        <v>49</v>
      </c>
      <c r="AB2205">
        <v>0</v>
      </c>
      <c r="AC2205" t="s">
        <v>49</v>
      </c>
      <c r="AD2205">
        <v>0</v>
      </c>
      <c r="AE2205">
        <v>11125579</v>
      </c>
      <c r="AF2205" t="s">
        <v>50</v>
      </c>
      <c r="AG2205" t="s">
        <v>4619</v>
      </c>
    </row>
    <row r="2206" spans="1:33" x14ac:dyDescent="0.35">
      <c r="A2206" s="1">
        <v>44839.366666666669</v>
      </c>
      <c r="B2206">
        <v>4183127</v>
      </c>
      <c r="C2206" t="s">
        <v>190</v>
      </c>
      <c r="D2206" t="s">
        <v>59</v>
      </c>
      <c r="E2206" s="2">
        <v>42310</v>
      </c>
      <c r="F2206" t="str">
        <f>"9783527684649"</f>
        <v>9783527684649</v>
      </c>
      <c r="G2206" t="str">
        <f>"9783527331659"</f>
        <v>9783527331659</v>
      </c>
      <c r="H2206" t="s">
        <v>191</v>
      </c>
      <c r="I2206" t="s">
        <v>192</v>
      </c>
      <c r="J2206" t="s">
        <v>193</v>
      </c>
      <c r="K2206" t="s">
        <v>44</v>
      </c>
      <c r="N2206" t="s">
        <v>45</v>
      </c>
      <c r="O2206" t="s">
        <v>46</v>
      </c>
      <c r="P2206" t="s">
        <v>45</v>
      </c>
      <c r="Q2206" t="s">
        <v>47</v>
      </c>
      <c r="R2206" t="s">
        <v>44</v>
      </c>
      <c r="S2206">
        <v>0</v>
      </c>
      <c r="W2206" s="3">
        <v>1.6550925925925926E-3</v>
      </c>
      <c r="X2206" t="s">
        <v>4711</v>
      </c>
      <c r="Y2206">
        <v>11</v>
      </c>
      <c r="Z2206">
        <v>0</v>
      </c>
      <c r="AA2206" t="s">
        <v>49</v>
      </c>
      <c r="AB2206">
        <v>0</v>
      </c>
      <c r="AC2206" t="s">
        <v>49</v>
      </c>
      <c r="AD2206">
        <v>0</v>
      </c>
      <c r="AE2206">
        <v>11125579</v>
      </c>
      <c r="AF2206" t="s">
        <v>63</v>
      </c>
      <c r="AG2206" t="s">
        <v>4619</v>
      </c>
    </row>
    <row r="2207" spans="1:33" x14ac:dyDescent="0.35">
      <c r="A2207" s="1">
        <v>44839.303472222222</v>
      </c>
      <c r="B2207">
        <v>1791963</v>
      </c>
      <c r="C2207" t="s">
        <v>4681</v>
      </c>
      <c r="D2207" t="s">
        <v>59</v>
      </c>
      <c r="E2207" s="2">
        <v>41932</v>
      </c>
      <c r="F2207" t="str">
        <f>"9781118899496"</f>
        <v>9781118899496</v>
      </c>
      <c r="G2207" t="str">
        <f>"9781118104811"</f>
        <v>9781118104811</v>
      </c>
      <c r="H2207" t="s">
        <v>116</v>
      </c>
      <c r="I2207">
        <v>668.4</v>
      </c>
      <c r="J2207" t="s">
        <v>4682</v>
      </c>
      <c r="K2207" t="s">
        <v>44</v>
      </c>
      <c r="N2207" t="s">
        <v>45</v>
      </c>
      <c r="O2207" t="s">
        <v>46</v>
      </c>
      <c r="P2207" t="s">
        <v>45</v>
      </c>
      <c r="Q2207" t="s">
        <v>47</v>
      </c>
      <c r="R2207" t="s">
        <v>44</v>
      </c>
      <c r="S2207">
        <v>0</v>
      </c>
      <c r="W2207" s="3">
        <v>2.2569444444444447E-3</v>
      </c>
      <c r="X2207" t="s">
        <v>4712</v>
      </c>
      <c r="Y2207">
        <v>6</v>
      </c>
      <c r="Z2207">
        <v>0</v>
      </c>
      <c r="AA2207" t="s">
        <v>49</v>
      </c>
      <c r="AB2207">
        <v>0</v>
      </c>
      <c r="AC2207" t="s">
        <v>49</v>
      </c>
      <c r="AD2207">
        <v>0</v>
      </c>
      <c r="AE2207">
        <v>10937143</v>
      </c>
      <c r="AF2207" t="s">
        <v>50</v>
      </c>
      <c r="AG2207" t="s">
        <v>2972</v>
      </c>
    </row>
    <row r="2208" spans="1:33" x14ac:dyDescent="0.35">
      <c r="A2208" s="1">
        <v>44838.984027777777</v>
      </c>
      <c r="B2208">
        <v>4183127</v>
      </c>
      <c r="C2208" t="s">
        <v>190</v>
      </c>
      <c r="D2208" t="s">
        <v>59</v>
      </c>
      <c r="E2208" s="2">
        <v>42310</v>
      </c>
      <c r="F2208" t="str">
        <f>"9783527684649"</f>
        <v>9783527684649</v>
      </c>
      <c r="G2208" t="str">
        <f>"9783527331659"</f>
        <v>9783527331659</v>
      </c>
      <c r="H2208" t="s">
        <v>191</v>
      </c>
      <c r="I2208" t="s">
        <v>192</v>
      </c>
      <c r="J2208" t="s">
        <v>193</v>
      </c>
      <c r="K2208" t="s">
        <v>44</v>
      </c>
      <c r="N2208" t="s">
        <v>45</v>
      </c>
      <c r="O2208" t="s">
        <v>46</v>
      </c>
      <c r="P2208" t="s">
        <v>45</v>
      </c>
      <c r="Q2208" t="s">
        <v>47</v>
      </c>
      <c r="R2208" t="s">
        <v>44</v>
      </c>
      <c r="S2208">
        <v>0</v>
      </c>
      <c r="W2208" s="3">
        <v>4.0312499999999994E-2</v>
      </c>
      <c r="X2208" t="s">
        <v>4713</v>
      </c>
      <c r="Y2208">
        <v>33</v>
      </c>
      <c r="Z2208">
        <v>2</v>
      </c>
      <c r="AA2208" t="s">
        <v>4714</v>
      </c>
      <c r="AB2208">
        <v>9</v>
      </c>
      <c r="AC2208" t="s">
        <v>3100</v>
      </c>
      <c r="AD2208">
        <v>1</v>
      </c>
      <c r="AE2208">
        <v>11125579</v>
      </c>
      <c r="AF2208" t="s">
        <v>63</v>
      </c>
      <c r="AG2208" t="s">
        <v>118</v>
      </c>
    </row>
    <row r="2209" spans="1:33" x14ac:dyDescent="0.35">
      <c r="A2209" s="1">
        <v>44838.947916666664</v>
      </c>
      <c r="B2209">
        <v>819162</v>
      </c>
      <c r="C2209" t="s">
        <v>3732</v>
      </c>
      <c r="D2209" t="s">
        <v>59</v>
      </c>
      <c r="E2209" s="2">
        <v>40812</v>
      </c>
      <c r="F2209" t="str">
        <f>"9781119978572"</f>
        <v>9781119978572</v>
      </c>
      <c r="G2209" t="str">
        <f>"9780470972007"</f>
        <v>9780470972007</v>
      </c>
      <c r="H2209" t="s">
        <v>1720</v>
      </c>
      <c r="I2209" t="s">
        <v>3733</v>
      </c>
      <c r="J2209" t="s">
        <v>3734</v>
      </c>
      <c r="K2209" t="s">
        <v>44</v>
      </c>
      <c r="N2209" t="s">
        <v>45</v>
      </c>
      <c r="O2209" t="s">
        <v>46</v>
      </c>
      <c r="P2209" t="s">
        <v>45</v>
      </c>
      <c r="Q2209" t="s">
        <v>47</v>
      </c>
      <c r="R2209" t="s">
        <v>44</v>
      </c>
      <c r="S2209">
        <v>0</v>
      </c>
      <c r="W2209" s="3">
        <v>2.0694444444444446E-2</v>
      </c>
      <c r="X2209" t="s">
        <v>4715</v>
      </c>
      <c r="Y2209">
        <v>14</v>
      </c>
      <c r="Z2209">
        <v>0</v>
      </c>
      <c r="AA2209" t="s">
        <v>49</v>
      </c>
      <c r="AB2209">
        <v>0</v>
      </c>
      <c r="AC2209" t="s">
        <v>49</v>
      </c>
      <c r="AD2209">
        <v>0</v>
      </c>
      <c r="AE2209">
        <v>10488531</v>
      </c>
      <c r="AF2209" t="s">
        <v>50</v>
      </c>
      <c r="AG2209" t="s">
        <v>118</v>
      </c>
    </row>
    <row r="2210" spans="1:33" x14ac:dyDescent="0.35">
      <c r="A2210" s="1">
        <v>44838.897222222222</v>
      </c>
      <c r="B2210">
        <v>833513</v>
      </c>
      <c r="C2210" t="s">
        <v>4716</v>
      </c>
      <c r="D2210" t="s">
        <v>502</v>
      </c>
      <c r="E2210" s="2">
        <v>40875</v>
      </c>
      <c r="F2210" t="str">
        <f>"9781139218443"</f>
        <v>9781139218443</v>
      </c>
      <c r="G2210" t="str">
        <f>"9781107023406"</f>
        <v>9781107023406</v>
      </c>
      <c r="H2210" t="s">
        <v>4717</v>
      </c>
      <c r="I2210">
        <v>333.79399999999998</v>
      </c>
      <c r="J2210" t="s">
        <v>4718</v>
      </c>
      <c r="K2210" t="s">
        <v>44</v>
      </c>
      <c r="N2210" t="s">
        <v>45</v>
      </c>
      <c r="O2210" t="s">
        <v>46</v>
      </c>
      <c r="P2210" t="s">
        <v>45</v>
      </c>
      <c r="Q2210" t="s">
        <v>47</v>
      </c>
      <c r="R2210" t="s">
        <v>44</v>
      </c>
      <c r="S2210">
        <v>0</v>
      </c>
      <c r="W2210" s="3">
        <v>7.0601851851851847E-4</v>
      </c>
      <c r="X2210" t="s">
        <v>4719</v>
      </c>
      <c r="Y2210">
        <v>10</v>
      </c>
      <c r="Z2210">
        <v>1</v>
      </c>
      <c r="AA2210" t="s">
        <v>205</v>
      </c>
      <c r="AB2210">
        <v>2</v>
      </c>
      <c r="AC2210" t="s">
        <v>49</v>
      </c>
      <c r="AD2210">
        <v>0</v>
      </c>
      <c r="AE2210">
        <v>10533327</v>
      </c>
      <c r="AF2210" t="s">
        <v>50</v>
      </c>
      <c r="AG2210" t="s">
        <v>1355</v>
      </c>
    </row>
    <row r="2211" spans="1:33" x14ac:dyDescent="0.35">
      <c r="A2211" s="1">
        <v>44838.870833333334</v>
      </c>
      <c r="B2211">
        <v>819162</v>
      </c>
      <c r="C2211" t="s">
        <v>3732</v>
      </c>
      <c r="D2211" t="s">
        <v>59</v>
      </c>
      <c r="E2211" s="2">
        <v>40812</v>
      </c>
      <c r="F2211" t="str">
        <f>"9781119978572"</f>
        <v>9781119978572</v>
      </c>
      <c r="G2211" t="str">
        <f>"9780470972007"</f>
        <v>9780470972007</v>
      </c>
      <c r="H2211" t="s">
        <v>1720</v>
      </c>
      <c r="I2211" t="s">
        <v>3733</v>
      </c>
      <c r="J2211" t="s">
        <v>3734</v>
      </c>
      <c r="K2211" t="s">
        <v>44</v>
      </c>
      <c r="N2211" t="s">
        <v>45</v>
      </c>
      <c r="O2211" t="s">
        <v>46</v>
      </c>
      <c r="P2211" t="s">
        <v>45</v>
      </c>
      <c r="Q2211" t="s">
        <v>47</v>
      </c>
      <c r="R2211" t="s">
        <v>44</v>
      </c>
      <c r="S2211">
        <v>0</v>
      </c>
      <c r="W2211" s="3">
        <v>1.7719907407407406E-2</v>
      </c>
      <c r="X2211" t="s">
        <v>4720</v>
      </c>
      <c r="Y2211">
        <v>27</v>
      </c>
      <c r="Z2211">
        <v>1</v>
      </c>
      <c r="AA2211" t="s">
        <v>4721</v>
      </c>
      <c r="AB2211">
        <v>2</v>
      </c>
      <c r="AC2211" t="s">
        <v>49</v>
      </c>
      <c r="AD2211">
        <v>0</v>
      </c>
      <c r="AE2211">
        <v>10488531</v>
      </c>
      <c r="AF2211" t="s">
        <v>50</v>
      </c>
      <c r="AG2211" t="s">
        <v>118</v>
      </c>
    </row>
    <row r="2212" spans="1:33" x14ac:dyDescent="0.35">
      <c r="A2212" s="1">
        <v>44838.848611111112</v>
      </c>
      <c r="B2212">
        <v>316986</v>
      </c>
      <c r="C2212" t="s">
        <v>4523</v>
      </c>
      <c r="D2212" t="s">
        <v>65</v>
      </c>
      <c r="E2212" s="2">
        <v>35593</v>
      </c>
      <c r="F2212" t="str">
        <f>"9780080533179"</f>
        <v>9780080533179</v>
      </c>
      <c r="G2212" t="str">
        <f>"9780121346454"</f>
        <v>9780121346454</v>
      </c>
      <c r="H2212" t="s">
        <v>244</v>
      </c>
      <c r="I2212">
        <v>155.19999999999999</v>
      </c>
      <c r="J2212" t="s">
        <v>4524</v>
      </c>
      <c r="K2212" t="s">
        <v>44</v>
      </c>
      <c r="N2212" t="s">
        <v>45</v>
      </c>
      <c r="O2212" t="s">
        <v>46</v>
      </c>
      <c r="P2212" t="s">
        <v>45</v>
      </c>
      <c r="Q2212" t="s">
        <v>47</v>
      </c>
      <c r="R2212" t="s">
        <v>44</v>
      </c>
      <c r="S2212">
        <v>0</v>
      </c>
      <c r="W2212" s="3">
        <v>2.0833333333333335E-4</v>
      </c>
      <c r="X2212" t="s">
        <v>4722</v>
      </c>
      <c r="Y2212">
        <v>4</v>
      </c>
      <c r="Z2212">
        <v>0</v>
      </c>
      <c r="AA2212" t="s">
        <v>49</v>
      </c>
      <c r="AB2212">
        <v>0</v>
      </c>
      <c r="AC2212" t="s">
        <v>49</v>
      </c>
      <c r="AD2212">
        <v>0</v>
      </c>
      <c r="AE2212">
        <v>10206356</v>
      </c>
      <c r="AF2212" t="s">
        <v>50</v>
      </c>
      <c r="AG2212" t="s">
        <v>1536</v>
      </c>
    </row>
    <row r="2213" spans="1:33" x14ac:dyDescent="0.35">
      <c r="A2213" s="1">
        <v>44838.738888888889</v>
      </c>
      <c r="B2213">
        <v>286669</v>
      </c>
      <c r="C2213" t="s">
        <v>1361</v>
      </c>
      <c r="D2213" t="s">
        <v>213</v>
      </c>
      <c r="E2213" s="2">
        <v>37869</v>
      </c>
      <c r="F2213" t="str">
        <f>"9780080469959"</f>
        <v>9780080469959</v>
      </c>
      <c r="G2213" t="str">
        <f>"9780750647090"</f>
        <v>9780750647090</v>
      </c>
      <c r="H2213" t="s">
        <v>1362</v>
      </c>
      <c r="I2213">
        <v>670.72</v>
      </c>
      <c r="J2213" t="s">
        <v>1363</v>
      </c>
      <c r="K2213" t="s">
        <v>44</v>
      </c>
      <c r="N2213" t="s">
        <v>45</v>
      </c>
      <c r="O2213" t="s">
        <v>46</v>
      </c>
      <c r="P2213" t="s">
        <v>45</v>
      </c>
      <c r="Q2213" t="s">
        <v>47</v>
      </c>
      <c r="R2213" t="s">
        <v>44</v>
      </c>
      <c r="S2213">
        <v>0</v>
      </c>
      <c r="W2213" s="3">
        <v>4.155092592592593E-3</v>
      </c>
      <c r="X2213" t="s">
        <v>4723</v>
      </c>
      <c r="Y2213">
        <v>34</v>
      </c>
      <c r="Z2213">
        <v>2</v>
      </c>
      <c r="AA2213" t="s">
        <v>4724</v>
      </c>
      <c r="AB2213">
        <v>21</v>
      </c>
      <c r="AC2213" t="s">
        <v>49</v>
      </c>
      <c r="AD2213">
        <v>0</v>
      </c>
      <c r="AE2213">
        <v>10166962</v>
      </c>
      <c r="AF2213" t="s">
        <v>50</v>
      </c>
      <c r="AG2213" t="s">
        <v>630</v>
      </c>
    </row>
    <row r="2214" spans="1:33" x14ac:dyDescent="0.35">
      <c r="A2214" s="1">
        <v>44838.723611111112</v>
      </c>
      <c r="B2214">
        <v>6341147</v>
      </c>
      <c r="C2214" t="s">
        <v>4725</v>
      </c>
      <c r="D2214" t="s">
        <v>537</v>
      </c>
      <c r="E2214" s="2">
        <v>44159</v>
      </c>
      <c r="F2214" t="str">
        <f>"9781000576900"</f>
        <v>9781000576900</v>
      </c>
      <c r="G2214" t="str">
        <f>"9789814800754"</f>
        <v>9789814800754</v>
      </c>
      <c r="H2214" t="s">
        <v>546</v>
      </c>
      <c r="I2214">
        <v>621.29999999999995</v>
      </c>
      <c r="J2214" t="s">
        <v>4726</v>
      </c>
      <c r="K2214" t="s">
        <v>55</v>
      </c>
      <c r="Q2214" t="s">
        <v>47</v>
      </c>
      <c r="R2214" t="s">
        <v>44</v>
      </c>
      <c r="S2214">
        <v>0</v>
      </c>
      <c r="W2214" s="3">
        <v>2.0023148148148148E-3</v>
      </c>
      <c r="X2214" t="s">
        <v>4727</v>
      </c>
      <c r="Y2214">
        <v>17</v>
      </c>
      <c r="Z2214">
        <v>0</v>
      </c>
      <c r="AA2214" t="s">
        <v>49</v>
      </c>
      <c r="AB2214">
        <v>0</v>
      </c>
      <c r="AC2214" t="s">
        <v>49</v>
      </c>
      <c r="AD2214">
        <v>0</v>
      </c>
      <c r="AE2214">
        <v>-1</v>
      </c>
      <c r="AF2214" t="s">
        <v>63</v>
      </c>
      <c r="AG2214" t="s">
        <v>1536</v>
      </c>
    </row>
    <row r="2215" spans="1:33" x14ac:dyDescent="0.35">
      <c r="A2215" s="1">
        <v>44838.712500000001</v>
      </c>
      <c r="B2215">
        <v>6653827</v>
      </c>
      <c r="C2215" t="s">
        <v>4728</v>
      </c>
      <c r="D2215" t="s">
        <v>76</v>
      </c>
      <c r="E2215" s="2">
        <v>44256</v>
      </c>
      <c r="F2215" t="str">
        <f>"9781351395526"</f>
        <v>9781351395526</v>
      </c>
      <c r="G2215" t="str">
        <f>"9781138305267"</f>
        <v>9781138305267</v>
      </c>
      <c r="H2215" t="s">
        <v>4729</v>
      </c>
      <c r="I2215">
        <v>1.42</v>
      </c>
      <c r="J2215" t="s">
        <v>4730</v>
      </c>
      <c r="K2215" t="s">
        <v>55</v>
      </c>
      <c r="Q2215" t="s">
        <v>47</v>
      </c>
      <c r="R2215" t="s">
        <v>44</v>
      </c>
      <c r="S2215">
        <v>0</v>
      </c>
      <c r="W2215" s="3">
        <v>1.0717592592592593E-2</v>
      </c>
      <c r="X2215" t="s">
        <v>4731</v>
      </c>
      <c r="Y2215">
        <v>15</v>
      </c>
      <c r="Z2215">
        <v>0</v>
      </c>
      <c r="AA2215" t="s">
        <v>49</v>
      </c>
      <c r="AB2215">
        <v>0</v>
      </c>
      <c r="AC2215" t="s">
        <v>49</v>
      </c>
      <c r="AD2215">
        <v>0</v>
      </c>
      <c r="AE2215">
        <v>-1</v>
      </c>
      <c r="AF2215" t="s">
        <v>50</v>
      </c>
      <c r="AG2215" t="s">
        <v>1355</v>
      </c>
    </row>
    <row r="2216" spans="1:33" x14ac:dyDescent="0.35">
      <c r="A2216" s="1">
        <v>44838.648611111108</v>
      </c>
      <c r="B2216">
        <v>6684438</v>
      </c>
      <c r="C2216" t="s">
        <v>4732</v>
      </c>
      <c r="D2216" t="s">
        <v>65</v>
      </c>
      <c r="E2216" s="2">
        <v>44406</v>
      </c>
      <c r="F2216" t="str">
        <f>"9780323901512"</f>
        <v>9780323901512</v>
      </c>
      <c r="G2216" t="str">
        <f>"9780323901505"</f>
        <v>9780323901505</v>
      </c>
      <c r="H2216" t="s">
        <v>116</v>
      </c>
      <c r="I2216">
        <v>662.6</v>
      </c>
      <c r="J2216" t="s">
        <v>4733</v>
      </c>
      <c r="K2216" t="s">
        <v>55</v>
      </c>
      <c r="Q2216" t="s">
        <v>47</v>
      </c>
      <c r="R2216" t="s">
        <v>44</v>
      </c>
      <c r="S2216">
        <v>0</v>
      </c>
      <c r="W2216" s="3">
        <v>1.261574074074074E-3</v>
      </c>
      <c r="X2216" t="s">
        <v>4734</v>
      </c>
      <c r="Y2216">
        <v>9</v>
      </c>
      <c r="Z2216">
        <v>0</v>
      </c>
      <c r="AA2216" t="s">
        <v>49</v>
      </c>
      <c r="AB2216">
        <v>0</v>
      </c>
      <c r="AC2216" t="s">
        <v>49</v>
      </c>
      <c r="AD2216">
        <v>0</v>
      </c>
      <c r="AE2216">
        <v>-1</v>
      </c>
      <c r="AF2216" t="s">
        <v>50</v>
      </c>
      <c r="AG2216" t="s">
        <v>118</v>
      </c>
    </row>
    <row r="2217" spans="1:33" x14ac:dyDescent="0.35">
      <c r="A2217" s="1">
        <v>44838.615972222222</v>
      </c>
      <c r="B2217">
        <v>6454860</v>
      </c>
      <c r="C2217" t="s">
        <v>4699</v>
      </c>
      <c r="D2217" t="s">
        <v>76</v>
      </c>
      <c r="E2217" s="2">
        <v>44166</v>
      </c>
      <c r="F2217" t="str">
        <f>"9781000264555"</f>
        <v>9781000264555</v>
      </c>
      <c r="G2217" t="str">
        <f>"9780367259389"</f>
        <v>9780367259389</v>
      </c>
      <c r="H2217" t="s">
        <v>290</v>
      </c>
      <c r="I2217">
        <v>628.5</v>
      </c>
      <c r="J2217" t="s">
        <v>4700</v>
      </c>
      <c r="K2217" t="s">
        <v>55</v>
      </c>
      <c r="Q2217" t="s">
        <v>47</v>
      </c>
      <c r="R2217" t="s">
        <v>44</v>
      </c>
      <c r="S2217">
        <v>0</v>
      </c>
      <c r="W2217" s="3">
        <v>1.5833333333333335E-2</v>
      </c>
      <c r="X2217" t="s">
        <v>4735</v>
      </c>
      <c r="Y2217">
        <v>2</v>
      </c>
      <c r="Z2217">
        <v>0</v>
      </c>
      <c r="AA2217" t="s">
        <v>49</v>
      </c>
      <c r="AB2217">
        <v>0</v>
      </c>
      <c r="AC2217" t="s">
        <v>49</v>
      </c>
      <c r="AD2217">
        <v>0</v>
      </c>
      <c r="AE2217">
        <v>-1</v>
      </c>
      <c r="AF2217" t="s">
        <v>50</v>
      </c>
      <c r="AG2217" t="s">
        <v>4702</v>
      </c>
    </row>
    <row r="2218" spans="1:33" x14ac:dyDescent="0.35">
      <c r="A2218" s="1">
        <v>44838.60833333333</v>
      </c>
      <c r="B2218">
        <v>6360984</v>
      </c>
      <c r="C2218" t="s">
        <v>4218</v>
      </c>
      <c r="D2218" t="s">
        <v>105</v>
      </c>
      <c r="E2218" s="2">
        <v>44104</v>
      </c>
      <c r="F2218" t="str">
        <f>"9783030483890"</f>
        <v>9783030483890</v>
      </c>
      <c r="G2218" t="str">
        <f>"9783030483883"</f>
        <v>9783030483883</v>
      </c>
      <c r="H2218" t="s">
        <v>43</v>
      </c>
      <c r="I2218">
        <v>510.93</v>
      </c>
      <c r="J2218" t="s">
        <v>4219</v>
      </c>
      <c r="K2218" t="s">
        <v>55</v>
      </c>
      <c r="Q2218" t="s">
        <v>47</v>
      </c>
      <c r="R2218" t="s">
        <v>44</v>
      </c>
      <c r="S2218">
        <v>0</v>
      </c>
      <c r="W2218" s="3">
        <v>3.7037037037037034E-3</v>
      </c>
      <c r="X2218" t="s">
        <v>4736</v>
      </c>
      <c r="Y2218">
        <v>18</v>
      </c>
      <c r="Z2218">
        <v>0</v>
      </c>
      <c r="AA2218" t="s">
        <v>49</v>
      </c>
      <c r="AB2218">
        <v>0</v>
      </c>
      <c r="AC2218" t="s">
        <v>49</v>
      </c>
      <c r="AD2218">
        <v>0</v>
      </c>
      <c r="AE2218">
        <v>-1</v>
      </c>
      <c r="AF2218" t="s">
        <v>50</v>
      </c>
      <c r="AG2218" t="s">
        <v>4737</v>
      </c>
    </row>
    <row r="2219" spans="1:33" x14ac:dyDescent="0.35">
      <c r="A2219" s="1">
        <v>44838.586111111108</v>
      </c>
      <c r="B2219">
        <v>5928197</v>
      </c>
      <c r="C2219" t="s">
        <v>4738</v>
      </c>
      <c r="D2219" t="s">
        <v>59</v>
      </c>
      <c r="E2219" s="2">
        <v>43839</v>
      </c>
      <c r="F2219" t="str">
        <f>"9781118907269"</f>
        <v>9781118907269</v>
      </c>
      <c r="G2219" t="str">
        <f>"9781118907429"</f>
        <v>9781118907429</v>
      </c>
      <c r="H2219" t="s">
        <v>2799</v>
      </c>
      <c r="I2219">
        <v>502.3</v>
      </c>
      <c r="J2219" t="s">
        <v>4739</v>
      </c>
      <c r="K2219" t="s">
        <v>44</v>
      </c>
      <c r="N2219" t="s">
        <v>45</v>
      </c>
      <c r="O2219" t="s">
        <v>46</v>
      </c>
      <c r="P2219" t="s">
        <v>45</v>
      </c>
      <c r="Q2219" t="s">
        <v>47</v>
      </c>
      <c r="R2219" t="s">
        <v>44</v>
      </c>
      <c r="S2219">
        <v>0</v>
      </c>
      <c r="W2219" s="3">
        <v>4.6296296296296294E-5</v>
      </c>
      <c r="X2219" t="s">
        <v>121</v>
      </c>
      <c r="Y2219">
        <v>1</v>
      </c>
      <c r="Z2219">
        <v>0</v>
      </c>
      <c r="AA2219" t="s">
        <v>49</v>
      </c>
      <c r="AB2219">
        <v>0</v>
      </c>
      <c r="AC2219" t="s">
        <v>49</v>
      </c>
      <c r="AD2219">
        <v>0</v>
      </c>
      <c r="AE2219">
        <v>-1</v>
      </c>
      <c r="AF2219" t="s">
        <v>50</v>
      </c>
      <c r="AG2219" t="s">
        <v>1355</v>
      </c>
    </row>
    <row r="2220" spans="1:33" x14ac:dyDescent="0.35">
      <c r="A2220" s="1">
        <v>44838.559027777781</v>
      </c>
      <c r="B2220">
        <v>6869047</v>
      </c>
      <c r="C2220" t="s">
        <v>4740</v>
      </c>
      <c r="D2220" t="s">
        <v>65</v>
      </c>
      <c r="E2220" s="2">
        <v>44603</v>
      </c>
      <c r="F2220" t="str">
        <f>"9780081019863"</f>
        <v>9780081019863</v>
      </c>
      <c r="G2220" t="str">
        <f>"9780081019856"</f>
        <v>9780081019856</v>
      </c>
      <c r="H2220" t="s">
        <v>918</v>
      </c>
      <c r="I2220">
        <v>668.9</v>
      </c>
      <c r="J2220" t="s">
        <v>4741</v>
      </c>
      <c r="K2220" t="s">
        <v>55</v>
      </c>
      <c r="N2220" t="s">
        <v>293</v>
      </c>
      <c r="P2220" t="s">
        <v>80</v>
      </c>
      <c r="Q2220" t="s">
        <v>47</v>
      </c>
      <c r="R2220" t="s">
        <v>44</v>
      </c>
      <c r="S2220">
        <v>0</v>
      </c>
      <c r="W2220" s="3">
        <v>0</v>
      </c>
      <c r="X2220" t="s">
        <v>49</v>
      </c>
      <c r="Y2220">
        <v>0</v>
      </c>
      <c r="Z2220">
        <v>1</v>
      </c>
      <c r="AA2220" t="s">
        <v>4742</v>
      </c>
      <c r="AB2220">
        <v>48</v>
      </c>
      <c r="AC2220" t="s">
        <v>49</v>
      </c>
      <c r="AD2220">
        <v>0</v>
      </c>
      <c r="AE2220">
        <v>-1</v>
      </c>
      <c r="AF2220" t="s">
        <v>50</v>
      </c>
      <c r="AG2220" t="s">
        <v>4485</v>
      </c>
    </row>
    <row r="2221" spans="1:33" x14ac:dyDescent="0.35">
      <c r="A2221" s="1">
        <v>44838.515277777777</v>
      </c>
      <c r="B2221">
        <v>6846171</v>
      </c>
      <c r="C2221" t="s">
        <v>2305</v>
      </c>
      <c r="D2221" t="s">
        <v>76</v>
      </c>
      <c r="E2221" s="2">
        <v>44531</v>
      </c>
      <c r="F2221" t="str">
        <f>"9781000513400"</f>
        <v>9781000513400</v>
      </c>
      <c r="G2221" t="str">
        <f>"9780367139377"</f>
        <v>9780367139377</v>
      </c>
      <c r="H2221" t="s">
        <v>171</v>
      </c>
      <c r="I2221" t="s">
        <v>2306</v>
      </c>
      <c r="J2221" t="s">
        <v>2307</v>
      </c>
      <c r="K2221" t="s">
        <v>55</v>
      </c>
      <c r="Q2221" t="s">
        <v>47</v>
      </c>
      <c r="R2221" t="s">
        <v>44</v>
      </c>
      <c r="S2221">
        <v>0</v>
      </c>
      <c r="W2221" s="3">
        <v>4.3981481481481481E-4</v>
      </c>
      <c r="X2221" t="s">
        <v>4743</v>
      </c>
      <c r="Y2221">
        <v>4</v>
      </c>
      <c r="Z2221">
        <v>0</v>
      </c>
      <c r="AA2221" t="s">
        <v>49</v>
      </c>
      <c r="AB2221">
        <v>0</v>
      </c>
      <c r="AC2221" t="s">
        <v>49</v>
      </c>
      <c r="AD2221">
        <v>0</v>
      </c>
      <c r="AE2221">
        <v>-1</v>
      </c>
      <c r="AF2221" t="s">
        <v>50</v>
      </c>
      <c r="AG2221" t="s">
        <v>118</v>
      </c>
    </row>
    <row r="2222" spans="1:33" x14ac:dyDescent="0.35">
      <c r="A2222" s="1">
        <v>44838.506944444445</v>
      </c>
      <c r="B2222">
        <v>6125395</v>
      </c>
      <c r="C2222" t="s">
        <v>4744</v>
      </c>
      <c r="D2222" t="s">
        <v>4745</v>
      </c>
      <c r="E2222" s="2">
        <v>43893</v>
      </c>
      <c r="F2222" t="str">
        <f>"9780081023587"</f>
        <v>9780081023587</v>
      </c>
      <c r="G2222" t="str">
        <f>"9781785482519"</f>
        <v>9781785482519</v>
      </c>
      <c r="H2222" t="s">
        <v>208</v>
      </c>
      <c r="I2222">
        <v>623.74689999999998</v>
      </c>
      <c r="J2222" t="s">
        <v>4746</v>
      </c>
      <c r="K2222" t="s">
        <v>55</v>
      </c>
      <c r="Q2222" t="s">
        <v>47</v>
      </c>
      <c r="R2222" t="s">
        <v>44</v>
      </c>
      <c r="S2222">
        <v>0</v>
      </c>
      <c r="W2222" s="3">
        <v>3.2407407407407406E-4</v>
      </c>
      <c r="X2222" t="s">
        <v>4747</v>
      </c>
      <c r="Y2222">
        <v>5</v>
      </c>
      <c r="Z2222">
        <v>0</v>
      </c>
      <c r="AA2222" t="s">
        <v>49</v>
      </c>
      <c r="AB2222">
        <v>0</v>
      </c>
      <c r="AC2222" t="s">
        <v>49</v>
      </c>
      <c r="AD2222">
        <v>0</v>
      </c>
      <c r="AE2222">
        <v>-1</v>
      </c>
      <c r="AF2222" t="s">
        <v>63</v>
      </c>
      <c r="AG2222" t="s">
        <v>4485</v>
      </c>
    </row>
    <row r="2223" spans="1:33" x14ac:dyDescent="0.35">
      <c r="A2223" s="1">
        <v>44838.504861111112</v>
      </c>
      <c r="B2223">
        <v>5538949</v>
      </c>
      <c r="C2223" t="s">
        <v>4118</v>
      </c>
      <c r="D2223" t="s">
        <v>76</v>
      </c>
      <c r="E2223" s="2">
        <v>43377</v>
      </c>
      <c r="F2223" t="str">
        <f>"9780429766763"</f>
        <v>9780429766763</v>
      </c>
      <c r="G2223" t="str">
        <f>"9781138369887"</f>
        <v>9781138369887</v>
      </c>
      <c r="H2223" t="s">
        <v>538</v>
      </c>
      <c r="I2223" t="s">
        <v>4119</v>
      </c>
      <c r="J2223" t="s">
        <v>4120</v>
      </c>
      <c r="K2223" t="s">
        <v>55</v>
      </c>
      <c r="Q2223" t="s">
        <v>47</v>
      </c>
      <c r="R2223" t="s">
        <v>44</v>
      </c>
      <c r="S2223">
        <v>0</v>
      </c>
      <c r="W2223" s="3">
        <v>0</v>
      </c>
      <c r="X2223" t="s">
        <v>49</v>
      </c>
      <c r="Y2223">
        <v>0</v>
      </c>
      <c r="Z2223">
        <v>0</v>
      </c>
      <c r="AA2223" t="s">
        <v>49</v>
      </c>
      <c r="AB2223">
        <v>0</v>
      </c>
      <c r="AC2223" t="s">
        <v>49</v>
      </c>
      <c r="AD2223">
        <v>0</v>
      </c>
      <c r="AE2223">
        <v>11617824</v>
      </c>
      <c r="AF2223" t="s">
        <v>63</v>
      </c>
      <c r="AG2223" t="s">
        <v>4485</v>
      </c>
    </row>
    <row r="2224" spans="1:33" x14ac:dyDescent="0.35">
      <c r="A2224" s="1">
        <v>44838.503472222219</v>
      </c>
      <c r="B2224">
        <v>5538949</v>
      </c>
      <c r="C2224" t="s">
        <v>4118</v>
      </c>
      <c r="D2224" t="s">
        <v>76</v>
      </c>
      <c r="E2224" s="2">
        <v>43377</v>
      </c>
      <c r="F2224" t="str">
        <f>"9780429766763"</f>
        <v>9780429766763</v>
      </c>
      <c r="G2224" t="str">
        <f>"9781138369887"</f>
        <v>9781138369887</v>
      </c>
      <c r="H2224" t="s">
        <v>538</v>
      </c>
      <c r="I2224" t="s">
        <v>4119</v>
      </c>
      <c r="J2224" t="s">
        <v>4120</v>
      </c>
      <c r="K2224" t="s">
        <v>55</v>
      </c>
      <c r="Q2224" t="s">
        <v>47</v>
      </c>
      <c r="R2224" t="s">
        <v>44</v>
      </c>
      <c r="S2224">
        <v>0</v>
      </c>
      <c r="W2224" s="3">
        <v>3.1250000000000001E-4</v>
      </c>
      <c r="X2224" t="s">
        <v>3020</v>
      </c>
      <c r="Y2224">
        <v>1</v>
      </c>
      <c r="Z2224">
        <v>0</v>
      </c>
      <c r="AA2224" t="s">
        <v>49</v>
      </c>
      <c r="AB2224">
        <v>0</v>
      </c>
      <c r="AC2224" t="s">
        <v>49</v>
      </c>
      <c r="AD2224">
        <v>0</v>
      </c>
      <c r="AE2224">
        <v>11617824</v>
      </c>
      <c r="AF2224" t="s">
        <v>50</v>
      </c>
      <c r="AG2224" t="s">
        <v>4748</v>
      </c>
    </row>
    <row r="2225" spans="1:33" x14ac:dyDescent="0.35">
      <c r="A2225" s="1">
        <v>44838.501388888886</v>
      </c>
      <c r="B2225">
        <v>5538949</v>
      </c>
      <c r="C2225" t="s">
        <v>4118</v>
      </c>
      <c r="D2225" t="s">
        <v>76</v>
      </c>
      <c r="E2225" s="2">
        <v>43377</v>
      </c>
      <c r="F2225" t="str">
        <f>"9780429766763"</f>
        <v>9780429766763</v>
      </c>
      <c r="G2225" t="str">
        <f>"9781138369887"</f>
        <v>9781138369887</v>
      </c>
      <c r="H2225" t="s">
        <v>538</v>
      </c>
      <c r="I2225" t="s">
        <v>4119</v>
      </c>
      <c r="J2225" t="s">
        <v>4120</v>
      </c>
      <c r="K2225" t="s">
        <v>55</v>
      </c>
      <c r="Q2225" t="s">
        <v>47</v>
      </c>
      <c r="R2225" t="s">
        <v>44</v>
      </c>
      <c r="S2225">
        <v>0</v>
      </c>
      <c r="W2225" s="3">
        <v>1.7361111111111112E-4</v>
      </c>
      <c r="X2225" t="s">
        <v>4749</v>
      </c>
      <c r="Y2225">
        <v>2</v>
      </c>
      <c r="Z2225">
        <v>0</v>
      </c>
      <c r="AA2225" t="s">
        <v>49</v>
      </c>
      <c r="AB2225">
        <v>0</v>
      </c>
      <c r="AC2225" t="s">
        <v>49</v>
      </c>
      <c r="AD2225">
        <v>0</v>
      </c>
      <c r="AE2225">
        <v>11617824</v>
      </c>
      <c r="AF2225" t="s">
        <v>50</v>
      </c>
      <c r="AG2225" t="s">
        <v>4750</v>
      </c>
    </row>
    <row r="2226" spans="1:33" x14ac:dyDescent="0.35">
      <c r="A2226" s="1">
        <v>44838.499305555553</v>
      </c>
      <c r="B2226">
        <v>6645518</v>
      </c>
      <c r="C2226" t="s">
        <v>4751</v>
      </c>
      <c r="D2226" t="s">
        <v>125</v>
      </c>
      <c r="E2226" s="2">
        <v>44445</v>
      </c>
      <c r="F2226" t="str">
        <f>"9780197518984"</f>
        <v>9780197518984</v>
      </c>
      <c r="G2226" t="str">
        <f>"9780197518977"</f>
        <v>9780197518977</v>
      </c>
      <c r="H2226" t="s">
        <v>1046</v>
      </c>
      <c r="I2226">
        <v>300.72000000000003</v>
      </c>
      <c r="J2226" t="s">
        <v>4752</v>
      </c>
      <c r="K2226" t="s">
        <v>55</v>
      </c>
      <c r="Q2226" t="s">
        <v>47</v>
      </c>
      <c r="R2226" t="s">
        <v>44</v>
      </c>
      <c r="S2226">
        <v>0</v>
      </c>
      <c r="W2226" s="3">
        <v>9.0277777777777787E-3</v>
      </c>
      <c r="X2226" t="s">
        <v>121</v>
      </c>
      <c r="Y2226">
        <v>1</v>
      </c>
      <c r="Z2226">
        <v>0</v>
      </c>
      <c r="AA2226" t="s">
        <v>49</v>
      </c>
      <c r="AB2226">
        <v>0</v>
      </c>
      <c r="AC2226" t="s">
        <v>49</v>
      </c>
      <c r="AD2226">
        <v>0</v>
      </c>
      <c r="AE2226">
        <v>-1</v>
      </c>
      <c r="AF2226" t="s">
        <v>50</v>
      </c>
      <c r="AG2226" t="s">
        <v>1355</v>
      </c>
    </row>
    <row r="2227" spans="1:33" x14ac:dyDescent="0.35">
      <c r="A2227" s="1">
        <v>44838.436805555553</v>
      </c>
      <c r="B2227">
        <v>1016094</v>
      </c>
      <c r="C2227" t="s">
        <v>2836</v>
      </c>
      <c r="D2227" t="s">
        <v>76</v>
      </c>
      <c r="E2227" s="2">
        <v>41038</v>
      </c>
      <c r="F2227" t="str">
        <f>"9781136251795"</f>
        <v>9781136251795</v>
      </c>
      <c r="G2227" t="str">
        <f>"9780415622868"</f>
        <v>9780415622868</v>
      </c>
      <c r="H2227" t="s">
        <v>1396</v>
      </c>
      <c r="I2227">
        <v>909.09749269999998</v>
      </c>
      <c r="J2227" t="s">
        <v>2837</v>
      </c>
      <c r="K2227" t="s">
        <v>44</v>
      </c>
      <c r="N2227" t="s">
        <v>45</v>
      </c>
      <c r="O2227" t="s">
        <v>46</v>
      </c>
      <c r="P2227" t="s">
        <v>45</v>
      </c>
      <c r="Q2227" t="s">
        <v>47</v>
      </c>
      <c r="R2227" t="s">
        <v>44</v>
      </c>
      <c r="S2227">
        <v>0</v>
      </c>
      <c r="W2227" s="3">
        <v>1.8634259259259261E-3</v>
      </c>
      <c r="X2227" t="s">
        <v>4753</v>
      </c>
      <c r="Y2227">
        <v>5</v>
      </c>
      <c r="Z2227">
        <v>0</v>
      </c>
      <c r="AA2227" t="s">
        <v>49</v>
      </c>
      <c r="AB2227">
        <v>0</v>
      </c>
      <c r="AC2227" t="s">
        <v>49</v>
      </c>
      <c r="AD2227">
        <v>0</v>
      </c>
      <c r="AE2227">
        <v>10596326</v>
      </c>
      <c r="AF2227" t="s">
        <v>50</v>
      </c>
      <c r="AG2227" t="s">
        <v>505</v>
      </c>
    </row>
    <row r="2228" spans="1:33" x14ac:dyDescent="0.35">
      <c r="A2228" s="1">
        <v>44838.427777777775</v>
      </c>
      <c r="B2228">
        <v>1016094</v>
      </c>
      <c r="C2228" t="s">
        <v>2836</v>
      </c>
      <c r="D2228" t="s">
        <v>76</v>
      </c>
      <c r="E2228" s="2">
        <v>41038</v>
      </c>
      <c r="F2228" t="str">
        <f>"9781136251795"</f>
        <v>9781136251795</v>
      </c>
      <c r="G2228" t="str">
        <f>"9780415622868"</f>
        <v>9780415622868</v>
      </c>
      <c r="H2228" t="s">
        <v>1396</v>
      </c>
      <c r="I2228">
        <v>909.09749269999998</v>
      </c>
      <c r="J2228" t="s">
        <v>2837</v>
      </c>
      <c r="K2228" t="s">
        <v>44</v>
      </c>
      <c r="N2228" t="s">
        <v>45</v>
      </c>
      <c r="O2228" t="s">
        <v>46</v>
      </c>
      <c r="P2228" t="s">
        <v>45</v>
      </c>
      <c r="Q2228" t="s">
        <v>47</v>
      </c>
      <c r="R2228" t="s">
        <v>44</v>
      </c>
      <c r="S2228">
        <v>0</v>
      </c>
      <c r="W2228" s="3">
        <v>5.4398148148148144E-4</v>
      </c>
      <c r="X2228" t="s">
        <v>4754</v>
      </c>
      <c r="Y2228">
        <v>5</v>
      </c>
      <c r="Z2228">
        <v>0</v>
      </c>
      <c r="AA2228" t="s">
        <v>49</v>
      </c>
      <c r="AB2228">
        <v>0</v>
      </c>
      <c r="AC2228" t="s">
        <v>49</v>
      </c>
      <c r="AD2228">
        <v>0</v>
      </c>
      <c r="AE2228">
        <v>10596326</v>
      </c>
      <c r="AF2228" t="s">
        <v>50</v>
      </c>
      <c r="AG2228" t="s">
        <v>505</v>
      </c>
    </row>
    <row r="2229" spans="1:33" x14ac:dyDescent="0.35">
      <c r="A2229" s="1">
        <v>44838.397916666669</v>
      </c>
      <c r="B2229">
        <v>6785033</v>
      </c>
      <c r="C2229" t="s">
        <v>2918</v>
      </c>
      <c r="D2229" t="s">
        <v>2919</v>
      </c>
      <c r="E2229" s="2">
        <v>44684</v>
      </c>
      <c r="F2229" t="str">
        <f>"9781847741745"</f>
        <v>9781847741745</v>
      </c>
      <c r="G2229" t="str">
        <f>""</f>
        <v/>
      </c>
      <c r="H2229" t="s">
        <v>1396</v>
      </c>
      <c r="I2229">
        <v>909.09767099999999</v>
      </c>
      <c r="J2229" t="s">
        <v>2920</v>
      </c>
      <c r="K2229" t="s">
        <v>55</v>
      </c>
      <c r="Q2229" t="s">
        <v>47</v>
      </c>
      <c r="R2229" t="s">
        <v>44</v>
      </c>
      <c r="S2229">
        <v>0</v>
      </c>
      <c r="W2229" s="3">
        <v>3.6805555555555554E-3</v>
      </c>
      <c r="X2229" t="s">
        <v>4755</v>
      </c>
      <c r="Y2229">
        <v>22</v>
      </c>
      <c r="Z2229">
        <v>0</v>
      </c>
      <c r="AA2229" t="s">
        <v>49</v>
      </c>
      <c r="AB2229">
        <v>0</v>
      </c>
      <c r="AC2229" t="s">
        <v>49</v>
      </c>
      <c r="AD2229">
        <v>0</v>
      </c>
      <c r="AE2229">
        <v>-1</v>
      </c>
      <c r="AF2229" t="s">
        <v>50</v>
      </c>
      <c r="AG2229" t="s">
        <v>505</v>
      </c>
    </row>
    <row r="2230" spans="1:33" x14ac:dyDescent="0.35">
      <c r="A2230" s="1">
        <v>44837.95</v>
      </c>
      <c r="B2230">
        <v>665565</v>
      </c>
      <c r="C2230" t="s">
        <v>2309</v>
      </c>
      <c r="D2230" t="s">
        <v>2125</v>
      </c>
      <c r="E2230" s="2">
        <v>40483</v>
      </c>
      <c r="F2230" t="str">
        <f>"9781439828151"</f>
        <v>9781439828151</v>
      </c>
      <c r="G2230" t="str">
        <f>"9781439828144"</f>
        <v>9781439828144</v>
      </c>
      <c r="H2230" t="s">
        <v>60</v>
      </c>
      <c r="I2230">
        <v>658.7</v>
      </c>
      <c r="J2230" t="s">
        <v>2310</v>
      </c>
      <c r="K2230" t="s">
        <v>44</v>
      </c>
      <c r="N2230" t="s">
        <v>45</v>
      </c>
      <c r="O2230" t="s">
        <v>46</v>
      </c>
      <c r="P2230" t="s">
        <v>45</v>
      </c>
      <c r="Q2230" t="s">
        <v>47</v>
      </c>
      <c r="R2230" t="s">
        <v>44</v>
      </c>
      <c r="S2230">
        <v>0</v>
      </c>
      <c r="W2230" s="3">
        <v>4.6296296296296294E-5</v>
      </c>
      <c r="X2230" t="s">
        <v>121</v>
      </c>
      <c r="Y2230">
        <v>1</v>
      </c>
      <c r="Z2230">
        <v>0</v>
      </c>
      <c r="AA2230" t="s">
        <v>49</v>
      </c>
      <c r="AB2230">
        <v>0</v>
      </c>
      <c r="AC2230" t="s">
        <v>49</v>
      </c>
      <c r="AD2230">
        <v>0</v>
      </c>
      <c r="AE2230">
        <v>10449865</v>
      </c>
      <c r="AF2230" t="s">
        <v>50</v>
      </c>
      <c r="AG2230" t="s">
        <v>118</v>
      </c>
    </row>
    <row r="2231" spans="1:33" x14ac:dyDescent="0.35">
      <c r="A2231" s="1">
        <v>44837.916666666664</v>
      </c>
      <c r="B2231">
        <v>6684438</v>
      </c>
      <c r="C2231" t="s">
        <v>4732</v>
      </c>
      <c r="D2231" t="s">
        <v>65</v>
      </c>
      <c r="E2231" s="2">
        <v>44406</v>
      </c>
      <c r="F2231" t="str">
        <f>"9780323901512"</f>
        <v>9780323901512</v>
      </c>
      <c r="G2231" t="str">
        <f>"9780323901505"</f>
        <v>9780323901505</v>
      </c>
      <c r="H2231" t="s">
        <v>116</v>
      </c>
      <c r="I2231">
        <v>662.6</v>
      </c>
      <c r="J2231" t="s">
        <v>4733</v>
      </c>
      <c r="K2231" t="s">
        <v>55</v>
      </c>
      <c r="Q2231" t="s">
        <v>47</v>
      </c>
      <c r="R2231" t="s">
        <v>44</v>
      </c>
      <c r="S2231">
        <v>0</v>
      </c>
      <c r="W2231" s="3">
        <v>3.4490740740740745E-3</v>
      </c>
      <c r="X2231" t="s">
        <v>4756</v>
      </c>
      <c r="Y2231">
        <v>12</v>
      </c>
      <c r="Z2231">
        <v>0</v>
      </c>
      <c r="AA2231" t="s">
        <v>49</v>
      </c>
      <c r="AB2231">
        <v>0</v>
      </c>
      <c r="AC2231" t="s">
        <v>49</v>
      </c>
      <c r="AD2231">
        <v>0</v>
      </c>
      <c r="AE2231">
        <v>-1</v>
      </c>
      <c r="AF2231" t="s">
        <v>50</v>
      </c>
      <c r="AG2231" t="s">
        <v>118</v>
      </c>
    </row>
    <row r="2232" spans="1:33" x14ac:dyDescent="0.35">
      <c r="A2232" s="1">
        <v>44837.875</v>
      </c>
      <c r="B2232">
        <v>1144296</v>
      </c>
      <c r="C2232" t="s">
        <v>1612</v>
      </c>
      <c r="D2232" t="s">
        <v>1613</v>
      </c>
      <c r="E2232" s="2">
        <v>41262</v>
      </c>
      <c r="F2232" t="str">
        <f>"9780810870864"</f>
        <v>9780810870864</v>
      </c>
      <c r="G2232" t="str">
        <f>"9780810868588"</f>
        <v>9780810868588</v>
      </c>
      <c r="H2232" t="s">
        <v>1046</v>
      </c>
      <c r="I2232">
        <v>305.40956030000001</v>
      </c>
      <c r="J2232" t="s">
        <v>1614</v>
      </c>
      <c r="K2232" t="s">
        <v>44</v>
      </c>
      <c r="N2232" t="s">
        <v>45</v>
      </c>
      <c r="O2232" t="s">
        <v>46</v>
      </c>
      <c r="P2232" t="s">
        <v>45</v>
      </c>
      <c r="Q2232" t="s">
        <v>47</v>
      </c>
      <c r="R2232" t="s">
        <v>44</v>
      </c>
      <c r="S2232">
        <v>0</v>
      </c>
      <c r="W2232" s="3">
        <v>1.6435185185185183E-3</v>
      </c>
      <c r="X2232" t="s">
        <v>4757</v>
      </c>
      <c r="Y2232">
        <v>23</v>
      </c>
      <c r="Z2232">
        <v>0</v>
      </c>
      <c r="AA2232" t="s">
        <v>49</v>
      </c>
      <c r="AB2232">
        <v>0</v>
      </c>
      <c r="AC2232" t="s">
        <v>49</v>
      </c>
      <c r="AD2232">
        <v>0</v>
      </c>
      <c r="AE2232">
        <v>10670401</v>
      </c>
      <c r="AF2232" t="s">
        <v>50</v>
      </c>
      <c r="AG2232" t="s">
        <v>118</v>
      </c>
    </row>
    <row r="2233" spans="1:33" x14ac:dyDescent="0.35">
      <c r="A2233" s="1">
        <v>44837.729861111111</v>
      </c>
      <c r="B2233">
        <v>3018065</v>
      </c>
      <c r="C2233" t="s">
        <v>4758</v>
      </c>
      <c r="D2233" t="s">
        <v>137</v>
      </c>
      <c r="E2233" s="2">
        <v>40452</v>
      </c>
      <c r="F2233" t="str">
        <f>"9781617611698"</f>
        <v>9781617611698</v>
      </c>
      <c r="G2233" t="str">
        <f>"9781617289347"</f>
        <v>9781617289347</v>
      </c>
      <c r="H2233" t="s">
        <v>244</v>
      </c>
      <c r="I2233" t="s">
        <v>4759</v>
      </c>
      <c r="J2233" t="s">
        <v>4760</v>
      </c>
      <c r="K2233" t="s">
        <v>44</v>
      </c>
      <c r="N2233" t="s">
        <v>45</v>
      </c>
      <c r="O2233" t="s">
        <v>46</v>
      </c>
      <c r="P2233" t="s">
        <v>177</v>
      </c>
      <c r="Q2233" t="s">
        <v>47</v>
      </c>
      <c r="R2233" t="s">
        <v>55</v>
      </c>
      <c r="S2233">
        <v>0</v>
      </c>
      <c r="W2233" s="3">
        <v>5.4398148148148144E-4</v>
      </c>
      <c r="X2233" t="s">
        <v>4761</v>
      </c>
      <c r="Y2233">
        <v>5</v>
      </c>
      <c r="Z2233">
        <v>0</v>
      </c>
      <c r="AA2233" t="s">
        <v>49</v>
      </c>
      <c r="AB2233">
        <v>0</v>
      </c>
      <c r="AC2233" t="s">
        <v>49</v>
      </c>
      <c r="AD2233">
        <v>0</v>
      </c>
      <c r="AE2233">
        <v>10658987</v>
      </c>
      <c r="AF2233" t="s">
        <v>50</v>
      </c>
      <c r="AG2233" t="s">
        <v>1536</v>
      </c>
    </row>
    <row r="2234" spans="1:33" x14ac:dyDescent="0.35">
      <c r="A2234" s="1">
        <v>44837.709722222222</v>
      </c>
      <c r="B2234">
        <v>3018958</v>
      </c>
      <c r="C2234" t="s">
        <v>4762</v>
      </c>
      <c r="D2234" t="s">
        <v>137</v>
      </c>
      <c r="E2234" s="2">
        <v>40422</v>
      </c>
      <c r="F2234" t="str">
        <f>"9781612091013"</f>
        <v>9781612091013</v>
      </c>
      <c r="G2234" t="str">
        <f>"9781616686192"</f>
        <v>9781616686192</v>
      </c>
      <c r="H2234" t="s">
        <v>244</v>
      </c>
      <c r="I2234" t="s">
        <v>4759</v>
      </c>
      <c r="J2234" t="s">
        <v>4763</v>
      </c>
      <c r="K2234" t="s">
        <v>44</v>
      </c>
      <c r="N2234" t="s">
        <v>45</v>
      </c>
      <c r="O2234" t="s">
        <v>46</v>
      </c>
      <c r="P2234" t="s">
        <v>177</v>
      </c>
      <c r="Q2234" t="s">
        <v>47</v>
      </c>
      <c r="R2234" t="s">
        <v>55</v>
      </c>
      <c r="S2234">
        <v>0</v>
      </c>
      <c r="W2234" s="3">
        <v>1.1435185185185185E-2</v>
      </c>
      <c r="X2234" t="s">
        <v>417</v>
      </c>
      <c r="Y2234">
        <v>11</v>
      </c>
      <c r="Z2234">
        <v>0</v>
      </c>
      <c r="AA2234" t="s">
        <v>49</v>
      </c>
      <c r="AB2234">
        <v>0</v>
      </c>
      <c r="AC2234" t="s">
        <v>49</v>
      </c>
      <c r="AD2234">
        <v>0</v>
      </c>
      <c r="AE2234">
        <v>10662764</v>
      </c>
      <c r="AF2234" t="s">
        <v>50</v>
      </c>
      <c r="AG2234" t="s">
        <v>1536</v>
      </c>
    </row>
    <row r="2235" spans="1:33" x14ac:dyDescent="0.35">
      <c r="A2235" s="1">
        <v>44837.691666666666</v>
      </c>
      <c r="B2235">
        <v>1791963</v>
      </c>
      <c r="C2235" t="s">
        <v>4681</v>
      </c>
      <c r="D2235" t="s">
        <v>59</v>
      </c>
      <c r="E2235" s="2">
        <v>41932</v>
      </c>
      <c r="F2235" t="str">
        <f>"9781118899496"</f>
        <v>9781118899496</v>
      </c>
      <c r="G2235" t="str">
        <f>"9781118104811"</f>
        <v>9781118104811</v>
      </c>
      <c r="H2235" t="s">
        <v>116</v>
      </c>
      <c r="I2235">
        <v>668.4</v>
      </c>
      <c r="J2235" t="s">
        <v>4682</v>
      </c>
      <c r="K2235" t="s">
        <v>44</v>
      </c>
      <c r="N2235" t="s">
        <v>45</v>
      </c>
      <c r="O2235" t="s">
        <v>46</v>
      </c>
      <c r="P2235" t="s">
        <v>45</v>
      </c>
      <c r="Q2235" t="s">
        <v>47</v>
      </c>
      <c r="R2235" t="s">
        <v>44</v>
      </c>
      <c r="S2235">
        <v>0</v>
      </c>
      <c r="W2235" s="3">
        <v>4.3055555555555555E-3</v>
      </c>
      <c r="X2235" t="s">
        <v>4764</v>
      </c>
      <c r="Y2235">
        <v>22</v>
      </c>
      <c r="Z2235">
        <v>0</v>
      </c>
      <c r="AA2235" t="s">
        <v>49</v>
      </c>
      <c r="AB2235">
        <v>0</v>
      </c>
      <c r="AC2235" t="s">
        <v>49</v>
      </c>
      <c r="AD2235">
        <v>0</v>
      </c>
      <c r="AE2235">
        <v>10937143</v>
      </c>
      <c r="AF2235" t="s">
        <v>50</v>
      </c>
      <c r="AG2235" t="s">
        <v>2972</v>
      </c>
    </row>
    <row r="2236" spans="1:33" x14ac:dyDescent="0.35">
      <c r="A2236" s="1">
        <v>44837.598611111112</v>
      </c>
      <c r="B2236">
        <v>6644191</v>
      </c>
      <c r="C2236" t="s">
        <v>4765</v>
      </c>
      <c r="D2236" t="s">
        <v>213</v>
      </c>
      <c r="E2236" s="2">
        <v>44372</v>
      </c>
      <c r="F2236" t="str">
        <f>"9780128205310"</f>
        <v>9780128205310</v>
      </c>
      <c r="G2236" t="str">
        <f>"9780128205303"</f>
        <v>9780128205303</v>
      </c>
      <c r="H2236" t="s">
        <v>4766</v>
      </c>
      <c r="I2236">
        <v>536.70000000000005</v>
      </c>
      <c r="J2236" t="s">
        <v>4767</v>
      </c>
      <c r="K2236" t="s">
        <v>55</v>
      </c>
      <c r="Q2236" t="s">
        <v>47</v>
      </c>
      <c r="R2236" t="s">
        <v>44</v>
      </c>
      <c r="S2236">
        <v>0</v>
      </c>
      <c r="W2236" s="3">
        <v>1.273148148148148E-4</v>
      </c>
      <c r="X2236" t="s">
        <v>4768</v>
      </c>
      <c r="Y2236">
        <v>1</v>
      </c>
      <c r="Z2236">
        <v>0</v>
      </c>
      <c r="AA2236" t="s">
        <v>49</v>
      </c>
      <c r="AB2236">
        <v>0</v>
      </c>
      <c r="AC2236" t="s">
        <v>49</v>
      </c>
      <c r="AD2236">
        <v>0</v>
      </c>
      <c r="AE2236">
        <v>-1</v>
      </c>
      <c r="AF2236" t="s">
        <v>50</v>
      </c>
      <c r="AG2236" t="s">
        <v>1536</v>
      </c>
    </row>
    <row r="2237" spans="1:33" x14ac:dyDescent="0.35">
      <c r="A2237" s="1">
        <v>44837.568055555559</v>
      </c>
      <c r="B2237">
        <v>4183127</v>
      </c>
      <c r="C2237" t="s">
        <v>190</v>
      </c>
      <c r="D2237" t="s">
        <v>59</v>
      </c>
      <c r="E2237" s="2">
        <v>42310</v>
      </c>
      <c r="F2237" t="str">
        <f>"9783527684649"</f>
        <v>9783527684649</v>
      </c>
      <c r="G2237" t="str">
        <f>"9783527331659"</f>
        <v>9783527331659</v>
      </c>
      <c r="H2237" t="s">
        <v>191</v>
      </c>
      <c r="I2237" t="s">
        <v>192</v>
      </c>
      <c r="J2237" t="s">
        <v>193</v>
      </c>
      <c r="K2237" t="s">
        <v>44</v>
      </c>
      <c r="N2237" t="s">
        <v>45</v>
      </c>
      <c r="O2237" t="s">
        <v>46</v>
      </c>
      <c r="P2237" t="s">
        <v>45</v>
      </c>
      <c r="Q2237" t="s">
        <v>47</v>
      </c>
      <c r="R2237" t="s">
        <v>44</v>
      </c>
      <c r="S2237">
        <v>0</v>
      </c>
      <c r="W2237" s="3">
        <v>1.3541666666666667E-3</v>
      </c>
      <c r="X2237" t="s">
        <v>4769</v>
      </c>
      <c r="Y2237">
        <v>8</v>
      </c>
      <c r="Z2237">
        <v>0</v>
      </c>
      <c r="AA2237" t="s">
        <v>49</v>
      </c>
      <c r="AB2237">
        <v>0</v>
      </c>
      <c r="AC2237" t="s">
        <v>49</v>
      </c>
      <c r="AD2237">
        <v>0</v>
      </c>
      <c r="AE2237">
        <v>11125579</v>
      </c>
      <c r="AF2237" t="s">
        <v>50</v>
      </c>
      <c r="AG2237" t="s">
        <v>1536</v>
      </c>
    </row>
    <row r="2238" spans="1:33" x14ac:dyDescent="0.35">
      <c r="A2238" s="1">
        <v>44837.537499999999</v>
      </c>
      <c r="B2238">
        <v>6229908</v>
      </c>
      <c r="C2238" t="s">
        <v>3704</v>
      </c>
      <c r="D2238" t="s">
        <v>65</v>
      </c>
      <c r="E2238" s="2">
        <v>43998</v>
      </c>
      <c r="F2238" t="str">
        <f>"9780081026465"</f>
        <v>9780081026465</v>
      </c>
      <c r="G2238" t="str">
        <f>"9780081026298"</f>
        <v>9780081026298</v>
      </c>
      <c r="H2238" t="s">
        <v>116</v>
      </c>
      <c r="I2238">
        <v>662.88</v>
      </c>
      <c r="J2238" t="s">
        <v>3705</v>
      </c>
      <c r="K2238" t="s">
        <v>55</v>
      </c>
      <c r="Q2238" t="s">
        <v>47</v>
      </c>
      <c r="R2238" t="s">
        <v>44</v>
      </c>
      <c r="S2238">
        <v>0</v>
      </c>
      <c r="W2238" s="3">
        <v>2.9282407407407412E-3</v>
      </c>
      <c r="X2238" t="s">
        <v>4770</v>
      </c>
      <c r="Y2238">
        <v>15</v>
      </c>
      <c r="Z2238">
        <v>0</v>
      </c>
      <c r="AA2238" t="s">
        <v>49</v>
      </c>
      <c r="AB2238">
        <v>0</v>
      </c>
      <c r="AC2238" t="s">
        <v>49</v>
      </c>
      <c r="AD2238">
        <v>0</v>
      </c>
      <c r="AE2238">
        <v>-1</v>
      </c>
      <c r="AF2238" t="s">
        <v>50</v>
      </c>
      <c r="AG2238" t="s">
        <v>2128</v>
      </c>
    </row>
    <row r="2239" spans="1:33" x14ac:dyDescent="0.35">
      <c r="A2239" s="1">
        <v>44837.526388888888</v>
      </c>
      <c r="B2239">
        <v>6196033</v>
      </c>
      <c r="C2239" t="s">
        <v>4771</v>
      </c>
      <c r="D2239" t="s">
        <v>4772</v>
      </c>
      <c r="E2239" s="2">
        <v>43644</v>
      </c>
      <c r="F2239" t="str">
        <f>"9781510452763"</f>
        <v>9781510452763</v>
      </c>
      <c r="G2239" t="str">
        <f>"9781510452701"</f>
        <v>9781510452701</v>
      </c>
      <c r="H2239" t="s">
        <v>60</v>
      </c>
      <c r="I2239">
        <v>658</v>
      </c>
      <c r="J2239" t="s">
        <v>4773</v>
      </c>
      <c r="K2239" t="s">
        <v>55</v>
      </c>
      <c r="Q2239" t="s">
        <v>47</v>
      </c>
      <c r="R2239" t="s">
        <v>44</v>
      </c>
      <c r="S2239">
        <v>0</v>
      </c>
      <c r="W2239" s="3">
        <v>7.8703703703703705E-4</v>
      </c>
      <c r="X2239" t="s">
        <v>2033</v>
      </c>
      <c r="Y2239">
        <v>4</v>
      </c>
      <c r="Z2239">
        <v>0</v>
      </c>
      <c r="AA2239" t="s">
        <v>49</v>
      </c>
      <c r="AB2239">
        <v>0</v>
      </c>
      <c r="AC2239" t="s">
        <v>49</v>
      </c>
      <c r="AD2239">
        <v>0</v>
      </c>
      <c r="AE2239">
        <v>-1</v>
      </c>
      <c r="AF2239" t="s">
        <v>50</v>
      </c>
      <c r="AG2239" t="s">
        <v>4485</v>
      </c>
    </row>
    <row r="2240" spans="1:33" x14ac:dyDescent="0.35">
      <c r="A2240" s="1">
        <v>44837.523611111108</v>
      </c>
      <c r="B2240">
        <v>5829217</v>
      </c>
      <c r="C2240" t="s">
        <v>626</v>
      </c>
      <c r="D2240" t="s">
        <v>627</v>
      </c>
      <c r="E2240" s="2">
        <v>43259</v>
      </c>
      <c r="F2240" t="str">
        <f>"9781496395139"</f>
        <v>9781496395139</v>
      </c>
      <c r="G2240" t="str">
        <f>"9781496335418"</f>
        <v>9781496335418</v>
      </c>
      <c r="H2240" t="s">
        <v>77</v>
      </c>
      <c r="I2240" t="s">
        <v>628</v>
      </c>
      <c r="J2240" t="s">
        <v>629</v>
      </c>
      <c r="K2240" t="s">
        <v>44</v>
      </c>
      <c r="N2240" t="s">
        <v>45</v>
      </c>
      <c r="O2240" t="s">
        <v>46</v>
      </c>
      <c r="P2240" t="s">
        <v>45</v>
      </c>
      <c r="Q2240" t="s">
        <v>47</v>
      </c>
      <c r="R2240" t="s">
        <v>44</v>
      </c>
      <c r="S2240">
        <v>0</v>
      </c>
      <c r="W2240" s="3">
        <v>3.8194444444444446E-4</v>
      </c>
      <c r="X2240" t="s">
        <v>4774</v>
      </c>
      <c r="Y2240">
        <v>5</v>
      </c>
      <c r="Z2240">
        <v>0</v>
      </c>
      <c r="AA2240" t="s">
        <v>49</v>
      </c>
      <c r="AB2240">
        <v>0</v>
      </c>
      <c r="AC2240" t="s">
        <v>49</v>
      </c>
      <c r="AD2240">
        <v>0</v>
      </c>
      <c r="AE2240">
        <v>-1</v>
      </c>
      <c r="AF2240" t="s">
        <v>50</v>
      </c>
      <c r="AG2240" t="s">
        <v>630</v>
      </c>
    </row>
    <row r="2241" spans="1:33" x14ac:dyDescent="0.35">
      <c r="A2241" s="1">
        <v>44837.495833333334</v>
      </c>
      <c r="B2241">
        <v>1895341</v>
      </c>
      <c r="C2241" t="s">
        <v>4704</v>
      </c>
      <c r="D2241" t="s">
        <v>59</v>
      </c>
      <c r="E2241" s="2">
        <v>42121</v>
      </c>
      <c r="F2241" t="str">
        <f>"9781119059998"</f>
        <v>9781119059998</v>
      </c>
      <c r="G2241" t="str">
        <f>"9781119059721"</f>
        <v>9781119059721</v>
      </c>
      <c r="H2241" t="s">
        <v>60</v>
      </c>
      <c r="I2241" t="s">
        <v>4705</v>
      </c>
      <c r="J2241" t="s">
        <v>4706</v>
      </c>
      <c r="K2241" t="s">
        <v>44</v>
      </c>
      <c r="N2241" t="s">
        <v>45</v>
      </c>
      <c r="O2241" t="s">
        <v>46</v>
      </c>
      <c r="P2241" t="s">
        <v>45</v>
      </c>
      <c r="Q2241" t="s">
        <v>47</v>
      </c>
      <c r="R2241" t="s">
        <v>44</v>
      </c>
      <c r="S2241">
        <v>0</v>
      </c>
      <c r="W2241" s="3">
        <v>4.6296296296296294E-5</v>
      </c>
      <c r="X2241" t="s">
        <v>121</v>
      </c>
      <c r="Y2241">
        <v>1</v>
      </c>
      <c r="Z2241">
        <v>0</v>
      </c>
      <c r="AA2241" t="s">
        <v>49</v>
      </c>
      <c r="AB2241">
        <v>0</v>
      </c>
      <c r="AC2241" t="s">
        <v>49</v>
      </c>
      <c r="AD2241">
        <v>0</v>
      </c>
      <c r="AE2241">
        <v>11052385</v>
      </c>
      <c r="AF2241" t="s">
        <v>50</v>
      </c>
      <c r="AG2241" t="s">
        <v>866</v>
      </c>
    </row>
    <row r="2242" spans="1:33" x14ac:dyDescent="0.35">
      <c r="A2242" s="1">
        <v>44837.48541666667</v>
      </c>
      <c r="B2242">
        <v>3564030</v>
      </c>
      <c r="C2242" t="s">
        <v>4153</v>
      </c>
      <c r="D2242" t="s">
        <v>175</v>
      </c>
      <c r="E2242" s="2">
        <v>38058</v>
      </c>
      <c r="F2242" t="str">
        <f>"9780309527200"</f>
        <v>9780309527200</v>
      </c>
      <c r="G2242" t="str">
        <f>"9780309090636"</f>
        <v>9780309090636</v>
      </c>
      <c r="H2242" t="s">
        <v>4154</v>
      </c>
      <c r="I2242" t="s">
        <v>4155</v>
      </c>
      <c r="J2242" t="s">
        <v>4156</v>
      </c>
      <c r="K2242" t="s">
        <v>44</v>
      </c>
      <c r="N2242" t="s">
        <v>45</v>
      </c>
      <c r="O2242" t="s">
        <v>46</v>
      </c>
      <c r="P2242" t="s">
        <v>177</v>
      </c>
      <c r="Q2242" t="s">
        <v>47</v>
      </c>
      <c r="R2242" t="s">
        <v>55</v>
      </c>
      <c r="S2242">
        <v>0</v>
      </c>
      <c r="W2242" s="3">
        <v>5.7870370370370366E-5</v>
      </c>
      <c r="X2242" t="s">
        <v>121</v>
      </c>
      <c r="Y2242">
        <v>1</v>
      </c>
      <c r="Z2242">
        <v>0</v>
      </c>
      <c r="AA2242" t="s">
        <v>49</v>
      </c>
      <c r="AB2242">
        <v>0</v>
      </c>
      <c r="AC2242" t="s">
        <v>49</v>
      </c>
      <c r="AD2242">
        <v>0</v>
      </c>
      <c r="AE2242">
        <v>10051648</v>
      </c>
      <c r="AF2242" t="s">
        <v>50</v>
      </c>
      <c r="AG2242" t="s">
        <v>118</v>
      </c>
    </row>
    <row r="2243" spans="1:33" x14ac:dyDescent="0.35">
      <c r="A2243" s="1">
        <v>44837.468055555553</v>
      </c>
      <c r="B2243">
        <v>1903770</v>
      </c>
      <c r="C2243" t="s">
        <v>4775</v>
      </c>
      <c r="D2243" t="s">
        <v>65</v>
      </c>
      <c r="E2243" s="2">
        <v>41927</v>
      </c>
      <c r="F2243" t="str">
        <f>"9781782420965"</f>
        <v>9781782420965</v>
      </c>
      <c r="G2243" t="str">
        <f>"9781782420880"</f>
        <v>9781782420880</v>
      </c>
      <c r="H2243" t="s">
        <v>857</v>
      </c>
      <c r="I2243">
        <v>621.40279999999996</v>
      </c>
      <c r="J2243" t="s">
        <v>4776</v>
      </c>
      <c r="K2243" t="s">
        <v>44</v>
      </c>
      <c r="N2243" t="s">
        <v>45</v>
      </c>
      <c r="O2243" t="s">
        <v>46</v>
      </c>
      <c r="P2243" t="s">
        <v>45</v>
      </c>
      <c r="Q2243" t="s">
        <v>47</v>
      </c>
      <c r="R2243" t="s">
        <v>44</v>
      </c>
      <c r="S2243">
        <v>1</v>
      </c>
      <c r="W2243" s="3">
        <v>6.6666666666666671E-3</v>
      </c>
      <c r="X2243" t="s">
        <v>4777</v>
      </c>
      <c r="Y2243">
        <v>11</v>
      </c>
      <c r="Z2243">
        <v>0</v>
      </c>
      <c r="AA2243" t="s">
        <v>49</v>
      </c>
      <c r="AB2243">
        <v>0</v>
      </c>
      <c r="AC2243" t="s">
        <v>49</v>
      </c>
      <c r="AD2243">
        <v>0</v>
      </c>
      <c r="AE2243">
        <v>10985369</v>
      </c>
      <c r="AF2243" t="s">
        <v>63</v>
      </c>
      <c r="AG2243" t="s">
        <v>1355</v>
      </c>
    </row>
    <row r="2244" spans="1:33" x14ac:dyDescent="0.35">
      <c r="A2244" s="1">
        <v>44837.463194444441</v>
      </c>
      <c r="B2244">
        <v>1903770</v>
      </c>
      <c r="C2244" t="s">
        <v>4775</v>
      </c>
      <c r="D2244" t="s">
        <v>65</v>
      </c>
      <c r="E2244" s="2">
        <v>41927</v>
      </c>
      <c r="F2244" t="str">
        <f>"9781782420965"</f>
        <v>9781782420965</v>
      </c>
      <c r="G2244" t="str">
        <f>"9781782420880"</f>
        <v>9781782420880</v>
      </c>
      <c r="H2244" t="s">
        <v>857</v>
      </c>
      <c r="I2244">
        <v>621.40279999999996</v>
      </c>
      <c r="J2244" t="s">
        <v>4776</v>
      </c>
      <c r="K2244" t="s">
        <v>44</v>
      </c>
      <c r="N2244" t="s">
        <v>45</v>
      </c>
      <c r="O2244" t="s">
        <v>46</v>
      </c>
      <c r="P2244" t="s">
        <v>45</v>
      </c>
      <c r="Q2244" t="s">
        <v>47</v>
      </c>
      <c r="R2244" t="s">
        <v>44</v>
      </c>
      <c r="S2244">
        <v>0</v>
      </c>
      <c r="W2244" s="3">
        <v>4.3518518518518515E-3</v>
      </c>
      <c r="X2244" t="s">
        <v>4778</v>
      </c>
      <c r="Y2244">
        <v>10</v>
      </c>
      <c r="Z2244">
        <v>0</v>
      </c>
      <c r="AA2244" t="s">
        <v>49</v>
      </c>
      <c r="AB2244">
        <v>0</v>
      </c>
      <c r="AC2244" t="s">
        <v>49</v>
      </c>
      <c r="AD2244">
        <v>0</v>
      </c>
      <c r="AE2244">
        <v>10985369</v>
      </c>
      <c r="AF2244" t="s">
        <v>63</v>
      </c>
      <c r="AG2244" t="s">
        <v>1355</v>
      </c>
    </row>
    <row r="2245" spans="1:33" x14ac:dyDescent="0.35">
      <c r="A2245" s="1">
        <v>44837.42083333333</v>
      </c>
      <c r="B2245">
        <v>6409621</v>
      </c>
      <c r="C2245" t="s">
        <v>4779</v>
      </c>
      <c r="D2245" t="s">
        <v>76</v>
      </c>
      <c r="E2245" s="2">
        <v>44195</v>
      </c>
      <c r="F2245" t="str">
        <f>"9781000300611"</f>
        <v>9781000300611</v>
      </c>
      <c r="G2245" t="str">
        <f>"9780367258399"</f>
        <v>9780367258399</v>
      </c>
      <c r="H2245" t="s">
        <v>171</v>
      </c>
      <c r="I2245">
        <v>428.10759999999999</v>
      </c>
      <c r="J2245" t="s">
        <v>4780</v>
      </c>
      <c r="K2245" t="s">
        <v>55</v>
      </c>
      <c r="Q2245" t="s">
        <v>47</v>
      </c>
      <c r="R2245" t="s">
        <v>44</v>
      </c>
      <c r="S2245">
        <v>0</v>
      </c>
      <c r="W2245" s="3">
        <v>1.1805555555555556E-3</v>
      </c>
      <c r="X2245" t="s">
        <v>4781</v>
      </c>
      <c r="Y2245">
        <v>15</v>
      </c>
      <c r="Z2245">
        <v>0</v>
      </c>
      <c r="AA2245" t="s">
        <v>49</v>
      </c>
      <c r="AB2245">
        <v>0</v>
      </c>
      <c r="AC2245" t="s">
        <v>49</v>
      </c>
      <c r="AD2245">
        <v>0</v>
      </c>
      <c r="AE2245">
        <v>-1</v>
      </c>
      <c r="AF2245" t="s">
        <v>63</v>
      </c>
      <c r="AG2245" t="s">
        <v>4782</v>
      </c>
    </row>
    <row r="2246" spans="1:33" x14ac:dyDescent="0.35">
      <c r="A2246" s="1">
        <v>44837.384722222225</v>
      </c>
      <c r="B2246">
        <v>6684438</v>
      </c>
      <c r="C2246" t="s">
        <v>4732</v>
      </c>
      <c r="D2246" t="s">
        <v>65</v>
      </c>
      <c r="E2246" s="2">
        <v>44406</v>
      </c>
      <c r="F2246" t="str">
        <f>"9780323901512"</f>
        <v>9780323901512</v>
      </c>
      <c r="G2246" t="str">
        <f>"9780323901505"</f>
        <v>9780323901505</v>
      </c>
      <c r="H2246" t="s">
        <v>116</v>
      </c>
      <c r="I2246">
        <v>662.6</v>
      </c>
      <c r="J2246" t="s">
        <v>4733</v>
      </c>
      <c r="K2246" t="s">
        <v>55</v>
      </c>
      <c r="Q2246" t="s">
        <v>47</v>
      </c>
      <c r="R2246" t="s">
        <v>44</v>
      </c>
      <c r="S2246">
        <v>0</v>
      </c>
      <c r="W2246" s="3">
        <v>1.712962962962963E-3</v>
      </c>
      <c r="X2246" t="s">
        <v>4783</v>
      </c>
      <c r="Y2246">
        <v>30</v>
      </c>
      <c r="Z2246">
        <v>0</v>
      </c>
      <c r="AA2246" t="s">
        <v>49</v>
      </c>
      <c r="AB2246">
        <v>0</v>
      </c>
      <c r="AC2246" t="s">
        <v>49</v>
      </c>
      <c r="AD2246">
        <v>0</v>
      </c>
      <c r="AE2246">
        <v>-1</v>
      </c>
      <c r="AF2246" t="s">
        <v>50</v>
      </c>
      <c r="AG2246" t="s">
        <v>4784</v>
      </c>
    </row>
    <row r="2247" spans="1:33" x14ac:dyDescent="0.35">
      <c r="A2247" s="1">
        <v>44837.365972222222</v>
      </c>
      <c r="B2247">
        <v>1249775</v>
      </c>
      <c r="C2247" t="s">
        <v>4215</v>
      </c>
      <c r="D2247" t="s">
        <v>1224</v>
      </c>
      <c r="E2247" s="2">
        <v>41577</v>
      </c>
      <c r="F2247" t="str">
        <f>"9783110336481"</f>
        <v>9783110336481</v>
      </c>
      <c r="G2247" t="str">
        <f>"9783110335934"</f>
        <v>9783110335934</v>
      </c>
      <c r="H2247" t="s">
        <v>43</v>
      </c>
      <c r="I2247">
        <v>510</v>
      </c>
      <c r="J2247" t="s">
        <v>4216</v>
      </c>
      <c r="K2247" t="s">
        <v>44</v>
      </c>
      <c r="N2247" t="s">
        <v>45</v>
      </c>
      <c r="O2247" t="s">
        <v>46</v>
      </c>
      <c r="P2247" t="s">
        <v>45</v>
      </c>
      <c r="Q2247" t="s">
        <v>47</v>
      </c>
      <c r="R2247" t="s">
        <v>44</v>
      </c>
      <c r="S2247">
        <v>0</v>
      </c>
      <c r="W2247" s="3">
        <v>5.7870370370370366E-5</v>
      </c>
      <c r="X2247" t="s">
        <v>4217</v>
      </c>
      <c r="Y2247">
        <v>1</v>
      </c>
      <c r="Z2247">
        <v>0</v>
      </c>
      <c r="AA2247" t="s">
        <v>49</v>
      </c>
      <c r="AB2247">
        <v>0</v>
      </c>
      <c r="AC2247" t="s">
        <v>49</v>
      </c>
      <c r="AD2247">
        <v>0</v>
      </c>
      <c r="AE2247">
        <v>10820011</v>
      </c>
      <c r="AF2247" t="s">
        <v>50</v>
      </c>
      <c r="AG2247" t="s">
        <v>4737</v>
      </c>
    </row>
    <row r="2248" spans="1:33" x14ac:dyDescent="0.35">
      <c r="A2248" s="1">
        <v>44837.359722222223</v>
      </c>
      <c r="B2248">
        <v>6684438</v>
      </c>
      <c r="C2248" t="s">
        <v>4732</v>
      </c>
      <c r="D2248" t="s">
        <v>65</v>
      </c>
      <c r="E2248" s="2">
        <v>44406</v>
      </c>
      <c r="F2248" t="str">
        <f>"9780323901512"</f>
        <v>9780323901512</v>
      </c>
      <c r="G2248" t="str">
        <f>"9780323901505"</f>
        <v>9780323901505</v>
      </c>
      <c r="H2248" t="s">
        <v>116</v>
      </c>
      <c r="I2248">
        <v>662.6</v>
      </c>
      <c r="J2248" t="s">
        <v>4733</v>
      </c>
      <c r="K2248" t="s">
        <v>55</v>
      </c>
      <c r="Q2248" t="s">
        <v>47</v>
      </c>
      <c r="R2248" t="s">
        <v>44</v>
      </c>
      <c r="S2248">
        <v>0</v>
      </c>
      <c r="W2248" s="3">
        <v>1.6944444444444443E-2</v>
      </c>
      <c r="X2248" t="s">
        <v>4785</v>
      </c>
      <c r="Y2248">
        <v>31</v>
      </c>
      <c r="Z2248">
        <v>0</v>
      </c>
      <c r="AA2248" t="s">
        <v>49</v>
      </c>
      <c r="AB2248">
        <v>0</v>
      </c>
      <c r="AC2248" t="s">
        <v>49</v>
      </c>
      <c r="AD2248">
        <v>0</v>
      </c>
      <c r="AE2248">
        <v>-1</v>
      </c>
      <c r="AF2248" t="s">
        <v>63</v>
      </c>
      <c r="AG2248" t="s">
        <v>118</v>
      </c>
    </row>
    <row r="2249" spans="1:33" x14ac:dyDescent="0.35">
      <c r="A2249" s="1">
        <v>44837.356249999997</v>
      </c>
      <c r="B2249">
        <v>6684438</v>
      </c>
      <c r="C2249" t="s">
        <v>4732</v>
      </c>
      <c r="D2249" t="s">
        <v>65</v>
      </c>
      <c r="E2249" s="2">
        <v>44406</v>
      </c>
      <c r="F2249" t="str">
        <f>"9780323901512"</f>
        <v>9780323901512</v>
      </c>
      <c r="G2249" t="str">
        <f>"9780323901505"</f>
        <v>9780323901505</v>
      </c>
      <c r="H2249" t="s">
        <v>116</v>
      </c>
      <c r="I2249">
        <v>662.6</v>
      </c>
      <c r="J2249" t="s">
        <v>4733</v>
      </c>
      <c r="K2249" t="s">
        <v>55</v>
      </c>
      <c r="Q2249" t="s">
        <v>47</v>
      </c>
      <c r="R2249" t="s">
        <v>44</v>
      </c>
      <c r="S2249">
        <v>0</v>
      </c>
      <c r="W2249" s="3">
        <v>4.6296296296296294E-5</v>
      </c>
      <c r="X2249" t="s">
        <v>4786</v>
      </c>
      <c r="Y2249">
        <v>1</v>
      </c>
      <c r="Z2249">
        <v>0</v>
      </c>
      <c r="AA2249" t="s">
        <v>49</v>
      </c>
      <c r="AB2249">
        <v>0</v>
      </c>
      <c r="AC2249" t="s">
        <v>49</v>
      </c>
      <c r="AD2249">
        <v>0</v>
      </c>
      <c r="AE2249">
        <v>-1</v>
      </c>
      <c r="AF2249" t="s">
        <v>50</v>
      </c>
      <c r="AG2249" t="s">
        <v>4485</v>
      </c>
    </row>
    <row r="2250" spans="1:33" x14ac:dyDescent="0.35">
      <c r="A2250" s="1">
        <v>44837.354861111111</v>
      </c>
      <c r="B2250">
        <v>6684438</v>
      </c>
      <c r="C2250" t="s">
        <v>4732</v>
      </c>
      <c r="D2250" t="s">
        <v>65</v>
      </c>
      <c r="E2250" s="2">
        <v>44406</v>
      </c>
      <c r="F2250" t="str">
        <f>"9780323901512"</f>
        <v>9780323901512</v>
      </c>
      <c r="G2250" t="str">
        <f>"9780323901505"</f>
        <v>9780323901505</v>
      </c>
      <c r="H2250" t="s">
        <v>116</v>
      </c>
      <c r="I2250">
        <v>662.6</v>
      </c>
      <c r="J2250" t="s">
        <v>4733</v>
      </c>
      <c r="K2250" t="s">
        <v>55</v>
      </c>
      <c r="Q2250" t="s">
        <v>47</v>
      </c>
      <c r="R2250" t="s">
        <v>44</v>
      </c>
      <c r="S2250">
        <v>0</v>
      </c>
      <c r="W2250" s="3">
        <v>4.0046296296296297E-3</v>
      </c>
      <c r="X2250" t="s">
        <v>4787</v>
      </c>
      <c r="Y2250">
        <v>27</v>
      </c>
      <c r="Z2250">
        <v>0</v>
      </c>
      <c r="AA2250" t="s">
        <v>49</v>
      </c>
      <c r="AB2250">
        <v>0</v>
      </c>
      <c r="AC2250" t="s">
        <v>49</v>
      </c>
      <c r="AD2250">
        <v>0</v>
      </c>
      <c r="AE2250">
        <v>-1</v>
      </c>
      <c r="AF2250" t="s">
        <v>63</v>
      </c>
      <c r="AG2250" t="s">
        <v>118</v>
      </c>
    </row>
    <row r="2251" spans="1:33" x14ac:dyDescent="0.35">
      <c r="A2251" s="1">
        <v>44837.303472222222</v>
      </c>
      <c r="B2251">
        <v>5538949</v>
      </c>
      <c r="C2251" t="s">
        <v>4118</v>
      </c>
      <c r="D2251" t="s">
        <v>76</v>
      </c>
      <c r="E2251" s="2">
        <v>43377</v>
      </c>
      <c r="F2251" t="str">
        <f>"9780429766763"</f>
        <v>9780429766763</v>
      </c>
      <c r="G2251" t="str">
        <f>"9781138369887"</f>
        <v>9781138369887</v>
      </c>
      <c r="H2251" t="s">
        <v>538</v>
      </c>
      <c r="I2251" t="s">
        <v>4119</v>
      </c>
      <c r="J2251" t="s">
        <v>4120</v>
      </c>
      <c r="K2251" t="s">
        <v>55</v>
      </c>
      <c r="Q2251" t="s">
        <v>47</v>
      </c>
      <c r="R2251" t="s">
        <v>44</v>
      </c>
      <c r="S2251">
        <v>0</v>
      </c>
      <c r="W2251" s="3">
        <v>7.9282407407407409E-3</v>
      </c>
      <c r="X2251" t="s">
        <v>4788</v>
      </c>
      <c r="Y2251">
        <v>15</v>
      </c>
      <c r="Z2251">
        <v>0</v>
      </c>
      <c r="AA2251" t="s">
        <v>49</v>
      </c>
      <c r="AB2251">
        <v>0</v>
      </c>
      <c r="AC2251" t="s">
        <v>49</v>
      </c>
      <c r="AD2251">
        <v>0</v>
      </c>
      <c r="AE2251">
        <v>11617824</v>
      </c>
      <c r="AF2251" t="s">
        <v>50</v>
      </c>
      <c r="AG2251" t="s">
        <v>1536</v>
      </c>
    </row>
    <row r="2252" spans="1:33" x14ac:dyDescent="0.35">
      <c r="A2252" s="1">
        <v>44837.208333333336</v>
      </c>
      <c r="B2252">
        <v>6768661</v>
      </c>
      <c r="C2252" t="s">
        <v>4789</v>
      </c>
      <c r="D2252" t="s">
        <v>76</v>
      </c>
      <c r="E2252" s="2">
        <v>44517</v>
      </c>
      <c r="F2252" t="str">
        <f>"9781000471847"</f>
        <v>9781000471847</v>
      </c>
      <c r="G2252" t="str">
        <f>"9780367457938"</f>
        <v>9780367457938</v>
      </c>
      <c r="H2252" t="s">
        <v>77</v>
      </c>
      <c r="I2252">
        <v>610.28</v>
      </c>
      <c r="J2252" t="s">
        <v>4790</v>
      </c>
      <c r="K2252" t="s">
        <v>55</v>
      </c>
      <c r="Q2252" t="s">
        <v>47</v>
      </c>
      <c r="R2252" t="s">
        <v>44</v>
      </c>
      <c r="S2252">
        <v>0</v>
      </c>
      <c r="W2252" s="3">
        <v>0</v>
      </c>
      <c r="X2252" t="s">
        <v>49</v>
      </c>
      <c r="Y2252">
        <v>0</v>
      </c>
      <c r="Z2252">
        <v>0</v>
      </c>
      <c r="AA2252" t="s">
        <v>49</v>
      </c>
      <c r="AB2252">
        <v>0</v>
      </c>
      <c r="AC2252" t="s">
        <v>49</v>
      </c>
      <c r="AD2252">
        <v>0</v>
      </c>
      <c r="AE2252">
        <v>-1</v>
      </c>
      <c r="AF2252" t="s">
        <v>63</v>
      </c>
      <c r="AG2252" t="s">
        <v>118</v>
      </c>
    </row>
    <row r="2253" spans="1:33" x14ac:dyDescent="0.35">
      <c r="A2253" s="1">
        <v>44837.193055555559</v>
      </c>
      <c r="B2253">
        <v>6640795</v>
      </c>
      <c r="C2253" t="s">
        <v>4791</v>
      </c>
      <c r="D2253" t="s">
        <v>76</v>
      </c>
      <c r="E2253" s="2">
        <v>44378</v>
      </c>
      <c r="F2253" t="str">
        <f>"9781000412543"</f>
        <v>9781000412543</v>
      </c>
      <c r="G2253" t="str">
        <f>"9780367440992"</f>
        <v>9780367440992</v>
      </c>
      <c r="H2253" t="s">
        <v>261</v>
      </c>
      <c r="I2253" t="s">
        <v>4792</v>
      </c>
      <c r="J2253" t="s">
        <v>4793</v>
      </c>
      <c r="K2253" t="s">
        <v>55</v>
      </c>
      <c r="Q2253" t="s">
        <v>47</v>
      </c>
      <c r="R2253" t="s">
        <v>44</v>
      </c>
      <c r="S2253">
        <v>0</v>
      </c>
      <c r="W2253" s="3">
        <v>6.2731481481481484E-3</v>
      </c>
      <c r="X2253" t="s">
        <v>4794</v>
      </c>
      <c r="Y2253">
        <v>12</v>
      </c>
      <c r="Z2253">
        <v>0</v>
      </c>
      <c r="AA2253" t="s">
        <v>49</v>
      </c>
      <c r="AB2253">
        <v>0</v>
      </c>
      <c r="AC2253" t="s">
        <v>49</v>
      </c>
      <c r="AD2253">
        <v>0</v>
      </c>
      <c r="AE2253">
        <v>-1</v>
      </c>
      <c r="AF2253" t="s">
        <v>63</v>
      </c>
      <c r="AG2253" t="s">
        <v>118</v>
      </c>
    </row>
    <row r="2254" spans="1:33" x14ac:dyDescent="0.35">
      <c r="A2254" s="1">
        <v>44836.981944444444</v>
      </c>
      <c r="B2254">
        <v>5829217</v>
      </c>
      <c r="C2254" t="s">
        <v>626</v>
      </c>
      <c r="D2254" t="s">
        <v>627</v>
      </c>
      <c r="E2254" s="2">
        <v>43259</v>
      </c>
      <c r="F2254" t="str">
        <f>"9781496395139"</f>
        <v>9781496395139</v>
      </c>
      <c r="G2254" t="str">
        <f>"9781496335418"</f>
        <v>9781496335418</v>
      </c>
      <c r="H2254" t="s">
        <v>77</v>
      </c>
      <c r="I2254" t="s">
        <v>628</v>
      </c>
      <c r="J2254" t="s">
        <v>629</v>
      </c>
      <c r="K2254" t="s">
        <v>44</v>
      </c>
      <c r="N2254" t="s">
        <v>45</v>
      </c>
      <c r="O2254" t="s">
        <v>46</v>
      </c>
      <c r="P2254" t="s">
        <v>45</v>
      </c>
      <c r="Q2254" t="s">
        <v>47</v>
      </c>
      <c r="R2254" t="s">
        <v>44</v>
      </c>
      <c r="S2254">
        <v>0</v>
      </c>
      <c r="W2254" s="3">
        <v>6.3657407407407402E-4</v>
      </c>
      <c r="X2254" t="s">
        <v>4795</v>
      </c>
      <c r="Y2254">
        <v>7</v>
      </c>
      <c r="Z2254">
        <v>0</v>
      </c>
      <c r="AA2254" t="s">
        <v>49</v>
      </c>
      <c r="AB2254">
        <v>0</v>
      </c>
      <c r="AC2254" t="s">
        <v>49</v>
      </c>
      <c r="AD2254">
        <v>0</v>
      </c>
      <c r="AE2254">
        <v>-1</v>
      </c>
      <c r="AF2254" t="s">
        <v>50</v>
      </c>
      <c r="AG2254" t="s">
        <v>630</v>
      </c>
    </row>
    <row r="2255" spans="1:33" x14ac:dyDescent="0.35">
      <c r="A2255" s="1">
        <v>44836.977777777778</v>
      </c>
      <c r="B2255">
        <v>6869047</v>
      </c>
      <c r="C2255" t="s">
        <v>4740</v>
      </c>
      <c r="D2255" t="s">
        <v>65</v>
      </c>
      <c r="E2255" s="2">
        <v>44603</v>
      </c>
      <c r="F2255" t="str">
        <f>"9780081019863"</f>
        <v>9780081019863</v>
      </c>
      <c r="G2255" t="str">
        <f>"9780081019856"</f>
        <v>9780081019856</v>
      </c>
      <c r="H2255" t="s">
        <v>918</v>
      </c>
      <c r="I2255">
        <v>668.9</v>
      </c>
      <c r="J2255" t="s">
        <v>4741</v>
      </c>
      <c r="K2255" t="s">
        <v>55</v>
      </c>
      <c r="Q2255" t="s">
        <v>47</v>
      </c>
      <c r="R2255" t="s">
        <v>44</v>
      </c>
      <c r="S2255">
        <v>0</v>
      </c>
      <c r="W2255" s="3">
        <v>2.3148148148148146E-4</v>
      </c>
      <c r="X2255" t="s">
        <v>49</v>
      </c>
      <c r="Y2255">
        <v>0</v>
      </c>
      <c r="Z2255">
        <v>0</v>
      </c>
      <c r="AA2255" t="s">
        <v>49</v>
      </c>
      <c r="AB2255">
        <v>0</v>
      </c>
      <c r="AC2255" t="s">
        <v>49</v>
      </c>
      <c r="AD2255">
        <v>0</v>
      </c>
      <c r="AE2255">
        <v>-1</v>
      </c>
      <c r="AF2255" t="s">
        <v>63</v>
      </c>
      <c r="AG2255" t="s">
        <v>4485</v>
      </c>
    </row>
    <row r="2256" spans="1:33" x14ac:dyDescent="0.35">
      <c r="A2256" s="1">
        <v>44836.966666666667</v>
      </c>
      <c r="B2256">
        <v>957290</v>
      </c>
      <c r="C2256" t="s">
        <v>4280</v>
      </c>
      <c r="D2256" t="s">
        <v>76</v>
      </c>
      <c r="E2256" s="2">
        <v>40941</v>
      </c>
      <c r="F2256" t="str">
        <f>"9780203127711"</f>
        <v>9780203127711</v>
      </c>
      <c r="G2256" t="str">
        <f>"9780415895347"</f>
        <v>9780415895347</v>
      </c>
      <c r="H2256" t="s">
        <v>1046</v>
      </c>
      <c r="I2256">
        <v>302.23099999999999</v>
      </c>
      <c r="J2256" t="s">
        <v>4281</v>
      </c>
      <c r="K2256" t="s">
        <v>44</v>
      </c>
      <c r="N2256" t="s">
        <v>45</v>
      </c>
      <c r="O2256" t="s">
        <v>46</v>
      </c>
      <c r="P2256" t="s">
        <v>45</v>
      </c>
      <c r="Q2256" t="s">
        <v>47</v>
      </c>
      <c r="R2256" t="s">
        <v>44</v>
      </c>
      <c r="S2256">
        <v>0</v>
      </c>
      <c r="W2256" s="3">
        <v>5.4398148148148144E-4</v>
      </c>
      <c r="X2256" t="s">
        <v>4796</v>
      </c>
      <c r="Y2256">
        <v>7</v>
      </c>
      <c r="Z2256">
        <v>0</v>
      </c>
      <c r="AA2256" t="s">
        <v>49</v>
      </c>
      <c r="AB2256">
        <v>0</v>
      </c>
      <c r="AC2256" t="s">
        <v>49</v>
      </c>
      <c r="AD2256">
        <v>0</v>
      </c>
      <c r="AE2256">
        <v>10535074</v>
      </c>
      <c r="AF2256" t="s">
        <v>50</v>
      </c>
      <c r="AG2256" t="s">
        <v>118</v>
      </c>
    </row>
    <row r="2257" spans="1:33" x14ac:dyDescent="0.35">
      <c r="A2257" s="1">
        <v>44836.96597222222</v>
      </c>
      <c r="B2257">
        <v>957290</v>
      </c>
      <c r="C2257" t="s">
        <v>4280</v>
      </c>
      <c r="D2257" t="s">
        <v>76</v>
      </c>
      <c r="E2257" s="2">
        <v>40941</v>
      </c>
      <c r="F2257" t="str">
        <f>"9780203127711"</f>
        <v>9780203127711</v>
      </c>
      <c r="G2257" t="str">
        <f>"9780415895347"</f>
        <v>9780415895347</v>
      </c>
      <c r="H2257" t="s">
        <v>1046</v>
      </c>
      <c r="I2257">
        <v>302.23099999999999</v>
      </c>
      <c r="J2257" t="s">
        <v>4281</v>
      </c>
      <c r="K2257" t="s">
        <v>44</v>
      </c>
      <c r="N2257" t="s">
        <v>45</v>
      </c>
      <c r="O2257" t="s">
        <v>46</v>
      </c>
      <c r="P2257" t="s">
        <v>45</v>
      </c>
      <c r="Q2257" t="s">
        <v>47</v>
      </c>
      <c r="R2257" t="s">
        <v>44</v>
      </c>
      <c r="S2257">
        <v>0</v>
      </c>
      <c r="W2257" s="3">
        <v>1.3344907407407408E-2</v>
      </c>
      <c r="X2257" t="s">
        <v>4797</v>
      </c>
      <c r="Y2257">
        <v>16</v>
      </c>
      <c r="Z2257">
        <v>0</v>
      </c>
      <c r="AA2257" t="s">
        <v>49</v>
      </c>
      <c r="AB2257">
        <v>0</v>
      </c>
      <c r="AC2257" t="s">
        <v>3020</v>
      </c>
      <c r="AD2257">
        <v>1</v>
      </c>
      <c r="AE2257">
        <v>10535074</v>
      </c>
      <c r="AF2257" t="s">
        <v>50</v>
      </c>
      <c r="AG2257" t="s">
        <v>835</v>
      </c>
    </row>
    <row r="2258" spans="1:33" x14ac:dyDescent="0.35">
      <c r="A2258" s="1">
        <v>44836.953472222223</v>
      </c>
      <c r="B2258">
        <v>6695923</v>
      </c>
      <c r="C2258" t="s">
        <v>4798</v>
      </c>
      <c r="D2258" t="s">
        <v>76</v>
      </c>
      <c r="E2258" s="2">
        <v>44470</v>
      </c>
      <c r="F2258" t="str">
        <f>"9781000458510"</f>
        <v>9781000458510</v>
      </c>
      <c r="G2258" t="str">
        <f>"9780367702120"</f>
        <v>9780367702120</v>
      </c>
      <c r="H2258" t="s">
        <v>4799</v>
      </c>
      <c r="I2258">
        <v>658.40380285629999</v>
      </c>
      <c r="J2258" t="s">
        <v>4800</v>
      </c>
      <c r="K2258" t="s">
        <v>55</v>
      </c>
      <c r="Q2258" t="s">
        <v>47</v>
      </c>
      <c r="R2258" t="s">
        <v>44</v>
      </c>
      <c r="S2258">
        <v>0</v>
      </c>
      <c r="W2258" s="3">
        <v>5.3240740740740744E-4</v>
      </c>
      <c r="X2258" t="s">
        <v>4801</v>
      </c>
      <c r="Y2258">
        <v>4</v>
      </c>
      <c r="Z2258">
        <v>0</v>
      </c>
      <c r="AA2258" t="s">
        <v>49</v>
      </c>
      <c r="AB2258">
        <v>0</v>
      </c>
      <c r="AC2258" t="s">
        <v>49</v>
      </c>
      <c r="AD2258">
        <v>0</v>
      </c>
      <c r="AE2258">
        <v>-1</v>
      </c>
      <c r="AF2258" t="s">
        <v>50</v>
      </c>
      <c r="AG2258" t="s">
        <v>741</v>
      </c>
    </row>
    <row r="2259" spans="1:33" x14ac:dyDescent="0.35">
      <c r="A2259" s="1">
        <v>44836.931250000001</v>
      </c>
      <c r="B2259">
        <v>5538949</v>
      </c>
      <c r="C2259" t="s">
        <v>4118</v>
      </c>
      <c r="D2259" t="s">
        <v>76</v>
      </c>
      <c r="E2259" s="2">
        <v>43377</v>
      </c>
      <c r="F2259" t="str">
        <f>"9780429766763"</f>
        <v>9780429766763</v>
      </c>
      <c r="G2259" t="str">
        <f>"9781138369887"</f>
        <v>9781138369887</v>
      </c>
      <c r="H2259" t="s">
        <v>538</v>
      </c>
      <c r="I2259" t="s">
        <v>4119</v>
      </c>
      <c r="J2259" t="s">
        <v>4120</v>
      </c>
      <c r="K2259" t="s">
        <v>55</v>
      </c>
      <c r="Q2259" t="s">
        <v>47</v>
      </c>
      <c r="R2259" t="s">
        <v>44</v>
      </c>
      <c r="S2259">
        <v>0</v>
      </c>
      <c r="W2259" s="3">
        <v>4.1435185185185186E-3</v>
      </c>
      <c r="X2259" t="s">
        <v>4802</v>
      </c>
      <c r="Y2259">
        <v>17</v>
      </c>
      <c r="Z2259">
        <v>0</v>
      </c>
      <c r="AA2259" t="s">
        <v>49</v>
      </c>
      <c r="AB2259">
        <v>0</v>
      </c>
      <c r="AC2259" t="s">
        <v>49</v>
      </c>
      <c r="AD2259">
        <v>0</v>
      </c>
      <c r="AE2259">
        <v>11617824</v>
      </c>
      <c r="AF2259" t="s">
        <v>50</v>
      </c>
      <c r="AG2259" t="s">
        <v>4485</v>
      </c>
    </row>
    <row r="2260" spans="1:33" x14ac:dyDescent="0.35">
      <c r="A2260" s="1">
        <v>44836.930555555555</v>
      </c>
      <c r="B2260">
        <v>5538949</v>
      </c>
      <c r="C2260" t="s">
        <v>4118</v>
      </c>
      <c r="D2260" t="s">
        <v>76</v>
      </c>
      <c r="E2260" s="2">
        <v>43377</v>
      </c>
      <c r="F2260" t="str">
        <f>"9780429766763"</f>
        <v>9780429766763</v>
      </c>
      <c r="G2260" t="str">
        <f>"9781138369887"</f>
        <v>9781138369887</v>
      </c>
      <c r="H2260" t="s">
        <v>538</v>
      </c>
      <c r="I2260" t="s">
        <v>4119</v>
      </c>
      <c r="J2260" t="s">
        <v>4120</v>
      </c>
      <c r="K2260" t="s">
        <v>55</v>
      </c>
      <c r="Q2260" t="s">
        <v>47</v>
      </c>
      <c r="R2260" t="s">
        <v>44</v>
      </c>
      <c r="S2260">
        <v>0</v>
      </c>
      <c r="W2260" s="3">
        <v>9.1435185185185185E-4</v>
      </c>
      <c r="X2260" t="s">
        <v>4803</v>
      </c>
      <c r="Y2260">
        <v>10</v>
      </c>
      <c r="Z2260">
        <v>0</v>
      </c>
      <c r="AA2260" t="s">
        <v>49</v>
      </c>
      <c r="AB2260">
        <v>0</v>
      </c>
      <c r="AC2260" t="s">
        <v>49</v>
      </c>
      <c r="AD2260">
        <v>0</v>
      </c>
      <c r="AE2260">
        <v>11617824</v>
      </c>
      <c r="AF2260" t="s">
        <v>50</v>
      </c>
      <c r="AG2260" t="s">
        <v>118</v>
      </c>
    </row>
    <row r="2261" spans="1:33" x14ac:dyDescent="0.35">
      <c r="A2261" s="1">
        <v>44836.921527777777</v>
      </c>
      <c r="B2261">
        <v>5538949</v>
      </c>
      <c r="C2261" t="s">
        <v>4118</v>
      </c>
      <c r="D2261" t="s">
        <v>76</v>
      </c>
      <c r="E2261" s="2">
        <v>43377</v>
      </c>
      <c r="F2261" t="str">
        <f>"9780429766763"</f>
        <v>9780429766763</v>
      </c>
      <c r="G2261" t="str">
        <f>"9781138369887"</f>
        <v>9781138369887</v>
      </c>
      <c r="H2261" t="s">
        <v>538</v>
      </c>
      <c r="I2261" t="s">
        <v>4119</v>
      </c>
      <c r="J2261" t="s">
        <v>4120</v>
      </c>
      <c r="K2261" t="s">
        <v>55</v>
      </c>
      <c r="Q2261" t="s">
        <v>47</v>
      </c>
      <c r="R2261" t="s">
        <v>44</v>
      </c>
      <c r="S2261">
        <v>0</v>
      </c>
      <c r="W2261" s="3">
        <v>5.5902777777777782E-3</v>
      </c>
      <c r="X2261" t="s">
        <v>4804</v>
      </c>
      <c r="Y2261">
        <v>51</v>
      </c>
      <c r="Z2261">
        <v>0</v>
      </c>
      <c r="AA2261" t="s">
        <v>49</v>
      </c>
      <c r="AB2261">
        <v>0</v>
      </c>
      <c r="AC2261" t="s">
        <v>49</v>
      </c>
      <c r="AD2261">
        <v>0</v>
      </c>
      <c r="AE2261">
        <v>11617824</v>
      </c>
      <c r="AF2261" t="s">
        <v>63</v>
      </c>
      <c r="AG2261" t="s">
        <v>1536</v>
      </c>
    </row>
    <row r="2262" spans="1:33" x14ac:dyDescent="0.35">
      <c r="A2262" s="1">
        <v>44836.913888888892</v>
      </c>
      <c r="B2262">
        <v>5829217</v>
      </c>
      <c r="C2262" t="s">
        <v>626</v>
      </c>
      <c r="D2262" t="s">
        <v>627</v>
      </c>
      <c r="E2262" s="2">
        <v>43259</v>
      </c>
      <c r="F2262" t="str">
        <f>"9781496395139"</f>
        <v>9781496395139</v>
      </c>
      <c r="G2262" t="str">
        <f>"9781496335418"</f>
        <v>9781496335418</v>
      </c>
      <c r="H2262" t="s">
        <v>77</v>
      </c>
      <c r="I2262" t="s">
        <v>628</v>
      </c>
      <c r="J2262" t="s">
        <v>629</v>
      </c>
      <c r="K2262" t="s">
        <v>44</v>
      </c>
      <c r="N2262" t="s">
        <v>45</v>
      </c>
      <c r="O2262" t="s">
        <v>46</v>
      </c>
      <c r="P2262" t="s">
        <v>45</v>
      </c>
      <c r="Q2262" t="s">
        <v>47</v>
      </c>
      <c r="R2262" t="s">
        <v>44</v>
      </c>
      <c r="S2262">
        <v>0</v>
      </c>
      <c r="W2262" s="3">
        <v>2.0833333333333335E-4</v>
      </c>
      <c r="X2262" t="s">
        <v>4805</v>
      </c>
      <c r="Y2262">
        <v>4</v>
      </c>
      <c r="Z2262">
        <v>0</v>
      </c>
      <c r="AA2262" t="s">
        <v>49</v>
      </c>
      <c r="AB2262">
        <v>0</v>
      </c>
      <c r="AC2262" t="s">
        <v>49</v>
      </c>
      <c r="AD2262">
        <v>0</v>
      </c>
      <c r="AE2262">
        <v>-1</v>
      </c>
      <c r="AF2262" t="s">
        <v>50</v>
      </c>
      <c r="AG2262" t="s">
        <v>630</v>
      </c>
    </row>
    <row r="2263" spans="1:33" x14ac:dyDescent="0.35">
      <c r="A2263" s="1">
        <v>44836.900694444441</v>
      </c>
      <c r="B2263">
        <v>957290</v>
      </c>
      <c r="C2263" t="s">
        <v>4280</v>
      </c>
      <c r="D2263" t="s">
        <v>76</v>
      </c>
      <c r="E2263" s="2">
        <v>40941</v>
      </c>
      <c r="F2263" t="str">
        <f>"9780203127711"</f>
        <v>9780203127711</v>
      </c>
      <c r="G2263" t="str">
        <f>"9780415895347"</f>
        <v>9780415895347</v>
      </c>
      <c r="H2263" t="s">
        <v>1046</v>
      </c>
      <c r="I2263">
        <v>302.23099999999999</v>
      </c>
      <c r="J2263" t="s">
        <v>4281</v>
      </c>
      <c r="K2263" t="s">
        <v>44</v>
      </c>
      <c r="N2263" t="s">
        <v>45</v>
      </c>
      <c r="O2263" t="s">
        <v>46</v>
      </c>
      <c r="P2263" t="s">
        <v>45</v>
      </c>
      <c r="Q2263" t="s">
        <v>47</v>
      </c>
      <c r="R2263" t="s">
        <v>44</v>
      </c>
      <c r="S2263">
        <v>0</v>
      </c>
      <c r="W2263" s="3">
        <v>2.3287037037037037E-2</v>
      </c>
      <c r="X2263" t="s">
        <v>4806</v>
      </c>
      <c r="Y2263">
        <v>12</v>
      </c>
      <c r="Z2263">
        <v>0</v>
      </c>
      <c r="AA2263" t="s">
        <v>49</v>
      </c>
      <c r="AB2263">
        <v>0</v>
      </c>
      <c r="AC2263" t="s">
        <v>4807</v>
      </c>
      <c r="AD2263">
        <v>2</v>
      </c>
      <c r="AE2263">
        <v>10535074</v>
      </c>
      <c r="AF2263" t="s">
        <v>50</v>
      </c>
      <c r="AG2263" t="s">
        <v>1536</v>
      </c>
    </row>
    <row r="2264" spans="1:33" x14ac:dyDescent="0.35">
      <c r="A2264" s="1">
        <v>44836.898611111108</v>
      </c>
      <c r="B2264">
        <v>957290</v>
      </c>
      <c r="C2264" t="s">
        <v>4280</v>
      </c>
      <c r="D2264" t="s">
        <v>76</v>
      </c>
      <c r="E2264" s="2">
        <v>40941</v>
      </c>
      <c r="F2264" t="str">
        <f>"9780203127711"</f>
        <v>9780203127711</v>
      </c>
      <c r="G2264" t="str">
        <f>"9780415895347"</f>
        <v>9780415895347</v>
      </c>
      <c r="H2264" t="s">
        <v>1046</v>
      </c>
      <c r="I2264">
        <v>302.23099999999999</v>
      </c>
      <c r="J2264" t="s">
        <v>4281</v>
      </c>
      <c r="K2264" t="s">
        <v>44</v>
      </c>
      <c r="N2264" t="s">
        <v>45</v>
      </c>
      <c r="O2264" t="s">
        <v>46</v>
      </c>
      <c r="P2264" t="s">
        <v>45</v>
      </c>
      <c r="Q2264" t="s">
        <v>47</v>
      </c>
      <c r="R2264" t="s">
        <v>44</v>
      </c>
      <c r="S2264">
        <v>0</v>
      </c>
      <c r="W2264" s="3">
        <v>9.2592592592592588E-5</v>
      </c>
      <c r="X2264" t="s">
        <v>196</v>
      </c>
      <c r="Y2264">
        <v>2</v>
      </c>
      <c r="Z2264">
        <v>0</v>
      </c>
      <c r="AA2264" t="s">
        <v>49</v>
      </c>
      <c r="AB2264">
        <v>0</v>
      </c>
      <c r="AC2264" t="s">
        <v>49</v>
      </c>
      <c r="AD2264">
        <v>0</v>
      </c>
      <c r="AE2264">
        <v>10535074</v>
      </c>
      <c r="AF2264" t="s">
        <v>50</v>
      </c>
      <c r="AG2264" t="s">
        <v>118</v>
      </c>
    </row>
    <row r="2265" spans="1:33" x14ac:dyDescent="0.35">
      <c r="A2265" s="1">
        <v>44836.887499999997</v>
      </c>
      <c r="B2265">
        <v>957290</v>
      </c>
      <c r="C2265" t="s">
        <v>4280</v>
      </c>
      <c r="D2265" t="s">
        <v>76</v>
      </c>
      <c r="E2265" s="2">
        <v>40941</v>
      </c>
      <c r="F2265" t="str">
        <f>"9780203127711"</f>
        <v>9780203127711</v>
      </c>
      <c r="G2265" t="str">
        <f>"9780415895347"</f>
        <v>9780415895347</v>
      </c>
      <c r="H2265" t="s">
        <v>1046</v>
      </c>
      <c r="I2265">
        <v>302.23099999999999</v>
      </c>
      <c r="J2265" t="s">
        <v>4281</v>
      </c>
      <c r="K2265" t="s">
        <v>44</v>
      </c>
      <c r="N2265" t="s">
        <v>45</v>
      </c>
      <c r="O2265" t="s">
        <v>46</v>
      </c>
      <c r="P2265" t="s">
        <v>45</v>
      </c>
      <c r="Q2265" t="s">
        <v>47</v>
      </c>
      <c r="R2265" t="s">
        <v>44</v>
      </c>
      <c r="S2265">
        <v>0</v>
      </c>
      <c r="W2265" s="3">
        <v>1.2789351851851852E-2</v>
      </c>
      <c r="X2265" t="s">
        <v>4808</v>
      </c>
      <c r="Y2265">
        <v>9</v>
      </c>
      <c r="Z2265">
        <v>0</v>
      </c>
      <c r="AA2265" t="s">
        <v>49</v>
      </c>
      <c r="AB2265">
        <v>0</v>
      </c>
      <c r="AC2265" t="s">
        <v>49</v>
      </c>
      <c r="AD2265">
        <v>0</v>
      </c>
      <c r="AE2265">
        <v>10535074</v>
      </c>
      <c r="AF2265" t="s">
        <v>50</v>
      </c>
      <c r="AG2265" t="s">
        <v>118</v>
      </c>
    </row>
    <row r="2266" spans="1:33" x14ac:dyDescent="0.35">
      <c r="A2266" s="1">
        <v>44836.886111111111</v>
      </c>
      <c r="B2266">
        <v>957290</v>
      </c>
      <c r="C2266" t="s">
        <v>4280</v>
      </c>
      <c r="D2266" t="s">
        <v>76</v>
      </c>
      <c r="E2266" s="2">
        <v>40941</v>
      </c>
      <c r="F2266" t="str">
        <f>"9780203127711"</f>
        <v>9780203127711</v>
      </c>
      <c r="G2266" t="str">
        <f>"9780415895347"</f>
        <v>9780415895347</v>
      </c>
      <c r="H2266" t="s">
        <v>1046</v>
      </c>
      <c r="I2266">
        <v>302.23099999999999</v>
      </c>
      <c r="J2266" t="s">
        <v>4281</v>
      </c>
      <c r="K2266" t="s">
        <v>44</v>
      </c>
      <c r="N2266" t="s">
        <v>45</v>
      </c>
      <c r="O2266" t="s">
        <v>46</v>
      </c>
      <c r="P2266" t="s">
        <v>45</v>
      </c>
      <c r="Q2266" t="s">
        <v>47</v>
      </c>
      <c r="R2266" t="s">
        <v>44</v>
      </c>
      <c r="S2266">
        <v>0</v>
      </c>
      <c r="W2266" s="3">
        <v>3.4722222222222222E-5</v>
      </c>
      <c r="X2266" t="s">
        <v>121</v>
      </c>
      <c r="Y2266">
        <v>1</v>
      </c>
      <c r="Z2266">
        <v>0</v>
      </c>
      <c r="AA2266" t="s">
        <v>49</v>
      </c>
      <c r="AB2266">
        <v>0</v>
      </c>
      <c r="AC2266" t="s">
        <v>49</v>
      </c>
      <c r="AD2266">
        <v>0</v>
      </c>
      <c r="AE2266">
        <v>10535074</v>
      </c>
      <c r="AF2266" t="s">
        <v>50</v>
      </c>
      <c r="AG2266" t="s">
        <v>4485</v>
      </c>
    </row>
    <row r="2267" spans="1:33" x14ac:dyDescent="0.35">
      <c r="A2267" s="1">
        <v>44836.87222222222</v>
      </c>
      <c r="B2267">
        <v>957290</v>
      </c>
      <c r="C2267" t="s">
        <v>4280</v>
      </c>
      <c r="D2267" t="s">
        <v>76</v>
      </c>
      <c r="E2267" s="2">
        <v>40941</v>
      </c>
      <c r="F2267" t="str">
        <f>"9780203127711"</f>
        <v>9780203127711</v>
      </c>
      <c r="G2267" t="str">
        <f>"9780415895347"</f>
        <v>9780415895347</v>
      </c>
      <c r="H2267" t="s">
        <v>1046</v>
      </c>
      <c r="I2267">
        <v>302.23099999999999</v>
      </c>
      <c r="J2267" t="s">
        <v>4281</v>
      </c>
      <c r="K2267" t="s">
        <v>44</v>
      </c>
      <c r="N2267" t="s">
        <v>45</v>
      </c>
      <c r="O2267" t="s">
        <v>46</v>
      </c>
      <c r="P2267" t="s">
        <v>45</v>
      </c>
      <c r="Q2267" t="s">
        <v>47</v>
      </c>
      <c r="R2267" t="s">
        <v>44</v>
      </c>
      <c r="S2267">
        <v>0</v>
      </c>
      <c r="W2267" s="3">
        <v>1.7476851851851852E-3</v>
      </c>
      <c r="X2267" t="s">
        <v>4809</v>
      </c>
      <c r="Y2267">
        <v>5</v>
      </c>
      <c r="Z2267">
        <v>0</v>
      </c>
      <c r="AA2267" t="s">
        <v>49</v>
      </c>
      <c r="AB2267">
        <v>0</v>
      </c>
      <c r="AC2267" t="s">
        <v>49</v>
      </c>
      <c r="AD2267">
        <v>0</v>
      </c>
      <c r="AE2267">
        <v>10535074</v>
      </c>
      <c r="AF2267" t="s">
        <v>50</v>
      </c>
      <c r="AG2267" t="s">
        <v>118</v>
      </c>
    </row>
    <row r="2268" spans="1:33" x14ac:dyDescent="0.35">
      <c r="A2268" s="1">
        <v>44836.868055555555</v>
      </c>
      <c r="B2268">
        <v>3121259</v>
      </c>
      <c r="C2268" t="s">
        <v>4810</v>
      </c>
      <c r="D2268" t="s">
        <v>4811</v>
      </c>
      <c r="E2268" s="2">
        <v>41958</v>
      </c>
      <c r="F2268" t="str">
        <f>"9781780406640"</f>
        <v>9781780406640</v>
      </c>
      <c r="G2268" t="str">
        <f>""</f>
        <v/>
      </c>
      <c r="H2268" t="s">
        <v>261</v>
      </c>
      <c r="I2268">
        <v>628.29999999999995</v>
      </c>
      <c r="J2268" t="s">
        <v>4812</v>
      </c>
      <c r="K2268" t="s">
        <v>44</v>
      </c>
      <c r="N2268" t="s">
        <v>45</v>
      </c>
      <c r="O2268" t="s">
        <v>46</v>
      </c>
      <c r="P2268" t="s">
        <v>45</v>
      </c>
      <c r="Q2268" t="s">
        <v>47</v>
      </c>
      <c r="R2268" t="s">
        <v>44</v>
      </c>
      <c r="S2268">
        <v>0</v>
      </c>
      <c r="W2268" s="3">
        <v>3.7037037037037035E-4</v>
      </c>
      <c r="X2268" t="s">
        <v>4813</v>
      </c>
      <c r="Y2268">
        <v>4</v>
      </c>
      <c r="Z2268">
        <v>0</v>
      </c>
      <c r="AA2268" t="s">
        <v>49</v>
      </c>
      <c r="AB2268">
        <v>0</v>
      </c>
      <c r="AC2268" t="s">
        <v>49</v>
      </c>
      <c r="AD2268">
        <v>0</v>
      </c>
      <c r="AE2268">
        <v>10994538</v>
      </c>
      <c r="AF2268" t="s">
        <v>50</v>
      </c>
      <c r="AG2268" t="s">
        <v>4814</v>
      </c>
    </row>
    <row r="2269" spans="1:33" x14ac:dyDescent="0.35">
      <c r="A2269" s="1">
        <v>44836.806944444441</v>
      </c>
      <c r="B2269">
        <v>957290</v>
      </c>
      <c r="C2269" t="s">
        <v>4280</v>
      </c>
      <c r="D2269" t="s">
        <v>76</v>
      </c>
      <c r="E2269" s="2">
        <v>40941</v>
      </c>
      <c r="F2269" t="str">
        <f>"9780203127711"</f>
        <v>9780203127711</v>
      </c>
      <c r="G2269" t="str">
        <f>"9780415895347"</f>
        <v>9780415895347</v>
      </c>
      <c r="H2269" t="s">
        <v>1046</v>
      </c>
      <c r="I2269">
        <v>302.23099999999999</v>
      </c>
      <c r="J2269" t="s">
        <v>4281</v>
      </c>
      <c r="K2269" t="s">
        <v>44</v>
      </c>
      <c r="N2269" t="s">
        <v>45</v>
      </c>
      <c r="O2269" t="s">
        <v>46</v>
      </c>
      <c r="P2269" t="s">
        <v>45</v>
      </c>
      <c r="Q2269" t="s">
        <v>47</v>
      </c>
      <c r="R2269" t="s">
        <v>44</v>
      </c>
      <c r="S2269">
        <v>0</v>
      </c>
      <c r="W2269" s="3">
        <v>2.0659722222222222E-2</v>
      </c>
      <c r="X2269" t="s">
        <v>4815</v>
      </c>
      <c r="Y2269">
        <v>29</v>
      </c>
      <c r="Z2269">
        <v>0</v>
      </c>
      <c r="AA2269" t="s">
        <v>49</v>
      </c>
      <c r="AB2269">
        <v>0</v>
      </c>
      <c r="AC2269" t="s">
        <v>49</v>
      </c>
      <c r="AD2269">
        <v>0</v>
      </c>
      <c r="AE2269">
        <v>10535074</v>
      </c>
      <c r="AF2269" t="s">
        <v>50</v>
      </c>
      <c r="AG2269" t="s">
        <v>1216</v>
      </c>
    </row>
    <row r="2270" spans="1:33" x14ac:dyDescent="0.35">
      <c r="A2270" s="1">
        <v>44836.801388888889</v>
      </c>
      <c r="B2270">
        <v>957290</v>
      </c>
      <c r="C2270" t="s">
        <v>4280</v>
      </c>
      <c r="D2270" t="s">
        <v>76</v>
      </c>
      <c r="E2270" s="2">
        <v>40941</v>
      </c>
      <c r="F2270" t="str">
        <f>"9780203127711"</f>
        <v>9780203127711</v>
      </c>
      <c r="G2270" t="str">
        <f>"9780415895347"</f>
        <v>9780415895347</v>
      </c>
      <c r="H2270" t="s">
        <v>1046</v>
      </c>
      <c r="I2270">
        <v>302.23099999999999</v>
      </c>
      <c r="J2270" t="s">
        <v>4281</v>
      </c>
      <c r="K2270" t="s">
        <v>44</v>
      </c>
      <c r="N2270" t="s">
        <v>45</v>
      </c>
      <c r="O2270" t="s">
        <v>46</v>
      </c>
      <c r="P2270" t="s">
        <v>45</v>
      </c>
      <c r="Q2270" t="s">
        <v>47</v>
      </c>
      <c r="R2270" t="s">
        <v>44</v>
      </c>
      <c r="S2270">
        <v>0</v>
      </c>
      <c r="W2270" s="3">
        <v>6.4004629629629628E-3</v>
      </c>
      <c r="X2270" t="s">
        <v>4816</v>
      </c>
      <c r="Y2270">
        <v>15</v>
      </c>
      <c r="Z2270">
        <v>0</v>
      </c>
      <c r="AA2270" t="s">
        <v>49</v>
      </c>
      <c r="AB2270">
        <v>0</v>
      </c>
      <c r="AC2270" t="s">
        <v>49</v>
      </c>
      <c r="AD2270">
        <v>0</v>
      </c>
      <c r="AE2270">
        <v>10535074</v>
      </c>
      <c r="AF2270" t="s">
        <v>50</v>
      </c>
      <c r="AG2270" t="s">
        <v>118</v>
      </c>
    </row>
    <row r="2271" spans="1:33" x14ac:dyDescent="0.35">
      <c r="A2271" s="1">
        <v>44836.789583333331</v>
      </c>
      <c r="B2271">
        <v>957290</v>
      </c>
      <c r="C2271" t="s">
        <v>4280</v>
      </c>
      <c r="D2271" t="s">
        <v>76</v>
      </c>
      <c r="E2271" s="2">
        <v>40941</v>
      </c>
      <c r="F2271" t="str">
        <f>"9780203127711"</f>
        <v>9780203127711</v>
      </c>
      <c r="G2271" t="str">
        <f>"9780415895347"</f>
        <v>9780415895347</v>
      </c>
      <c r="H2271" t="s">
        <v>1046</v>
      </c>
      <c r="I2271">
        <v>302.23099999999999</v>
      </c>
      <c r="J2271" t="s">
        <v>4281</v>
      </c>
      <c r="K2271" t="s">
        <v>44</v>
      </c>
      <c r="N2271" t="s">
        <v>45</v>
      </c>
      <c r="O2271" t="s">
        <v>46</v>
      </c>
      <c r="P2271" t="s">
        <v>45</v>
      </c>
      <c r="Q2271" t="s">
        <v>47</v>
      </c>
      <c r="R2271" t="s">
        <v>44</v>
      </c>
      <c r="S2271">
        <v>0</v>
      </c>
      <c r="W2271" s="3">
        <v>1.8564814814814815E-2</v>
      </c>
      <c r="X2271" t="s">
        <v>4817</v>
      </c>
      <c r="Y2271">
        <v>11</v>
      </c>
      <c r="Z2271">
        <v>0</v>
      </c>
      <c r="AA2271" t="s">
        <v>49</v>
      </c>
      <c r="AB2271">
        <v>0</v>
      </c>
      <c r="AC2271" t="s">
        <v>49</v>
      </c>
      <c r="AD2271">
        <v>0</v>
      </c>
      <c r="AE2271">
        <v>10535074</v>
      </c>
      <c r="AF2271" t="s">
        <v>50</v>
      </c>
      <c r="AG2271" t="s">
        <v>118</v>
      </c>
    </row>
    <row r="2272" spans="1:33" x14ac:dyDescent="0.35">
      <c r="A2272" s="1">
        <v>44836.761111111111</v>
      </c>
      <c r="B2272">
        <v>957290</v>
      </c>
      <c r="C2272" t="s">
        <v>4280</v>
      </c>
      <c r="D2272" t="s">
        <v>76</v>
      </c>
      <c r="E2272" s="2">
        <v>40941</v>
      </c>
      <c r="F2272" t="str">
        <f>"9780203127711"</f>
        <v>9780203127711</v>
      </c>
      <c r="G2272" t="str">
        <f>"9780415895347"</f>
        <v>9780415895347</v>
      </c>
      <c r="H2272" t="s">
        <v>1046</v>
      </c>
      <c r="I2272">
        <v>302.23099999999999</v>
      </c>
      <c r="J2272" t="s">
        <v>4281</v>
      </c>
      <c r="K2272" t="s">
        <v>44</v>
      </c>
      <c r="N2272" t="s">
        <v>45</v>
      </c>
      <c r="O2272" t="s">
        <v>46</v>
      </c>
      <c r="P2272" t="s">
        <v>45</v>
      </c>
      <c r="Q2272" t="s">
        <v>47</v>
      </c>
      <c r="R2272" t="s">
        <v>44</v>
      </c>
      <c r="S2272">
        <v>0</v>
      </c>
      <c r="W2272" s="3">
        <v>1.3078703703703705E-3</v>
      </c>
      <c r="X2272" t="s">
        <v>4818</v>
      </c>
      <c r="Y2272">
        <v>26</v>
      </c>
      <c r="Z2272">
        <v>0</v>
      </c>
      <c r="AA2272" t="s">
        <v>49</v>
      </c>
      <c r="AB2272">
        <v>0</v>
      </c>
      <c r="AC2272" t="s">
        <v>49</v>
      </c>
      <c r="AD2272">
        <v>0</v>
      </c>
      <c r="AE2272">
        <v>10535074</v>
      </c>
      <c r="AF2272" t="s">
        <v>50</v>
      </c>
      <c r="AG2272" t="s">
        <v>118</v>
      </c>
    </row>
    <row r="2273" spans="1:33" x14ac:dyDescent="0.35">
      <c r="A2273" s="1">
        <v>44836.693055555559</v>
      </c>
      <c r="B2273">
        <v>5582864</v>
      </c>
      <c r="C2273" t="s">
        <v>4819</v>
      </c>
      <c r="D2273" t="s">
        <v>76</v>
      </c>
      <c r="E2273" s="2">
        <v>43349</v>
      </c>
      <c r="F2273" t="str">
        <f>"9781351970129"</f>
        <v>9781351970129</v>
      </c>
      <c r="G2273" t="str">
        <f>"9781138290235"</f>
        <v>9781138290235</v>
      </c>
      <c r="H2273" t="s">
        <v>1046</v>
      </c>
      <c r="I2273">
        <v>307.74</v>
      </c>
      <c r="J2273" t="s">
        <v>4820</v>
      </c>
      <c r="K2273" t="s">
        <v>55</v>
      </c>
      <c r="N2273" t="s">
        <v>79</v>
      </c>
      <c r="P2273" t="s">
        <v>80</v>
      </c>
      <c r="Q2273" t="s">
        <v>47</v>
      </c>
      <c r="R2273" t="s">
        <v>44</v>
      </c>
      <c r="S2273">
        <v>0</v>
      </c>
      <c r="W2273" s="3">
        <v>4.9768518518518521E-4</v>
      </c>
      <c r="X2273" t="s">
        <v>4821</v>
      </c>
      <c r="Y2273">
        <v>5</v>
      </c>
      <c r="Z2273">
        <v>0</v>
      </c>
      <c r="AA2273" t="s">
        <v>49</v>
      </c>
      <c r="AB2273">
        <v>0</v>
      </c>
      <c r="AC2273" t="s">
        <v>49</v>
      </c>
      <c r="AD2273">
        <v>0</v>
      </c>
      <c r="AE2273">
        <v>11635654</v>
      </c>
      <c r="AF2273" t="s">
        <v>50</v>
      </c>
      <c r="AG2273" t="s">
        <v>118</v>
      </c>
    </row>
    <row r="2274" spans="1:33" x14ac:dyDescent="0.35">
      <c r="A2274" s="1">
        <v>44836.67291666667</v>
      </c>
      <c r="B2274">
        <v>957290</v>
      </c>
      <c r="C2274" t="s">
        <v>4280</v>
      </c>
      <c r="D2274" t="s">
        <v>76</v>
      </c>
      <c r="E2274" s="2">
        <v>40941</v>
      </c>
      <c r="F2274" t="str">
        <f>"9780203127711"</f>
        <v>9780203127711</v>
      </c>
      <c r="G2274" t="str">
        <f>"9780415895347"</f>
        <v>9780415895347</v>
      </c>
      <c r="H2274" t="s">
        <v>1046</v>
      </c>
      <c r="I2274">
        <v>302.23099999999999</v>
      </c>
      <c r="J2274" t="s">
        <v>4281</v>
      </c>
      <c r="K2274" t="s">
        <v>44</v>
      </c>
      <c r="N2274" t="s">
        <v>45</v>
      </c>
      <c r="O2274" t="s">
        <v>46</v>
      </c>
      <c r="P2274" t="s">
        <v>45</v>
      </c>
      <c r="Q2274" t="s">
        <v>47</v>
      </c>
      <c r="R2274" t="s">
        <v>44</v>
      </c>
      <c r="S2274">
        <v>0</v>
      </c>
      <c r="W2274" s="3">
        <v>1.0868055555555556E-2</v>
      </c>
      <c r="X2274" t="s">
        <v>1283</v>
      </c>
      <c r="Y2274">
        <v>3</v>
      </c>
      <c r="Z2274">
        <v>0</v>
      </c>
      <c r="AA2274" t="s">
        <v>49</v>
      </c>
      <c r="AB2274">
        <v>0</v>
      </c>
      <c r="AC2274" t="s">
        <v>49</v>
      </c>
      <c r="AD2274">
        <v>0</v>
      </c>
      <c r="AE2274">
        <v>10535074</v>
      </c>
      <c r="AF2274" t="s">
        <v>50</v>
      </c>
      <c r="AG2274" t="s">
        <v>118</v>
      </c>
    </row>
    <row r="2275" spans="1:33" x14ac:dyDescent="0.35">
      <c r="A2275" s="1">
        <v>44836.634722222225</v>
      </c>
      <c r="B2275">
        <v>6841014</v>
      </c>
      <c r="C2275" t="s">
        <v>4822</v>
      </c>
      <c r="D2275" t="s">
        <v>65</v>
      </c>
      <c r="E2275" s="2">
        <v>44585</v>
      </c>
      <c r="F2275" t="str">
        <f>"9780128217603"</f>
        <v>9780128217603</v>
      </c>
      <c r="G2275" t="str">
        <f>"9780128217504"</f>
        <v>9780128217504</v>
      </c>
      <c r="H2275" t="s">
        <v>579</v>
      </c>
      <c r="I2275">
        <v>629.89200000000005</v>
      </c>
      <c r="J2275" t="s">
        <v>4823</v>
      </c>
      <c r="K2275" t="s">
        <v>55</v>
      </c>
      <c r="Q2275" t="s">
        <v>47</v>
      </c>
      <c r="R2275" t="s">
        <v>44</v>
      </c>
      <c r="S2275">
        <v>0</v>
      </c>
      <c r="W2275" s="3">
        <v>6.4814814814814813E-4</v>
      </c>
      <c r="X2275" t="s">
        <v>4824</v>
      </c>
      <c r="Y2275">
        <v>7</v>
      </c>
      <c r="Z2275">
        <v>0</v>
      </c>
      <c r="AA2275" t="s">
        <v>49</v>
      </c>
      <c r="AB2275">
        <v>0</v>
      </c>
      <c r="AC2275" t="s">
        <v>49</v>
      </c>
      <c r="AD2275">
        <v>0</v>
      </c>
      <c r="AE2275">
        <v>-1</v>
      </c>
      <c r="AF2275" t="s">
        <v>50</v>
      </c>
      <c r="AG2275" t="s">
        <v>118</v>
      </c>
    </row>
    <row r="2276" spans="1:33" x14ac:dyDescent="0.35">
      <c r="A2276" s="1">
        <v>44836.604861111111</v>
      </c>
      <c r="B2276">
        <v>5582864</v>
      </c>
      <c r="C2276" t="s">
        <v>4819</v>
      </c>
      <c r="D2276" t="s">
        <v>76</v>
      </c>
      <c r="E2276" s="2">
        <v>43349</v>
      </c>
      <c r="F2276" t="str">
        <f>"9781351970129"</f>
        <v>9781351970129</v>
      </c>
      <c r="G2276" t="str">
        <f>"9781138290235"</f>
        <v>9781138290235</v>
      </c>
      <c r="H2276" t="s">
        <v>1046</v>
      </c>
      <c r="I2276">
        <v>307.74</v>
      </c>
      <c r="J2276" t="s">
        <v>4820</v>
      </c>
      <c r="K2276" t="s">
        <v>55</v>
      </c>
      <c r="N2276" t="s">
        <v>79</v>
      </c>
      <c r="P2276" t="s">
        <v>80</v>
      </c>
      <c r="Q2276" t="s">
        <v>47</v>
      </c>
      <c r="R2276" t="s">
        <v>44</v>
      </c>
      <c r="S2276">
        <v>1</v>
      </c>
      <c r="T2276">
        <v>90</v>
      </c>
      <c r="U2276" s="1">
        <v>44836.604861111111</v>
      </c>
      <c r="V2276" s="1">
        <v>44926.604861111111</v>
      </c>
      <c r="W2276" s="3">
        <v>2.2569444444444447E-3</v>
      </c>
      <c r="X2276" t="s">
        <v>4825</v>
      </c>
      <c r="Y2276">
        <v>3</v>
      </c>
      <c r="Z2276">
        <v>1</v>
      </c>
      <c r="AA2276" t="s">
        <v>4826</v>
      </c>
      <c r="AB2276">
        <v>38</v>
      </c>
      <c r="AC2276" t="s">
        <v>49</v>
      </c>
      <c r="AD2276">
        <v>0</v>
      </c>
      <c r="AE2276">
        <v>11635654</v>
      </c>
      <c r="AF2276" t="s">
        <v>63</v>
      </c>
      <c r="AG2276" t="s">
        <v>118</v>
      </c>
    </row>
    <row r="2277" spans="1:33" x14ac:dyDescent="0.35">
      <c r="A2277" s="1">
        <v>44836.602777777778</v>
      </c>
      <c r="B2277">
        <v>5582864</v>
      </c>
      <c r="C2277" t="s">
        <v>4819</v>
      </c>
      <c r="D2277" t="s">
        <v>76</v>
      </c>
      <c r="E2277" s="2">
        <v>43349</v>
      </c>
      <c r="F2277" t="str">
        <f>"9781351970129"</f>
        <v>9781351970129</v>
      </c>
      <c r="G2277" t="str">
        <f>"9781138290235"</f>
        <v>9781138290235</v>
      </c>
      <c r="H2277" t="s">
        <v>1046</v>
      </c>
      <c r="I2277">
        <v>307.74</v>
      </c>
      <c r="J2277" t="s">
        <v>4820</v>
      </c>
      <c r="K2277" t="s">
        <v>55</v>
      </c>
      <c r="N2277" t="s">
        <v>79</v>
      </c>
      <c r="P2277" t="s">
        <v>80</v>
      </c>
      <c r="Q2277" t="s">
        <v>47</v>
      </c>
      <c r="R2277" t="s">
        <v>44</v>
      </c>
      <c r="S2277">
        <v>0</v>
      </c>
      <c r="W2277" s="3">
        <v>1.6550925925925926E-3</v>
      </c>
      <c r="X2277" t="s">
        <v>4827</v>
      </c>
      <c r="Y2277">
        <v>6</v>
      </c>
      <c r="Z2277">
        <v>0</v>
      </c>
      <c r="AA2277" t="s">
        <v>49</v>
      </c>
      <c r="AB2277">
        <v>0</v>
      </c>
      <c r="AC2277" t="s">
        <v>49</v>
      </c>
      <c r="AD2277">
        <v>0</v>
      </c>
      <c r="AE2277">
        <v>11635654</v>
      </c>
      <c r="AF2277" t="s">
        <v>63</v>
      </c>
      <c r="AG2277" t="s">
        <v>118</v>
      </c>
    </row>
    <row r="2278" spans="1:33" x14ac:dyDescent="0.35">
      <c r="A2278" s="1">
        <v>44836.587500000001</v>
      </c>
      <c r="B2278">
        <v>4873647</v>
      </c>
      <c r="C2278" t="s">
        <v>4828</v>
      </c>
      <c r="D2278" t="s">
        <v>4829</v>
      </c>
      <c r="E2278" s="2">
        <v>41467</v>
      </c>
      <c r="F2278" t="str">
        <f>"9780738684048"</f>
        <v>9780738684048</v>
      </c>
      <c r="G2278" t="str">
        <f>"9780738611204"</f>
        <v>9780738611204</v>
      </c>
      <c r="H2278" t="s">
        <v>171</v>
      </c>
      <c r="I2278" t="s">
        <v>4830</v>
      </c>
      <c r="J2278" t="s">
        <v>4831</v>
      </c>
      <c r="K2278" t="s">
        <v>44</v>
      </c>
      <c r="N2278" t="s">
        <v>45</v>
      </c>
      <c r="O2278" t="s">
        <v>46</v>
      </c>
      <c r="P2278" t="s">
        <v>45</v>
      </c>
      <c r="Q2278" t="s">
        <v>47</v>
      </c>
      <c r="R2278" t="s">
        <v>44</v>
      </c>
      <c r="S2278">
        <v>1</v>
      </c>
      <c r="W2278" s="3">
        <v>0</v>
      </c>
      <c r="X2278" t="s">
        <v>49</v>
      </c>
      <c r="Y2278">
        <v>0</v>
      </c>
      <c r="Z2278">
        <v>0</v>
      </c>
      <c r="AA2278" t="s">
        <v>49</v>
      </c>
      <c r="AB2278">
        <v>0</v>
      </c>
      <c r="AC2278" t="s">
        <v>49</v>
      </c>
      <c r="AD2278">
        <v>0</v>
      </c>
      <c r="AE2278">
        <v>11395052</v>
      </c>
      <c r="AF2278" t="s">
        <v>63</v>
      </c>
      <c r="AG2278" t="s">
        <v>630</v>
      </c>
    </row>
    <row r="2279" spans="1:33" x14ac:dyDescent="0.35">
      <c r="A2279" s="1">
        <v>44836.585416666669</v>
      </c>
      <c r="B2279">
        <v>4873647</v>
      </c>
      <c r="C2279" t="s">
        <v>4828</v>
      </c>
      <c r="D2279" t="s">
        <v>4829</v>
      </c>
      <c r="E2279" s="2">
        <v>41467</v>
      </c>
      <c r="F2279" t="str">
        <f>"9780738684048"</f>
        <v>9780738684048</v>
      </c>
      <c r="G2279" t="str">
        <f>"9780738611204"</f>
        <v>9780738611204</v>
      </c>
      <c r="H2279" t="s">
        <v>171</v>
      </c>
      <c r="I2279" t="s">
        <v>4830</v>
      </c>
      <c r="J2279" t="s">
        <v>4831</v>
      </c>
      <c r="K2279" t="s">
        <v>44</v>
      </c>
      <c r="N2279" t="s">
        <v>45</v>
      </c>
      <c r="O2279" t="s">
        <v>46</v>
      </c>
      <c r="P2279" t="s">
        <v>45</v>
      </c>
      <c r="Q2279" t="s">
        <v>47</v>
      </c>
      <c r="R2279" t="s">
        <v>44</v>
      </c>
      <c r="S2279">
        <v>0</v>
      </c>
      <c r="W2279" s="3">
        <v>2.2800925925925927E-3</v>
      </c>
      <c r="X2279" t="s">
        <v>4832</v>
      </c>
      <c r="Y2279">
        <v>10</v>
      </c>
      <c r="Z2279">
        <v>0</v>
      </c>
      <c r="AA2279" t="s">
        <v>49</v>
      </c>
      <c r="AB2279">
        <v>0</v>
      </c>
      <c r="AC2279" t="s">
        <v>49</v>
      </c>
      <c r="AD2279">
        <v>0</v>
      </c>
      <c r="AE2279">
        <v>11395052</v>
      </c>
      <c r="AF2279" t="s">
        <v>63</v>
      </c>
      <c r="AG2279" t="s">
        <v>630</v>
      </c>
    </row>
    <row r="2280" spans="1:33" x14ac:dyDescent="0.35">
      <c r="A2280" s="1">
        <v>44836.551388888889</v>
      </c>
      <c r="B2280">
        <v>957290</v>
      </c>
      <c r="C2280" t="s">
        <v>4280</v>
      </c>
      <c r="D2280" t="s">
        <v>76</v>
      </c>
      <c r="E2280" s="2">
        <v>40941</v>
      </c>
      <c r="F2280" t="str">
        <f>"9780203127711"</f>
        <v>9780203127711</v>
      </c>
      <c r="G2280" t="str">
        <f>"9780415895347"</f>
        <v>9780415895347</v>
      </c>
      <c r="H2280" t="s">
        <v>1046</v>
      </c>
      <c r="I2280">
        <v>302.23099999999999</v>
      </c>
      <c r="J2280" t="s">
        <v>4281</v>
      </c>
      <c r="K2280" t="s">
        <v>44</v>
      </c>
      <c r="N2280" t="s">
        <v>45</v>
      </c>
      <c r="O2280" t="s">
        <v>46</v>
      </c>
      <c r="P2280" t="s">
        <v>45</v>
      </c>
      <c r="Q2280" t="s">
        <v>47</v>
      </c>
      <c r="R2280" t="s">
        <v>44</v>
      </c>
      <c r="S2280">
        <v>0</v>
      </c>
      <c r="W2280" s="3">
        <v>1.0416666666666667E-4</v>
      </c>
      <c r="X2280" t="s">
        <v>4833</v>
      </c>
      <c r="Y2280">
        <v>3</v>
      </c>
      <c r="Z2280">
        <v>0</v>
      </c>
      <c r="AA2280" t="s">
        <v>49</v>
      </c>
      <c r="AB2280">
        <v>0</v>
      </c>
      <c r="AC2280" t="s">
        <v>49</v>
      </c>
      <c r="AD2280">
        <v>0</v>
      </c>
      <c r="AE2280">
        <v>10535074</v>
      </c>
      <c r="AF2280" t="s">
        <v>50</v>
      </c>
      <c r="AG2280" t="s">
        <v>1536</v>
      </c>
    </row>
    <row r="2281" spans="1:33" x14ac:dyDescent="0.35">
      <c r="A2281" s="1">
        <v>44836.490972222222</v>
      </c>
      <c r="B2281">
        <v>957290</v>
      </c>
      <c r="C2281" t="s">
        <v>4280</v>
      </c>
      <c r="D2281" t="s">
        <v>76</v>
      </c>
      <c r="E2281" s="2">
        <v>40941</v>
      </c>
      <c r="F2281" t="str">
        <f>"9780203127711"</f>
        <v>9780203127711</v>
      </c>
      <c r="G2281" t="str">
        <f>"9780415895347"</f>
        <v>9780415895347</v>
      </c>
      <c r="H2281" t="s">
        <v>1046</v>
      </c>
      <c r="I2281">
        <v>302.23099999999999</v>
      </c>
      <c r="J2281" t="s">
        <v>4281</v>
      </c>
      <c r="K2281" t="s">
        <v>44</v>
      </c>
      <c r="N2281" t="s">
        <v>45</v>
      </c>
      <c r="O2281" t="s">
        <v>46</v>
      </c>
      <c r="P2281" t="s">
        <v>45</v>
      </c>
      <c r="Q2281" t="s">
        <v>47</v>
      </c>
      <c r="R2281" t="s">
        <v>44</v>
      </c>
      <c r="S2281">
        <v>0</v>
      </c>
      <c r="W2281" s="3">
        <v>2.5462962962962961E-4</v>
      </c>
      <c r="X2281" t="s">
        <v>4834</v>
      </c>
      <c r="Y2281">
        <v>6</v>
      </c>
      <c r="Z2281">
        <v>0</v>
      </c>
      <c r="AA2281" t="s">
        <v>49</v>
      </c>
      <c r="AB2281">
        <v>0</v>
      </c>
      <c r="AC2281" t="s">
        <v>49</v>
      </c>
      <c r="AD2281">
        <v>0</v>
      </c>
      <c r="AE2281">
        <v>10535074</v>
      </c>
      <c r="AF2281" t="s">
        <v>50</v>
      </c>
      <c r="AG2281" t="s">
        <v>835</v>
      </c>
    </row>
    <row r="2282" spans="1:33" x14ac:dyDescent="0.35">
      <c r="A2282" s="1">
        <v>44836.453472222223</v>
      </c>
      <c r="B2282">
        <v>1666495</v>
      </c>
      <c r="C2282" t="s">
        <v>4835</v>
      </c>
      <c r="D2282" t="s">
        <v>59</v>
      </c>
      <c r="E2282" s="2">
        <v>41757</v>
      </c>
      <c r="F2282" t="str">
        <f>"9781118875179"</f>
        <v>9781118875179</v>
      </c>
      <c r="G2282" t="str">
        <f>"9781118875193"</f>
        <v>9781118875193</v>
      </c>
      <c r="H2282" t="s">
        <v>1112</v>
      </c>
      <c r="I2282">
        <v>665.81</v>
      </c>
      <c r="J2282" t="s">
        <v>4836</v>
      </c>
      <c r="K2282" t="s">
        <v>44</v>
      </c>
      <c r="N2282" t="s">
        <v>45</v>
      </c>
      <c r="O2282" t="s">
        <v>46</v>
      </c>
      <c r="P2282" t="s">
        <v>45</v>
      </c>
      <c r="Q2282" t="s">
        <v>47</v>
      </c>
      <c r="R2282" t="s">
        <v>44</v>
      </c>
      <c r="S2282">
        <v>0</v>
      </c>
      <c r="W2282" s="3">
        <v>0</v>
      </c>
      <c r="X2282" t="s">
        <v>49</v>
      </c>
      <c r="Y2282">
        <v>0</v>
      </c>
      <c r="Z2282">
        <v>1</v>
      </c>
      <c r="AA2282" t="s">
        <v>4837</v>
      </c>
      <c r="AB2282">
        <v>20</v>
      </c>
      <c r="AC2282" t="s">
        <v>49</v>
      </c>
      <c r="AD2282">
        <v>0</v>
      </c>
      <c r="AE2282">
        <v>10860970</v>
      </c>
      <c r="AF2282" t="s">
        <v>50</v>
      </c>
      <c r="AG2282" t="s">
        <v>4485</v>
      </c>
    </row>
    <row r="2283" spans="1:33" x14ac:dyDescent="0.35">
      <c r="A2283" s="1">
        <v>44836.40625</v>
      </c>
      <c r="B2283">
        <v>957290</v>
      </c>
      <c r="C2283" t="s">
        <v>4280</v>
      </c>
      <c r="D2283" t="s">
        <v>76</v>
      </c>
      <c r="E2283" s="2">
        <v>40941</v>
      </c>
      <c r="F2283" t="str">
        <f>"9780203127711"</f>
        <v>9780203127711</v>
      </c>
      <c r="G2283" t="str">
        <f>"9780415895347"</f>
        <v>9780415895347</v>
      </c>
      <c r="H2283" t="s">
        <v>1046</v>
      </c>
      <c r="I2283">
        <v>302.23099999999999</v>
      </c>
      <c r="J2283" t="s">
        <v>4281</v>
      </c>
      <c r="K2283" t="s">
        <v>44</v>
      </c>
      <c r="N2283" t="s">
        <v>45</v>
      </c>
      <c r="O2283" t="s">
        <v>46</v>
      </c>
      <c r="P2283" t="s">
        <v>45</v>
      </c>
      <c r="Q2283" t="s">
        <v>47</v>
      </c>
      <c r="R2283" t="s">
        <v>44</v>
      </c>
      <c r="S2283">
        <v>0</v>
      </c>
      <c r="W2283" s="3">
        <v>3.3101851851851851E-3</v>
      </c>
      <c r="X2283" t="s">
        <v>4838</v>
      </c>
      <c r="Y2283">
        <v>14</v>
      </c>
      <c r="Z2283">
        <v>0</v>
      </c>
      <c r="AA2283" t="s">
        <v>49</v>
      </c>
      <c r="AB2283">
        <v>0</v>
      </c>
      <c r="AC2283" t="s">
        <v>49</v>
      </c>
      <c r="AD2283">
        <v>0</v>
      </c>
      <c r="AE2283">
        <v>10535074</v>
      </c>
      <c r="AF2283" t="s">
        <v>50</v>
      </c>
      <c r="AG2283" t="s">
        <v>1536</v>
      </c>
    </row>
    <row r="2284" spans="1:33" x14ac:dyDescent="0.35">
      <c r="A2284" s="1">
        <v>44835.987500000003</v>
      </c>
      <c r="B2284">
        <v>4530240</v>
      </c>
      <c r="C2284" t="s">
        <v>1361</v>
      </c>
      <c r="D2284" t="s">
        <v>213</v>
      </c>
      <c r="E2284" s="2">
        <v>41703</v>
      </c>
      <c r="F2284" t="str">
        <f>"9780080994192"</f>
        <v>9780080994192</v>
      </c>
      <c r="G2284" t="str">
        <f>"9780080994178"</f>
        <v>9780080994178</v>
      </c>
      <c r="H2284" t="s">
        <v>4839</v>
      </c>
      <c r="I2284">
        <v>670.72</v>
      </c>
      <c r="J2284" t="s">
        <v>4840</v>
      </c>
      <c r="K2284" t="s">
        <v>44</v>
      </c>
      <c r="N2284" t="s">
        <v>45</v>
      </c>
      <c r="O2284" t="s">
        <v>46</v>
      </c>
      <c r="P2284" t="s">
        <v>45</v>
      </c>
      <c r="Q2284" t="s">
        <v>47</v>
      </c>
      <c r="R2284" t="s">
        <v>44</v>
      </c>
      <c r="S2284">
        <v>2</v>
      </c>
      <c r="W2284" s="3">
        <v>0</v>
      </c>
      <c r="X2284" t="s">
        <v>49</v>
      </c>
      <c r="Y2284">
        <v>0</v>
      </c>
      <c r="Z2284">
        <v>0</v>
      </c>
      <c r="AA2284" t="s">
        <v>49</v>
      </c>
      <c r="AB2284">
        <v>0</v>
      </c>
      <c r="AC2284" t="s">
        <v>49</v>
      </c>
      <c r="AD2284">
        <v>0</v>
      </c>
      <c r="AE2284">
        <v>11233279</v>
      </c>
      <c r="AF2284" t="s">
        <v>63</v>
      </c>
      <c r="AG2284" t="s">
        <v>4841</v>
      </c>
    </row>
    <row r="2285" spans="1:33" x14ac:dyDescent="0.35">
      <c r="A2285" s="1">
        <v>44835.959722222222</v>
      </c>
      <c r="B2285">
        <v>957290</v>
      </c>
      <c r="C2285" t="s">
        <v>4280</v>
      </c>
      <c r="D2285" t="s">
        <v>76</v>
      </c>
      <c r="E2285" s="2">
        <v>40941</v>
      </c>
      <c r="F2285" t="str">
        <f>"9780203127711"</f>
        <v>9780203127711</v>
      </c>
      <c r="G2285" t="str">
        <f>"9780415895347"</f>
        <v>9780415895347</v>
      </c>
      <c r="H2285" t="s">
        <v>1046</v>
      </c>
      <c r="I2285">
        <v>302.23099999999999</v>
      </c>
      <c r="J2285" t="s">
        <v>4281</v>
      </c>
      <c r="K2285" t="s">
        <v>44</v>
      </c>
      <c r="N2285" t="s">
        <v>45</v>
      </c>
      <c r="O2285" t="s">
        <v>46</v>
      </c>
      <c r="P2285" t="s">
        <v>45</v>
      </c>
      <c r="Q2285" t="s">
        <v>47</v>
      </c>
      <c r="R2285" t="s">
        <v>44</v>
      </c>
      <c r="S2285">
        <v>0</v>
      </c>
      <c r="W2285" s="3">
        <v>5.5555555555555556E-4</v>
      </c>
      <c r="X2285" t="s">
        <v>4842</v>
      </c>
      <c r="Y2285">
        <v>8</v>
      </c>
      <c r="Z2285">
        <v>0</v>
      </c>
      <c r="AA2285" t="s">
        <v>49</v>
      </c>
      <c r="AB2285">
        <v>0</v>
      </c>
      <c r="AC2285" t="s">
        <v>49</v>
      </c>
      <c r="AD2285">
        <v>0</v>
      </c>
      <c r="AE2285">
        <v>10535074</v>
      </c>
      <c r="AF2285" t="s">
        <v>50</v>
      </c>
      <c r="AG2285" t="s">
        <v>118</v>
      </c>
    </row>
    <row r="2286" spans="1:33" x14ac:dyDescent="0.35">
      <c r="A2286" s="1">
        <v>44835.854166666664</v>
      </c>
      <c r="B2286">
        <v>6384530</v>
      </c>
      <c r="C2286" t="s">
        <v>4843</v>
      </c>
      <c r="D2286" t="s">
        <v>105</v>
      </c>
      <c r="E2286" s="2">
        <v>44139</v>
      </c>
      <c r="F2286" t="str">
        <f>"9783030593247"</f>
        <v>9783030593247</v>
      </c>
      <c r="G2286" t="str">
        <f>"9783030593230"</f>
        <v>9783030593230</v>
      </c>
      <c r="H2286" t="s">
        <v>171</v>
      </c>
      <c r="I2286">
        <v>418.00709999999998</v>
      </c>
      <c r="J2286" t="s">
        <v>4844</v>
      </c>
      <c r="K2286" t="s">
        <v>55</v>
      </c>
      <c r="Q2286" t="s">
        <v>47</v>
      </c>
      <c r="R2286" t="s">
        <v>44</v>
      </c>
      <c r="S2286">
        <v>0</v>
      </c>
      <c r="W2286" s="3">
        <v>4.2824074074074075E-3</v>
      </c>
      <c r="X2286" t="s">
        <v>4845</v>
      </c>
      <c r="Y2286">
        <v>8</v>
      </c>
      <c r="Z2286">
        <v>0</v>
      </c>
      <c r="AA2286" t="s">
        <v>49</v>
      </c>
      <c r="AB2286">
        <v>0</v>
      </c>
      <c r="AC2286" t="s">
        <v>49</v>
      </c>
      <c r="AD2286">
        <v>0</v>
      </c>
      <c r="AE2286">
        <v>-1</v>
      </c>
      <c r="AF2286" t="s">
        <v>63</v>
      </c>
      <c r="AG2286" t="s">
        <v>528</v>
      </c>
    </row>
    <row r="2287" spans="1:33" x14ac:dyDescent="0.35">
      <c r="A2287" s="1">
        <v>44835.854166666664</v>
      </c>
      <c r="B2287">
        <v>957290</v>
      </c>
      <c r="C2287" t="s">
        <v>4280</v>
      </c>
      <c r="D2287" t="s">
        <v>76</v>
      </c>
      <c r="E2287" s="2">
        <v>40941</v>
      </c>
      <c r="F2287" t="str">
        <f>"9780203127711"</f>
        <v>9780203127711</v>
      </c>
      <c r="G2287" t="str">
        <f>"9780415895347"</f>
        <v>9780415895347</v>
      </c>
      <c r="H2287" t="s">
        <v>1046</v>
      </c>
      <c r="I2287">
        <v>302.23099999999999</v>
      </c>
      <c r="J2287" t="s">
        <v>4281</v>
      </c>
      <c r="K2287" t="s">
        <v>44</v>
      </c>
      <c r="N2287" t="s">
        <v>45</v>
      </c>
      <c r="O2287" t="s">
        <v>46</v>
      </c>
      <c r="P2287" t="s">
        <v>45</v>
      </c>
      <c r="Q2287" t="s">
        <v>47</v>
      </c>
      <c r="R2287" t="s">
        <v>44</v>
      </c>
      <c r="S2287">
        <v>0</v>
      </c>
      <c r="W2287" s="3">
        <v>1.7361111111111112E-4</v>
      </c>
      <c r="X2287" t="s">
        <v>4846</v>
      </c>
      <c r="Y2287">
        <v>4</v>
      </c>
      <c r="Z2287">
        <v>0</v>
      </c>
      <c r="AA2287" t="s">
        <v>49</v>
      </c>
      <c r="AB2287">
        <v>0</v>
      </c>
      <c r="AC2287" t="s">
        <v>49</v>
      </c>
      <c r="AD2287">
        <v>0</v>
      </c>
      <c r="AE2287">
        <v>10535074</v>
      </c>
      <c r="AF2287" t="s">
        <v>50</v>
      </c>
      <c r="AG2287" t="s">
        <v>264</v>
      </c>
    </row>
    <row r="2288" spans="1:33" x14ac:dyDescent="0.35">
      <c r="A2288" s="1">
        <v>44835.849305555559</v>
      </c>
      <c r="B2288">
        <v>957290</v>
      </c>
      <c r="C2288" t="s">
        <v>4280</v>
      </c>
      <c r="D2288" t="s">
        <v>76</v>
      </c>
      <c r="E2288" s="2">
        <v>40941</v>
      </c>
      <c r="F2288" t="str">
        <f>"9780203127711"</f>
        <v>9780203127711</v>
      </c>
      <c r="G2288" t="str">
        <f>"9780415895347"</f>
        <v>9780415895347</v>
      </c>
      <c r="H2288" t="s">
        <v>1046</v>
      </c>
      <c r="I2288">
        <v>302.23099999999999</v>
      </c>
      <c r="J2288" t="s">
        <v>4281</v>
      </c>
      <c r="K2288" t="s">
        <v>44</v>
      </c>
      <c r="N2288" t="s">
        <v>45</v>
      </c>
      <c r="O2288" t="s">
        <v>46</v>
      </c>
      <c r="P2288" t="s">
        <v>45</v>
      </c>
      <c r="Q2288" t="s">
        <v>47</v>
      </c>
      <c r="R2288" t="s">
        <v>44</v>
      </c>
      <c r="S2288">
        <v>0</v>
      </c>
      <c r="W2288" s="3">
        <v>3.8425925925925923E-3</v>
      </c>
      <c r="X2288" t="s">
        <v>4847</v>
      </c>
      <c r="Y2288">
        <v>8</v>
      </c>
      <c r="Z2288">
        <v>0</v>
      </c>
      <c r="AA2288" t="s">
        <v>49</v>
      </c>
      <c r="AB2288">
        <v>0</v>
      </c>
      <c r="AC2288" t="s">
        <v>49</v>
      </c>
      <c r="AD2288">
        <v>0</v>
      </c>
      <c r="AE2288">
        <v>10535074</v>
      </c>
      <c r="AF2288" t="s">
        <v>50</v>
      </c>
      <c r="AG2288" t="s">
        <v>118</v>
      </c>
    </row>
    <row r="2289" spans="1:33" x14ac:dyDescent="0.35">
      <c r="A2289" s="1">
        <v>44835.821527777778</v>
      </c>
      <c r="B2289">
        <v>957290</v>
      </c>
      <c r="C2289" t="s">
        <v>4280</v>
      </c>
      <c r="D2289" t="s">
        <v>76</v>
      </c>
      <c r="E2289" s="2">
        <v>40941</v>
      </c>
      <c r="F2289" t="str">
        <f>"9780203127711"</f>
        <v>9780203127711</v>
      </c>
      <c r="G2289" t="str">
        <f>"9780415895347"</f>
        <v>9780415895347</v>
      </c>
      <c r="H2289" t="s">
        <v>1046</v>
      </c>
      <c r="I2289">
        <v>302.23099999999999</v>
      </c>
      <c r="J2289" t="s">
        <v>4281</v>
      </c>
      <c r="K2289" t="s">
        <v>44</v>
      </c>
      <c r="N2289" t="s">
        <v>45</v>
      </c>
      <c r="O2289" t="s">
        <v>46</v>
      </c>
      <c r="P2289" t="s">
        <v>45</v>
      </c>
      <c r="Q2289" t="s">
        <v>47</v>
      </c>
      <c r="R2289" t="s">
        <v>44</v>
      </c>
      <c r="S2289">
        <v>0</v>
      </c>
      <c r="W2289" s="3">
        <v>9.4907407407407406E-3</v>
      </c>
      <c r="X2289" t="s">
        <v>4848</v>
      </c>
      <c r="Y2289">
        <v>9</v>
      </c>
      <c r="Z2289">
        <v>0</v>
      </c>
      <c r="AA2289" t="s">
        <v>49</v>
      </c>
      <c r="AB2289">
        <v>0</v>
      </c>
      <c r="AC2289" t="s">
        <v>49</v>
      </c>
      <c r="AD2289">
        <v>0</v>
      </c>
      <c r="AE2289">
        <v>10535074</v>
      </c>
      <c r="AF2289" t="s">
        <v>50</v>
      </c>
      <c r="AG2289" t="s">
        <v>264</v>
      </c>
    </row>
    <row r="2290" spans="1:33" x14ac:dyDescent="0.35">
      <c r="A2290" s="1">
        <v>44835.80972222222</v>
      </c>
      <c r="B2290">
        <v>957290</v>
      </c>
      <c r="C2290" t="s">
        <v>4280</v>
      </c>
      <c r="D2290" t="s">
        <v>76</v>
      </c>
      <c r="E2290" s="2">
        <v>40941</v>
      </c>
      <c r="F2290" t="str">
        <f>"9780203127711"</f>
        <v>9780203127711</v>
      </c>
      <c r="G2290" t="str">
        <f>"9780415895347"</f>
        <v>9780415895347</v>
      </c>
      <c r="H2290" t="s">
        <v>1046</v>
      </c>
      <c r="I2290">
        <v>302.23099999999999</v>
      </c>
      <c r="J2290" t="s">
        <v>4281</v>
      </c>
      <c r="K2290" t="s">
        <v>44</v>
      </c>
      <c r="N2290" t="s">
        <v>45</v>
      </c>
      <c r="O2290" t="s">
        <v>46</v>
      </c>
      <c r="P2290" t="s">
        <v>45</v>
      </c>
      <c r="Q2290" t="s">
        <v>47</v>
      </c>
      <c r="R2290" t="s">
        <v>44</v>
      </c>
      <c r="S2290">
        <v>0</v>
      </c>
      <c r="W2290" s="3">
        <v>4.6296296296296294E-5</v>
      </c>
      <c r="X2290" t="s">
        <v>196</v>
      </c>
      <c r="Y2290">
        <v>2</v>
      </c>
      <c r="Z2290">
        <v>0</v>
      </c>
      <c r="AA2290" t="s">
        <v>49</v>
      </c>
      <c r="AB2290">
        <v>0</v>
      </c>
      <c r="AC2290" t="s">
        <v>49</v>
      </c>
      <c r="AD2290">
        <v>0</v>
      </c>
      <c r="AE2290">
        <v>10535074</v>
      </c>
      <c r="AF2290" t="s">
        <v>50</v>
      </c>
      <c r="AG2290" t="s">
        <v>1536</v>
      </c>
    </row>
    <row r="2291" spans="1:33" x14ac:dyDescent="0.35">
      <c r="A2291" s="1">
        <v>44835.802083333336</v>
      </c>
      <c r="B2291">
        <v>957290</v>
      </c>
      <c r="C2291" t="s">
        <v>4280</v>
      </c>
      <c r="D2291" t="s">
        <v>76</v>
      </c>
      <c r="E2291" s="2">
        <v>40941</v>
      </c>
      <c r="F2291" t="str">
        <f>"9780203127711"</f>
        <v>9780203127711</v>
      </c>
      <c r="G2291" t="str">
        <f>"9780415895347"</f>
        <v>9780415895347</v>
      </c>
      <c r="H2291" t="s">
        <v>1046</v>
      </c>
      <c r="I2291">
        <v>302.23099999999999</v>
      </c>
      <c r="J2291" t="s">
        <v>4281</v>
      </c>
      <c r="K2291" t="s">
        <v>44</v>
      </c>
      <c r="N2291" t="s">
        <v>45</v>
      </c>
      <c r="O2291" t="s">
        <v>46</v>
      </c>
      <c r="P2291" t="s">
        <v>45</v>
      </c>
      <c r="Q2291" t="s">
        <v>47</v>
      </c>
      <c r="R2291" t="s">
        <v>44</v>
      </c>
      <c r="S2291">
        <v>0</v>
      </c>
      <c r="W2291" s="3">
        <v>3.2407407407407406E-4</v>
      </c>
      <c r="X2291" t="s">
        <v>4849</v>
      </c>
      <c r="Y2291">
        <v>7</v>
      </c>
      <c r="Z2291">
        <v>0</v>
      </c>
      <c r="AA2291" t="s">
        <v>49</v>
      </c>
      <c r="AB2291">
        <v>0</v>
      </c>
      <c r="AC2291" t="s">
        <v>49</v>
      </c>
      <c r="AD2291">
        <v>0</v>
      </c>
      <c r="AE2291">
        <v>10535074</v>
      </c>
      <c r="AF2291" t="s">
        <v>50</v>
      </c>
      <c r="AG2291" t="s">
        <v>118</v>
      </c>
    </row>
    <row r="2292" spans="1:33" x14ac:dyDescent="0.35">
      <c r="A2292" s="1">
        <v>44835.786805555559</v>
      </c>
      <c r="B2292">
        <v>318289</v>
      </c>
      <c r="C2292" t="s">
        <v>4850</v>
      </c>
      <c r="D2292" t="s">
        <v>65</v>
      </c>
      <c r="E2292" s="2">
        <v>38336</v>
      </c>
      <c r="F2292" t="str">
        <f>"9780080541419"</f>
        <v>9780080541419</v>
      </c>
      <c r="G2292" t="str">
        <f>"9781856174572"</f>
        <v>9781856174572</v>
      </c>
      <c r="H2292" t="s">
        <v>542</v>
      </c>
      <c r="I2292">
        <v>621.31244000000004</v>
      </c>
      <c r="J2292" t="s">
        <v>4851</v>
      </c>
      <c r="K2292" t="s">
        <v>55</v>
      </c>
      <c r="N2292" t="s">
        <v>79</v>
      </c>
      <c r="P2292" t="s">
        <v>80</v>
      </c>
      <c r="Q2292" t="s">
        <v>47</v>
      </c>
      <c r="R2292" t="s">
        <v>44</v>
      </c>
      <c r="S2292">
        <v>0</v>
      </c>
      <c r="W2292" s="3">
        <v>7.4421296296296293E-3</v>
      </c>
      <c r="X2292" t="s">
        <v>4852</v>
      </c>
      <c r="Y2292">
        <v>13</v>
      </c>
      <c r="Z2292">
        <v>1</v>
      </c>
      <c r="AA2292" t="s">
        <v>4853</v>
      </c>
      <c r="AB2292">
        <v>1</v>
      </c>
      <c r="AC2292" t="s">
        <v>49</v>
      </c>
      <c r="AD2292">
        <v>0</v>
      </c>
      <c r="AE2292">
        <v>10203610</v>
      </c>
      <c r="AF2292" t="s">
        <v>50</v>
      </c>
      <c r="AG2292" t="s">
        <v>118</v>
      </c>
    </row>
    <row r="2293" spans="1:33" x14ac:dyDescent="0.35">
      <c r="A2293" s="1">
        <v>44835.75</v>
      </c>
      <c r="B2293">
        <v>957290</v>
      </c>
      <c r="C2293" t="s">
        <v>4280</v>
      </c>
      <c r="D2293" t="s">
        <v>76</v>
      </c>
      <c r="E2293" s="2">
        <v>40941</v>
      </c>
      <c r="F2293" t="str">
        <f>"9780203127711"</f>
        <v>9780203127711</v>
      </c>
      <c r="G2293" t="str">
        <f>"9780415895347"</f>
        <v>9780415895347</v>
      </c>
      <c r="H2293" t="s">
        <v>1046</v>
      </c>
      <c r="I2293">
        <v>302.23099999999999</v>
      </c>
      <c r="J2293" t="s">
        <v>4281</v>
      </c>
      <c r="K2293" t="s">
        <v>44</v>
      </c>
      <c r="N2293" t="s">
        <v>45</v>
      </c>
      <c r="O2293" t="s">
        <v>46</v>
      </c>
      <c r="P2293" t="s">
        <v>45</v>
      </c>
      <c r="Q2293" t="s">
        <v>47</v>
      </c>
      <c r="R2293" t="s">
        <v>44</v>
      </c>
      <c r="S2293">
        <v>0</v>
      </c>
      <c r="W2293" s="3">
        <v>3.0092592592592595E-4</v>
      </c>
      <c r="X2293" t="s">
        <v>4854</v>
      </c>
      <c r="Y2293">
        <v>6</v>
      </c>
      <c r="Z2293">
        <v>0</v>
      </c>
      <c r="AA2293" t="s">
        <v>49</v>
      </c>
      <c r="AB2293">
        <v>0</v>
      </c>
      <c r="AC2293" t="s">
        <v>49</v>
      </c>
      <c r="AD2293">
        <v>0</v>
      </c>
      <c r="AE2293">
        <v>10535074</v>
      </c>
      <c r="AF2293" t="s">
        <v>50</v>
      </c>
      <c r="AG2293" t="s">
        <v>118</v>
      </c>
    </row>
    <row r="2294" spans="1:33" x14ac:dyDescent="0.35">
      <c r="A2294" s="1">
        <v>44835.713194444441</v>
      </c>
      <c r="B2294">
        <v>957290</v>
      </c>
      <c r="C2294" t="s">
        <v>4280</v>
      </c>
      <c r="D2294" t="s">
        <v>76</v>
      </c>
      <c r="E2294" s="2">
        <v>40941</v>
      </c>
      <c r="F2294" t="str">
        <f>"9780203127711"</f>
        <v>9780203127711</v>
      </c>
      <c r="G2294" t="str">
        <f>"9780415895347"</f>
        <v>9780415895347</v>
      </c>
      <c r="H2294" t="s">
        <v>1046</v>
      </c>
      <c r="I2294">
        <v>302.23099999999999</v>
      </c>
      <c r="J2294" t="s">
        <v>4281</v>
      </c>
      <c r="K2294" t="s">
        <v>44</v>
      </c>
      <c r="N2294" t="s">
        <v>45</v>
      </c>
      <c r="O2294" t="s">
        <v>46</v>
      </c>
      <c r="P2294" t="s">
        <v>45</v>
      </c>
      <c r="Q2294" t="s">
        <v>47</v>
      </c>
      <c r="R2294" t="s">
        <v>44</v>
      </c>
      <c r="S2294">
        <v>0</v>
      </c>
      <c r="W2294" s="3">
        <v>8.3333333333333339E-4</v>
      </c>
      <c r="X2294" t="s">
        <v>4855</v>
      </c>
      <c r="Y2294">
        <v>4</v>
      </c>
      <c r="Z2294">
        <v>0</v>
      </c>
      <c r="AA2294" t="s">
        <v>49</v>
      </c>
      <c r="AB2294">
        <v>0</v>
      </c>
      <c r="AC2294" t="s">
        <v>49</v>
      </c>
      <c r="AD2294">
        <v>0</v>
      </c>
      <c r="AE2294">
        <v>10535074</v>
      </c>
      <c r="AF2294" t="s">
        <v>50</v>
      </c>
      <c r="AG2294" t="s">
        <v>4622</v>
      </c>
    </row>
    <row r="2295" spans="1:33" x14ac:dyDescent="0.35">
      <c r="A2295" s="1">
        <v>44835.69027777778</v>
      </c>
      <c r="B2295">
        <v>957290</v>
      </c>
      <c r="C2295" t="s">
        <v>4280</v>
      </c>
      <c r="D2295" t="s">
        <v>76</v>
      </c>
      <c r="E2295" s="2">
        <v>40941</v>
      </c>
      <c r="F2295" t="str">
        <f>"9780203127711"</f>
        <v>9780203127711</v>
      </c>
      <c r="G2295" t="str">
        <f>"9780415895347"</f>
        <v>9780415895347</v>
      </c>
      <c r="H2295" t="s">
        <v>1046</v>
      </c>
      <c r="I2295">
        <v>302.23099999999999</v>
      </c>
      <c r="J2295" t="s">
        <v>4281</v>
      </c>
      <c r="K2295" t="s">
        <v>44</v>
      </c>
      <c r="N2295" t="s">
        <v>45</v>
      </c>
      <c r="O2295" t="s">
        <v>46</v>
      </c>
      <c r="P2295" t="s">
        <v>45</v>
      </c>
      <c r="Q2295" t="s">
        <v>47</v>
      </c>
      <c r="R2295" t="s">
        <v>44</v>
      </c>
      <c r="S2295">
        <v>0</v>
      </c>
      <c r="W2295" s="3">
        <v>2.8472222222222219E-3</v>
      </c>
      <c r="X2295" t="s">
        <v>4856</v>
      </c>
      <c r="Y2295">
        <v>4</v>
      </c>
      <c r="Z2295">
        <v>0</v>
      </c>
      <c r="AA2295" t="s">
        <v>49</v>
      </c>
      <c r="AB2295">
        <v>0</v>
      </c>
      <c r="AC2295" t="s">
        <v>49</v>
      </c>
      <c r="AD2295">
        <v>0</v>
      </c>
      <c r="AE2295">
        <v>10535074</v>
      </c>
      <c r="AF2295" t="s">
        <v>50</v>
      </c>
      <c r="AG2295" t="s">
        <v>118</v>
      </c>
    </row>
    <row r="2296" spans="1:33" x14ac:dyDescent="0.35">
      <c r="A2296" s="1">
        <v>44835.635416666664</v>
      </c>
      <c r="B2296">
        <v>297067</v>
      </c>
      <c r="C2296" t="s">
        <v>4857</v>
      </c>
      <c r="D2296" t="s">
        <v>65</v>
      </c>
      <c r="E2296" s="2">
        <v>38169</v>
      </c>
      <c r="F2296" t="str">
        <f>"9780080495323"</f>
        <v>9780080495323</v>
      </c>
      <c r="G2296" t="str">
        <f>"9780126568813"</f>
        <v>9780126568813</v>
      </c>
      <c r="H2296" t="s">
        <v>116</v>
      </c>
      <c r="I2296" t="s">
        <v>4858</v>
      </c>
      <c r="J2296" t="s">
        <v>4859</v>
      </c>
      <c r="K2296" t="s">
        <v>44</v>
      </c>
      <c r="N2296" t="s">
        <v>45</v>
      </c>
      <c r="O2296" t="s">
        <v>46</v>
      </c>
      <c r="P2296" t="s">
        <v>45</v>
      </c>
      <c r="Q2296" t="s">
        <v>47</v>
      </c>
      <c r="R2296" t="s">
        <v>44</v>
      </c>
      <c r="S2296">
        <v>0</v>
      </c>
      <c r="W2296" s="3">
        <v>1.0439814814814813E-2</v>
      </c>
      <c r="X2296" t="s">
        <v>4860</v>
      </c>
      <c r="Y2296">
        <v>4</v>
      </c>
      <c r="Z2296">
        <v>0</v>
      </c>
      <c r="AA2296" t="s">
        <v>49</v>
      </c>
      <c r="AB2296">
        <v>0</v>
      </c>
      <c r="AC2296" t="s">
        <v>49</v>
      </c>
      <c r="AD2296">
        <v>0</v>
      </c>
      <c r="AE2296">
        <v>10180406</v>
      </c>
      <c r="AF2296" t="s">
        <v>50</v>
      </c>
      <c r="AG2296" t="s">
        <v>264</v>
      </c>
    </row>
    <row r="2297" spans="1:33" x14ac:dyDescent="0.35">
      <c r="A2297" s="1">
        <v>44835.606944444444</v>
      </c>
      <c r="B2297">
        <v>957290</v>
      </c>
      <c r="C2297" t="s">
        <v>4280</v>
      </c>
      <c r="D2297" t="s">
        <v>76</v>
      </c>
      <c r="E2297" s="2">
        <v>40941</v>
      </c>
      <c r="F2297" t="str">
        <f>"9780203127711"</f>
        <v>9780203127711</v>
      </c>
      <c r="G2297" t="str">
        <f>"9780415895347"</f>
        <v>9780415895347</v>
      </c>
      <c r="H2297" t="s">
        <v>1046</v>
      </c>
      <c r="I2297">
        <v>302.23099999999999</v>
      </c>
      <c r="J2297" t="s">
        <v>4281</v>
      </c>
      <c r="K2297" t="s">
        <v>44</v>
      </c>
      <c r="N2297" t="s">
        <v>45</v>
      </c>
      <c r="O2297" t="s">
        <v>46</v>
      </c>
      <c r="P2297" t="s">
        <v>45</v>
      </c>
      <c r="Q2297" t="s">
        <v>47</v>
      </c>
      <c r="R2297" t="s">
        <v>44</v>
      </c>
      <c r="S2297">
        <v>0</v>
      </c>
      <c r="W2297" s="3">
        <v>7.9398148148148145E-3</v>
      </c>
      <c r="X2297" t="s">
        <v>4861</v>
      </c>
      <c r="Y2297">
        <v>24</v>
      </c>
      <c r="Z2297">
        <v>0</v>
      </c>
      <c r="AA2297" t="s">
        <v>49</v>
      </c>
      <c r="AB2297">
        <v>0</v>
      </c>
      <c r="AC2297" t="s">
        <v>4862</v>
      </c>
      <c r="AD2297">
        <v>6</v>
      </c>
      <c r="AE2297">
        <v>10535074</v>
      </c>
      <c r="AF2297" t="s">
        <v>50</v>
      </c>
      <c r="AG2297" t="s">
        <v>1536</v>
      </c>
    </row>
    <row r="2298" spans="1:33" x14ac:dyDescent="0.35">
      <c r="A2298" s="1">
        <v>44835.6</v>
      </c>
      <c r="B2298">
        <v>6739185</v>
      </c>
      <c r="C2298" t="s">
        <v>4863</v>
      </c>
      <c r="D2298" t="s">
        <v>213</v>
      </c>
      <c r="E2298" s="2">
        <v>44477</v>
      </c>
      <c r="F2298" t="str">
        <f>"9780128232590"</f>
        <v>9780128232590</v>
      </c>
      <c r="G2298" t="str">
        <f>"9780128220542"</f>
        <v>9780128220542</v>
      </c>
      <c r="H2298" t="s">
        <v>2373</v>
      </c>
      <c r="I2298">
        <v>621.48339999999996</v>
      </c>
      <c r="J2298" t="s">
        <v>4864</v>
      </c>
      <c r="K2298" t="s">
        <v>55</v>
      </c>
      <c r="Q2298" t="s">
        <v>47</v>
      </c>
      <c r="R2298" t="s">
        <v>44</v>
      </c>
      <c r="S2298">
        <v>0</v>
      </c>
      <c r="W2298" s="3">
        <v>4.6759259259259263E-3</v>
      </c>
      <c r="X2298" t="s">
        <v>4865</v>
      </c>
      <c r="Y2298">
        <v>22</v>
      </c>
      <c r="Z2298">
        <v>0</v>
      </c>
      <c r="AA2298" t="s">
        <v>49</v>
      </c>
      <c r="AB2298">
        <v>0</v>
      </c>
      <c r="AC2298" t="s">
        <v>49</v>
      </c>
      <c r="AD2298">
        <v>0</v>
      </c>
      <c r="AE2298">
        <v>-1</v>
      </c>
      <c r="AF2298" t="s">
        <v>50</v>
      </c>
      <c r="AG2298" t="s">
        <v>118</v>
      </c>
    </row>
    <row r="2299" spans="1:33" x14ac:dyDescent="0.35">
      <c r="A2299" s="1">
        <v>44835.275000000001</v>
      </c>
      <c r="B2299">
        <v>957290</v>
      </c>
      <c r="C2299" t="s">
        <v>4280</v>
      </c>
      <c r="D2299" t="s">
        <v>76</v>
      </c>
      <c r="E2299" s="2">
        <v>40941</v>
      </c>
      <c r="F2299" t="str">
        <f>"9780203127711"</f>
        <v>9780203127711</v>
      </c>
      <c r="G2299" t="str">
        <f>"9780415895347"</f>
        <v>9780415895347</v>
      </c>
      <c r="H2299" t="s">
        <v>1046</v>
      </c>
      <c r="I2299">
        <v>302.23099999999999</v>
      </c>
      <c r="J2299" t="s">
        <v>4281</v>
      </c>
      <c r="K2299" t="s">
        <v>44</v>
      </c>
      <c r="N2299" t="s">
        <v>45</v>
      </c>
      <c r="O2299" t="s">
        <v>46</v>
      </c>
      <c r="P2299" t="s">
        <v>45</v>
      </c>
      <c r="Q2299" t="s">
        <v>47</v>
      </c>
      <c r="R2299" t="s">
        <v>44</v>
      </c>
      <c r="S2299">
        <v>0</v>
      </c>
      <c r="W2299" s="3">
        <v>3.4722222222222222E-5</v>
      </c>
      <c r="X2299" t="s">
        <v>121</v>
      </c>
      <c r="Y2299">
        <v>1</v>
      </c>
      <c r="Z2299">
        <v>0</v>
      </c>
      <c r="AA2299" t="s">
        <v>49</v>
      </c>
      <c r="AB2299">
        <v>0</v>
      </c>
      <c r="AC2299" t="s">
        <v>49</v>
      </c>
      <c r="AD2299">
        <v>0</v>
      </c>
      <c r="AE2299">
        <v>10535074</v>
      </c>
      <c r="AF2299" t="s">
        <v>50</v>
      </c>
      <c r="AG2299" t="s">
        <v>4485</v>
      </c>
    </row>
    <row r="2300" spans="1:33" x14ac:dyDescent="0.35">
      <c r="A2300" s="1">
        <v>44835.088194444441</v>
      </c>
      <c r="B2300">
        <v>5760861</v>
      </c>
      <c r="C2300" t="s">
        <v>4866</v>
      </c>
      <c r="D2300" t="s">
        <v>76</v>
      </c>
      <c r="E2300" s="2">
        <v>43599</v>
      </c>
      <c r="F2300" t="str">
        <f>"9781351239493"</f>
        <v>9781351239493</v>
      </c>
      <c r="G2300" t="str">
        <f>"9780815375616"</f>
        <v>9780815375616</v>
      </c>
      <c r="H2300" t="s">
        <v>60</v>
      </c>
      <c r="I2300">
        <v>658.72</v>
      </c>
      <c r="J2300" t="s">
        <v>4867</v>
      </c>
      <c r="K2300" t="s">
        <v>55</v>
      </c>
      <c r="Q2300" t="s">
        <v>47</v>
      </c>
      <c r="R2300" t="s">
        <v>44</v>
      </c>
      <c r="S2300">
        <v>0</v>
      </c>
      <c r="W2300" s="3">
        <v>6.3657407407407402E-4</v>
      </c>
      <c r="X2300" t="s">
        <v>4868</v>
      </c>
      <c r="Y2300">
        <v>10</v>
      </c>
      <c r="Z2300">
        <v>0</v>
      </c>
      <c r="AA2300" t="s">
        <v>49</v>
      </c>
      <c r="AB2300">
        <v>0</v>
      </c>
      <c r="AC2300" t="s">
        <v>49</v>
      </c>
      <c r="AD2300">
        <v>0</v>
      </c>
      <c r="AE2300">
        <v>-1</v>
      </c>
      <c r="AF2300" t="s">
        <v>50</v>
      </c>
      <c r="AG2300" t="s">
        <v>118</v>
      </c>
    </row>
    <row r="2301" spans="1:33" x14ac:dyDescent="0.35">
      <c r="A2301" s="1">
        <v>44835.059027777781</v>
      </c>
      <c r="B2301">
        <v>5760861</v>
      </c>
      <c r="C2301" t="s">
        <v>4866</v>
      </c>
      <c r="D2301" t="s">
        <v>76</v>
      </c>
      <c r="E2301" s="2">
        <v>43599</v>
      </c>
      <c r="F2301" t="str">
        <f>"9781351239493"</f>
        <v>9781351239493</v>
      </c>
      <c r="G2301" t="str">
        <f>"9780815375616"</f>
        <v>9780815375616</v>
      </c>
      <c r="H2301" t="s">
        <v>60</v>
      </c>
      <c r="I2301">
        <v>658.72</v>
      </c>
      <c r="J2301" t="s">
        <v>4867</v>
      </c>
      <c r="K2301" t="s">
        <v>55</v>
      </c>
      <c r="Q2301" t="s">
        <v>47</v>
      </c>
      <c r="R2301" t="s">
        <v>44</v>
      </c>
      <c r="S2301">
        <v>0</v>
      </c>
      <c r="W2301" s="3">
        <v>1.9212962962962962E-3</v>
      </c>
      <c r="X2301" t="s">
        <v>4869</v>
      </c>
      <c r="Y2301">
        <v>15</v>
      </c>
      <c r="Z2301">
        <v>0</v>
      </c>
      <c r="AA2301" t="s">
        <v>49</v>
      </c>
      <c r="AB2301">
        <v>0</v>
      </c>
      <c r="AC2301" t="s">
        <v>49</v>
      </c>
      <c r="AD2301">
        <v>0</v>
      </c>
      <c r="AE2301">
        <v>-1</v>
      </c>
      <c r="AF2301" t="s">
        <v>50</v>
      </c>
      <c r="AG2301" t="s">
        <v>118</v>
      </c>
    </row>
    <row r="2302" spans="1:33" x14ac:dyDescent="0.35">
      <c r="A2302" s="1">
        <v>44835.017361111109</v>
      </c>
      <c r="B2302">
        <v>1104569</v>
      </c>
      <c r="C2302" t="s">
        <v>4870</v>
      </c>
      <c r="D2302" t="s">
        <v>4871</v>
      </c>
      <c r="E2302" s="2">
        <v>40878</v>
      </c>
      <c r="F2302" t="str">
        <f>"9781452268958"</f>
        <v>9781452268958</v>
      </c>
      <c r="G2302" t="str">
        <f>"9781412992978"</f>
        <v>9781412992978</v>
      </c>
      <c r="H2302" t="s">
        <v>90</v>
      </c>
      <c r="I2302">
        <v>371.2</v>
      </c>
      <c r="J2302" t="s">
        <v>4872</v>
      </c>
      <c r="K2302" t="s">
        <v>44</v>
      </c>
      <c r="N2302" t="s">
        <v>45</v>
      </c>
      <c r="O2302" t="s">
        <v>46</v>
      </c>
      <c r="P2302" t="s">
        <v>45</v>
      </c>
      <c r="Q2302" t="s">
        <v>47</v>
      </c>
      <c r="R2302" t="s">
        <v>44</v>
      </c>
      <c r="S2302">
        <v>0</v>
      </c>
      <c r="W2302" s="3">
        <v>2.3148148148148146E-4</v>
      </c>
      <c r="X2302" t="s">
        <v>4873</v>
      </c>
      <c r="Y2302">
        <v>6</v>
      </c>
      <c r="Z2302">
        <v>0</v>
      </c>
      <c r="AA2302" t="s">
        <v>49</v>
      </c>
      <c r="AB2302">
        <v>0</v>
      </c>
      <c r="AC2302" t="s">
        <v>49</v>
      </c>
      <c r="AD2302">
        <v>0</v>
      </c>
      <c r="AE2302">
        <v>11085535</v>
      </c>
      <c r="AF2302" t="s">
        <v>50</v>
      </c>
      <c r="AG2302" t="s">
        <v>4874</v>
      </c>
    </row>
    <row r="2303" spans="1:33" x14ac:dyDescent="0.35">
      <c r="A2303" s="1">
        <v>44834.890972222223</v>
      </c>
      <c r="B2303">
        <v>7075855</v>
      </c>
      <c r="C2303" t="s">
        <v>4453</v>
      </c>
      <c r="D2303" t="s">
        <v>105</v>
      </c>
      <c r="E2303" s="2">
        <v>44792</v>
      </c>
      <c r="F2303" t="str">
        <f>"9783030992613"</f>
        <v>9783030992613</v>
      </c>
      <c r="G2303" t="str">
        <f>"9783030992606"</f>
        <v>9783030992606</v>
      </c>
      <c r="H2303" t="s">
        <v>171</v>
      </c>
      <c r="I2303">
        <v>428.00709999999998</v>
      </c>
      <c r="J2303" t="s">
        <v>4454</v>
      </c>
      <c r="K2303" t="s">
        <v>55</v>
      </c>
      <c r="N2303" t="s">
        <v>79</v>
      </c>
      <c r="P2303" t="s">
        <v>80</v>
      </c>
      <c r="Q2303" t="s">
        <v>47</v>
      </c>
      <c r="R2303" t="s">
        <v>44</v>
      </c>
      <c r="S2303">
        <v>0</v>
      </c>
      <c r="W2303" s="3">
        <v>0</v>
      </c>
      <c r="X2303" t="s">
        <v>49</v>
      </c>
      <c r="Y2303">
        <v>0</v>
      </c>
      <c r="Z2303">
        <v>5</v>
      </c>
      <c r="AA2303" t="s">
        <v>4875</v>
      </c>
      <c r="AB2303">
        <v>88</v>
      </c>
      <c r="AC2303" t="s">
        <v>49</v>
      </c>
      <c r="AD2303">
        <v>0</v>
      </c>
      <c r="AE2303">
        <v>-1</v>
      </c>
      <c r="AF2303" t="s">
        <v>50</v>
      </c>
      <c r="AG2303" t="s">
        <v>118</v>
      </c>
    </row>
    <row r="2304" spans="1:33" x14ac:dyDescent="0.35">
      <c r="A2304" s="1">
        <v>44834.856249999997</v>
      </c>
      <c r="B2304">
        <v>3338736</v>
      </c>
      <c r="C2304" t="s">
        <v>4876</v>
      </c>
      <c r="D2304" t="s">
        <v>303</v>
      </c>
      <c r="E2304" s="2">
        <v>39311</v>
      </c>
      <c r="F2304" t="str">
        <f>"9780262269766"</f>
        <v>9780262269766</v>
      </c>
      <c r="G2304" t="str">
        <f>"9780262033633"</f>
        <v>9780262033633</v>
      </c>
      <c r="H2304" t="s">
        <v>4877</v>
      </c>
      <c r="I2304">
        <v>155</v>
      </c>
      <c r="J2304" t="s">
        <v>4878</v>
      </c>
      <c r="K2304" t="s">
        <v>44</v>
      </c>
      <c r="N2304" t="s">
        <v>45</v>
      </c>
      <c r="O2304" t="s">
        <v>46</v>
      </c>
      <c r="P2304" t="s">
        <v>45</v>
      </c>
      <c r="Q2304" t="s">
        <v>47</v>
      </c>
      <c r="R2304" t="s">
        <v>44</v>
      </c>
      <c r="S2304">
        <v>0</v>
      </c>
      <c r="W2304" s="3">
        <v>2.7777777777777778E-4</v>
      </c>
      <c r="X2304" t="s">
        <v>4879</v>
      </c>
      <c r="Y2304">
        <v>3</v>
      </c>
      <c r="Z2304">
        <v>0</v>
      </c>
      <c r="AA2304" t="s">
        <v>49</v>
      </c>
      <c r="AB2304">
        <v>0</v>
      </c>
      <c r="AC2304" t="s">
        <v>49</v>
      </c>
      <c r="AD2304">
        <v>0</v>
      </c>
      <c r="AE2304">
        <v>10190482</v>
      </c>
      <c r="AF2304" t="s">
        <v>50</v>
      </c>
      <c r="AG2304" t="s">
        <v>118</v>
      </c>
    </row>
    <row r="2305" spans="1:33" x14ac:dyDescent="0.35">
      <c r="A2305" s="1">
        <v>44834.851388888892</v>
      </c>
      <c r="B2305">
        <v>5566833</v>
      </c>
      <c r="C2305" t="s">
        <v>4880</v>
      </c>
      <c r="D2305" t="s">
        <v>76</v>
      </c>
      <c r="E2305" s="2">
        <v>43388</v>
      </c>
      <c r="F2305" t="str">
        <f>"9781351662680"</f>
        <v>9781351662680</v>
      </c>
      <c r="G2305" t="str">
        <f>"9781138064256"</f>
        <v>9781138064256</v>
      </c>
      <c r="H2305" t="s">
        <v>60</v>
      </c>
      <c r="I2305" t="s">
        <v>4881</v>
      </c>
      <c r="J2305" t="s">
        <v>4882</v>
      </c>
      <c r="K2305" t="s">
        <v>55</v>
      </c>
      <c r="Q2305" t="s">
        <v>47</v>
      </c>
      <c r="R2305" t="s">
        <v>44</v>
      </c>
      <c r="S2305">
        <v>0</v>
      </c>
      <c r="W2305" s="3">
        <v>1.4583333333333334E-3</v>
      </c>
      <c r="X2305" t="s">
        <v>4883</v>
      </c>
      <c r="Y2305">
        <v>11</v>
      </c>
      <c r="Z2305">
        <v>0</v>
      </c>
      <c r="AA2305" t="s">
        <v>49</v>
      </c>
      <c r="AB2305">
        <v>0</v>
      </c>
      <c r="AC2305" t="s">
        <v>49</v>
      </c>
      <c r="AD2305">
        <v>0</v>
      </c>
      <c r="AE2305">
        <v>11626440</v>
      </c>
      <c r="AF2305" t="s">
        <v>50</v>
      </c>
      <c r="AG2305" t="s">
        <v>118</v>
      </c>
    </row>
    <row r="2306" spans="1:33" x14ac:dyDescent="0.35">
      <c r="A2306" s="1">
        <v>44834.847222222219</v>
      </c>
      <c r="B2306">
        <v>957290</v>
      </c>
      <c r="C2306" t="s">
        <v>4280</v>
      </c>
      <c r="D2306" t="s">
        <v>76</v>
      </c>
      <c r="E2306" s="2">
        <v>40941</v>
      </c>
      <c r="F2306" t="str">
        <f>"9780203127711"</f>
        <v>9780203127711</v>
      </c>
      <c r="G2306" t="str">
        <f>"9780415895347"</f>
        <v>9780415895347</v>
      </c>
      <c r="H2306" t="s">
        <v>1046</v>
      </c>
      <c r="I2306">
        <v>302.23099999999999</v>
      </c>
      <c r="J2306" t="s">
        <v>4281</v>
      </c>
      <c r="K2306" t="s">
        <v>44</v>
      </c>
      <c r="N2306" t="s">
        <v>45</v>
      </c>
      <c r="O2306" t="s">
        <v>46</v>
      </c>
      <c r="P2306" t="s">
        <v>45</v>
      </c>
      <c r="Q2306" t="s">
        <v>47</v>
      </c>
      <c r="R2306" t="s">
        <v>44</v>
      </c>
      <c r="S2306">
        <v>0</v>
      </c>
      <c r="W2306" s="3">
        <v>2.1874999999999998E-3</v>
      </c>
      <c r="X2306" t="s">
        <v>4884</v>
      </c>
      <c r="Y2306">
        <v>9</v>
      </c>
      <c r="Z2306">
        <v>0</v>
      </c>
      <c r="AA2306" t="s">
        <v>49</v>
      </c>
      <c r="AB2306">
        <v>0</v>
      </c>
      <c r="AC2306" t="s">
        <v>49</v>
      </c>
      <c r="AD2306">
        <v>0</v>
      </c>
      <c r="AE2306">
        <v>10535074</v>
      </c>
      <c r="AF2306" t="s">
        <v>50</v>
      </c>
      <c r="AG2306" t="s">
        <v>4485</v>
      </c>
    </row>
    <row r="2307" spans="1:33" x14ac:dyDescent="0.35">
      <c r="A2307" s="1">
        <v>44834.831944444442</v>
      </c>
      <c r="B2307">
        <v>5220061</v>
      </c>
      <c r="C2307" t="s">
        <v>4885</v>
      </c>
      <c r="D2307" t="s">
        <v>2417</v>
      </c>
      <c r="E2307" s="2">
        <v>42648</v>
      </c>
      <c r="F2307" t="str">
        <f>"9781944480103"</f>
        <v>9781944480103</v>
      </c>
      <c r="G2307" t="str">
        <f>""</f>
        <v/>
      </c>
      <c r="H2307" t="s">
        <v>60</v>
      </c>
      <c r="K2307" t="s">
        <v>44</v>
      </c>
      <c r="N2307" t="s">
        <v>45</v>
      </c>
      <c r="O2307" t="s">
        <v>46</v>
      </c>
      <c r="P2307" t="s">
        <v>45</v>
      </c>
      <c r="Q2307" t="s">
        <v>47</v>
      </c>
      <c r="R2307" t="s">
        <v>44</v>
      </c>
      <c r="S2307">
        <v>0</v>
      </c>
      <c r="W2307" s="3">
        <v>6.5972222222222213E-4</v>
      </c>
      <c r="X2307" t="s">
        <v>4886</v>
      </c>
      <c r="Y2307">
        <v>8</v>
      </c>
      <c r="Z2307">
        <v>0</v>
      </c>
      <c r="AA2307" t="s">
        <v>49</v>
      </c>
      <c r="AB2307">
        <v>0</v>
      </c>
      <c r="AC2307" t="s">
        <v>49</v>
      </c>
      <c r="AD2307">
        <v>0</v>
      </c>
      <c r="AE2307">
        <v>11500436</v>
      </c>
      <c r="AF2307" t="s">
        <v>50</v>
      </c>
      <c r="AG2307" t="s">
        <v>118</v>
      </c>
    </row>
    <row r="2308" spans="1:33" x14ac:dyDescent="0.35">
      <c r="A2308" s="1">
        <v>44834.817361111112</v>
      </c>
      <c r="B2308">
        <v>1802022</v>
      </c>
      <c r="C2308" t="s">
        <v>4887</v>
      </c>
      <c r="D2308" t="s">
        <v>65</v>
      </c>
      <c r="E2308" s="2">
        <v>41906</v>
      </c>
      <c r="F2308" t="str">
        <f>"9780124116405"</f>
        <v>9780124116405</v>
      </c>
      <c r="G2308" t="str">
        <f>"9780124116436"</f>
        <v>9780124116436</v>
      </c>
      <c r="H2308" t="s">
        <v>77</v>
      </c>
      <c r="I2308">
        <v>610.28499999999997</v>
      </c>
      <c r="J2308" t="s">
        <v>4888</v>
      </c>
      <c r="K2308" t="s">
        <v>44</v>
      </c>
      <c r="N2308" t="s">
        <v>45</v>
      </c>
      <c r="O2308" t="s">
        <v>46</v>
      </c>
      <c r="P2308" t="s">
        <v>45</v>
      </c>
      <c r="Q2308" t="s">
        <v>47</v>
      </c>
      <c r="R2308" t="s">
        <v>44</v>
      </c>
      <c r="S2308">
        <v>0</v>
      </c>
      <c r="W2308" s="3">
        <v>3.3564814814814812E-4</v>
      </c>
      <c r="X2308" t="s">
        <v>648</v>
      </c>
      <c r="Y2308">
        <v>2</v>
      </c>
      <c r="Z2308">
        <v>0</v>
      </c>
      <c r="AA2308" t="s">
        <v>49</v>
      </c>
      <c r="AB2308">
        <v>0</v>
      </c>
      <c r="AC2308" t="s">
        <v>49</v>
      </c>
      <c r="AD2308">
        <v>0</v>
      </c>
      <c r="AE2308">
        <v>10944946</v>
      </c>
      <c r="AF2308" t="s">
        <v>50</v>
      </c>
      <c r="AG2308" t="s">
        <v>4874</v>
      </c>
    </row>
    <row r="2309" spans="1:33" x14ac:dyDescent="0.35">
      <c r="A2309" s="1">
        <v>44834.757638888892</v>
      </c>
      <c r="B2309">
        <v>957290</v>
      </c>
      <c r="C2309" t="s">
        <v>4280</v>
      </c>
      <c r="D2309" t="s">
        <v>76</v>
      </c>
      <c r="E2309" s="2">
        <v>40941</v>
      </c>
      <c r="F2309" t="str">
        <f>"9780203127711"</f>
        <v>9780203127711</v>
      </c>
      <c r="G2309" t="str">
        <f>"9780415895347"</f>
        <v>9780415895347</v>
      </c>
      <c r="H2309" t="s">
        <v>1046</v>
      </c>
      <c r="I2309">
        <v>302.23099999999999</v>
      </c>
      <c r="J2309" t="s">
        <v>4281</v>
      </c>
      <c r="K2309" t="s">
        <v>44</v>
      </c>
      <c r="N2309" t="s">
        <v>45</v>
      </c>
      <c r="O2309" t="s">
        <v>46</v>
      </c>
      <c r="P2309" t="s">
        <v>45</v>
      </c>
      <c r="Q2309" t="s">
        <v>47</v>
      </c>
      <c r="R2309" t="s">
        <v>44</v>
      </c>
      <c r="S2309">
        <v>0</v>
      </c>
      <c r="W2309" s="3">
        <v>4.340277777777778E-3</v>
      </c>
      <c r="X2309" t="s">
        <v>4889</v>
      </c>
      <c r="Y2309">
        <v>12</v>
      </c>
      <c r="Z2309">
        <v>0</v>
      </c>
      <c r="AA2309" t="s">
        <v>49</v>
      </c>
      <c r="AB2309">
        <v>0</v>
      </c>
      <c r="AC2309" t="s">
        <v>4890</v>
      </c>
      <c r="AD2309">
        <v>2</v>
      </c>
      <c r="AE2309">
        <v>10535074</v>
      </c>
      <c r="AF2309" t="s">
        <v>50</v>
      </c>
      <c r="AG2309" t="s">
        <v>118</v>
      </c>
    </row>
    <row r="2310" spans="1:33" x14ac:dyDescent="0.35">
      <c r="A2310" s="1">
        <v>44834.736805555556</v>
      </c>
      <c r="B2310">
        <v>957290</v>
      </c>
      <c r="C2310" t="s">
        <v>4280</v>
      </c>
      <c r="D2310" t="s">
        <v>76</v>
      </c>
      <c r="E2310" s="2">
        <v>40941</v>
      </c>
      <c r="F2310" t="str">
        <f>"9780203127711"</f>
        <v>9780203127711</v>
      </c>
      <c r="G2310" t="str">
        <f>"9780415895347"</f>
        <v>9780415895347</v>
      </c>
      <c r="H2310" t="s">
        <v>1046</v>
      </c>
      <c r="I2310">
        <v>302.23099999999999</v>
      </c>
      <c r="J2310" t="s">
        <v>4281</v>
      </c>
      <c r="K2310" t="s">
        <v>44</v>
      </c>
      <c r="N2310" t="s">
        <v>45</v>
      </c>
      <c r="O2310" t="s">
        <v>46</v>
      </c>
      <c r="P2310" t="s">
        <v>45</v>
      </c>
      <c r="Q2310" t="s">
        <v>47</v>
      </c>
      <c r="R2310" t="s">
        <v>44</v>
      </c>
      <c r="S2310">
        <v>0</v>
      </c>
      <c r="W2310" s="3">
        <v>4.8148148148148152E-3</v>
      </c>
      <c r="X2310" t="s">
        <v>4891</v>
      </c>
      <c r="Y2310">
        <v>9</v>
      </c>
      <c r="Z2310">
        <v>0</v>
      </c>
      <c r="AA2310" t="s">
        <v>49</v>
      </c>
      <c r="AB2310">
        <v>0</v>
      </c>
      <c r="AC2310" t="s">
        <v>49</v>
      </c>
      <c r="AD2310">
        <v>0</v>
      </c>
      <c r="AE2310">
        <v>10535074</v>
      </c>
      <c r="AF2310" t="s">
        <v>50</v>
      </c>
      <c r="AG2310" t="s">
        <v>118</v>
      </c>
    </row>
    <row r="2311" spans="1:33" x14ac:dyDescent="0.35">
      <c r="A2311" s="1">
        <v>44834.688888888886</v>
      </c>
      <c r="B2311">
        <v>957290</v>
      </c>
      <c r="C2311" t="s">
        <v>4280</v>
      </c>
      <c r="D2311" t="s">
        <v>76</v>
      </c>
      <c r="E2311" s="2">
        <v>40941</v>
      </c>
      <c r="F2311" t="str">
        <f>"9780203127711"</f>
        <v>9780203127711</v>
      </c>
      <c r="G2311" t="str">
        <f>"9780415895347"</f>
        <v>9780415895347</v>
      </c>
      <c r="H2311" t="s">
        <v>1046</v>
      </c>
      <c r="I2311">
        <v>302.23099999999999</v>
      </c>
      <c r="J2311" t="s">
        <v>4281</v>
      </c>
      <c r="K2311" t="s">
        <v>44</v>
      </c>
      <c r="N2311" t="s">
        <v>45</v>
      </c>
      <c r="O2311" t="s">
        <v>46</v>
      </c>
      <c r="P2311" t="s">
        <v>45</v>
      </c>
      <c r="Q2311" t="s">
        <v>47</v>
      </c>
      <c r="R2311" t="s">
        <v>44</v>
      </c>
      <c r="S2311">
        <v>1</v>
      </c>
      <c r="W2311" s="3">
        <v>7.291666666666667E-4</v>
      </c>
      <c r="X2311" t="s">
        <v>4892</v>
      </c>
      <c r="Y2311">
        <v>8</v>
      </c>
      <c r="Z2311">
        <v>0</v>
      </c>
      <c r="AA2311" t="s">
        <v>49</v>
      </c>
      <c r="AB2311">
        <v>0</v>
      </c>
      <c r="AC2311" t="s">
        <v>49</v>
      </c>
      <c r="AD2311">
        <v>0</v>
      </c>
      <c r="AE2311">
        <v>10535074</v>
      </c>
      <c r="AF2311" t="s">
        <v>63</v>
      </c>
      <c r="AG2311" t="s">
        <v>4485</v>
      </c>
    </row>
    <row r="2312" spans="1:33" x14ac:dyDescent="0.35">
      <c r="A2312" s="1">
        <v>44834.6875</v>
      </c>
      <c r="B2312">
        <v>6853742</v>
      </c>
      <c r="C2312" t="s">
        <v>4893</v>
      </c>
      <c r="D2312" t="s">
        <v>473</v>
      </c>
      <c r="E2312" s="2">
        <v>43469</v>
      </c>
      <c r="F2312" t="str">
        <f>"9781848883253"</f>
        <v>9781848883253</v>
      </c>
      <c r="G2312" t="str">
        <f>"9789004371347"</f>
        <v>9789004371347</v>
      </c>
      <c r="H2312" t="s">
        <v>1046</v>
      </c>
      <c r="I2312">
        <v>300</v>
      </c>
      <c r="J2312" t="s">
        <v>4894</v>
      </c>
      <c r="K2312" t="s">
        <v>44</v>
      </c>
      <c r="N2312" t="s">
        <v>45</v>
      </c>
      <c r="O2312" t="s">
        <v>46</v>
      </c>
      <c r="P2312" t="s">
        <v>45</v>
      </c>
      <c r="Q2312" t="s">
        <v>47</v>
      </c>
      <c r="R2312" t="s">
        <v>44</v>
      </c>
      <c r="S2312">
        <v>0</v>
      </c>
      <c r="W2312" s="3">
        <v>4.7453703703703704E-4</v>
      </c>
      <c r="X2312" t="s">
        <v>1143</v>
      </c>
      <c r="Y2312">
        <v>7</v>
      </c>
      <c r="Z2312">
        <v>0</v>
      </c>
      <c r="AA2312" t="s">
        <v>49</v>
      </c>
      <c r="AB2312">
        <v>0</v>
      </c>
      <c r="AC2312" t="s">
        <v>49</v>
      </c>
      <c r="AD2312">
        <v>0</v>
      </c>
      <c r="AE2312">
        <v>-1</v>
      </c>
      <c r="AF2312" t="s">
        <v>50</v>
      </c>
      <c r="AG2312" t="s">
        <v>118</v>
      </c>
    </row>
    <row r="2313" spans="1:33" x14ac:dyDescent="0.35">
      <c r="A2313" s="1">
        <v>44834.678472222222</v>
      </c>
      <c r="B2313">
        <v>957290</v>
      </c>
      <c r="C2313" t="s">
        <v>4280</v>
      </c>
      <c r="D2313" t="s">
        <v>76</v>
      </c>
      <c r="E2313" s="2">
        <v>40941</v>
      </c>
      <c r="F2313" t="str">
        <f>"9780203127711"</f>
        <v>9780203127711</v>
      </c>
      <c r="G2313" t="str">
        <f>"9780415895347"</f>
        <v>9780415895347</v>
      </c>
      <c r="H2313" t="s">
        <v>1046</v>
      </c>
      <c r="I2313">
        <v>302.23099999999999</v>
      </c>
      <c r="J2313" t="s">
        <v>4281</v>
      </c>
      <c r="K2313" t="s">
        <v>44</v>
      </c>
      <c r="N2313" t="s">
        <v>45</v>
      </c>
      <c r="O2313" t="s">
        <v>46</v>
      </c>
      <c r="P2313" t="s">
        <v>45</v>
      </c>
      <c r="Q2313" t="s">
        <v>47</v>
      </c>
      <c r="R2313" t="s">
        <v>44</v>
      </c>
      <c r="S2313">
        <v>0</v>
      </c>
      <c r="W2313" s="3">
        <v>1.0277777777777778E-2</v>
      </c>
      <c r="X2313" t="s">
        <v>4895</v>
      </c>
      <c r="Y2313">
        <v>3</v>
      </c>
      <c r="Z2313">
        <v>0</v>
      </c>
      <c r="AA2313" t="s">
        <v>49</v>
      </c>
      <c r="AB2313">
        <v>0</v>
      </c>
      <c r="AC2313" t="s">
        <v>49</v>
      </c>
      <c r="AD2313">
        <v>0</v>
      </c>
      <c r="AE2313">
        <v>10535074</v>
      </c>
      <c r="AF2313" t="s">
        <v>50</v>
      </c>
      <c r="AG2313" t="s">
        <v>4485</v>
      </c>
    </row>
    <row r="2314" spans="1:33" x14ac:dyDescent="0.35">
      <c r="A2314" s="1">
        <v>44834.677777777775</v>
      </c>
      <c r="B2314">
        <v>957290</v>
      </c>
      <c r="C2314" t="s">
        <v>4280</v>
      </c>
      <c r="D2314" t="s">
        <v>76</v>
      </c>
      <c r="E2314" s="2">
        <v>40941</v>
      </c>
      <c r="F2314" t="str">
        <f>"9780203127711"</f>
        <v>9780203127711</v>
      </c>
      <c r="G2314" t="str">
        <f>"9780415895347"</f>
        <v>9780415895347</v>
      </c>
      <c r="H2314" t="s">
        <v>1046</v>
      </c>
      <c r="I2314">
        <v>302.23099999999999</v>
      </c>
      <c r="J2314" t="s">
        <v>4281</v>
      </c>
      <c r="K2314" t="s">
        <v>44</v>
      </c>
      <c r="N2314" t="s">
        <v>45</v>
      </c>
      <c r="O2314" t="s">
        <v>46</v>
      </c>
      <c r="P2314" t="s">
        <v>45</v>
      </c>
      <c r="Q2314" t="s">
        <v>47</v>
      </c>
      <c r="R2314" t="s">
        <v>44</v>
      </c>
      <c r="S2314">
        <v>0</v>
      </c>
      <c r="W2314" s="3">
        <v>1.1226851851851851E-3</v>
      </c>
      <c r="X2314" t="s">
        <v>4896</v>
      </c>
      <c r="Y2314">
        <v>5</v>
      </c>
      <c r="Z2314">
        <v>1</v>
      </c>
      <c r="AA2314" t="s">
        <v>4897</v>
      </c>
      <c r="AB2314">
        <v>20</v>
      </c>
      <c r="AC2314" t="s">
        <v>49</v>
      </c>
      <c r="AD2314">
        <v>0</v>
      </c>
      <c r="AE2314">
        <v>10535074</v>
      </c>
      <c r="AF2314" t="s">
        <v>50</v>
      </c>
      <c r="AG2314" t="s">
        <v>1355</v>
      </c>
    </row>
    <row r="2315" spans="1:33" x14ac:dyDescent="0.35">
      <c r="A2315" s="1">
        <v>44834.604166666664</v>
      </c>
      <c r="B2315">
        <v>957290</v>
      </c>
      <c r="C2315" t="s">
        <v>4280</v>
      </c>
      <c r="D2315" t="s">
        <v>76</v>
      </c>
      <c r="E2315" s="2">
        <v>40941</v>
      </c>
      <c r="F2315" t="str">
        <f>"9780203127711"</f>
        <v>9780203127711</v>
      </c>
      <c r="G2315" t="str">
        <f>"9780415895347"</f>
        <v>9780415895347</v>
      </c>
      <c r="H2315" t="s">
        <v>1046</v>
      </c>
      <c r="I2315">
        <v>302.23099999999999</v>
      </c>
      <c r="J2315" t="s">
        <v>4281</v>
      </c>
      <c r="K2315" t="s">
        <v>44</v>
      </c>
      <c r="N2315" t="s">
        <v>45</v>
      </c>
      <c r="O2315" t="s">
        <v>46</v>
      </c>
      <c r="P2315" t="s">
        <v>45</v>
      </c>
      <c r="Q2315" t="s">
        <v>47</v>
      </c>
      <c r="R2315" t="s">
        <v>44</v>
      </c>
      <c r="S2315">
        <v>0</v>
      </c>
      <c r="W2315" s="3">
        <v>4.6296296296296294E-5</v>
      </c>
      <c r="X2315" t="s">
        <v>121</v>
      </c>
      <c r="Y2315">
        <v>1</v>
      </c>
      <c r="Z2315">
        <v>0</v>
      </c>
      <c r="AA2315" t="s">
        <v>49</v>
      </c>
      <c r="AB2315">
        <v>0</v>
      </c>
      <c r="AC2315" t="s">
        <v>49</v>
      </c>
      <c r="AD2315">
        <v>0</v>
      </c>
      <c r="AE2315">
        <v>10535074</v>
      </c>
      <c r="AF2315" t="s">
        <v>50</v>
      </c>
      <c r="AG2315" t="s">
        <v>4485</v>
      </c>
    </row>
    <row r="2316" spans="1:33" x14ac:dyDescent="0.35">
      <c r="A2316" s="1">
        <v>44834.6</v>
      </c>
      <c r="B2316">
        <v>469749</v>
      </c>
      <c r="C2316" t="s">
        <v>2784</v>
      </c>
      <c r="D2316" t="s">
        <v>1458</v>
      </c>
      <c r="E2316" s="2">
        <v>39693</v>
      </c>
      <c r="F2316" t="str">
        <f>"9780470282069"</f>
        <v>9780470282069</v>
      </c>
      <c r="G2316" t="str">
        <f>"9780470105252"</f>
        <v>9780470105252</v>
      </c>
      <c r="H2316" t="s">
        <v>1112</v>
      </c>
      <c r="I2316">
        <v>660.28319999999997</v>
      </c>
      <c r="J2316" t="s">
        <v>2785</v>
      </c>
      <c r="K2316" t="s">
        <v>44</v>
      </c>
      <c r="N2316" t="s">
        <v>45</v>
      </c>
      <c r="O2316" t="s">
        <v>46</v>
      </c>
      <c r="P2316" t="s">
        <v>45</v>
      </c>
      <c r="Q2316" t="s">
        <v>47</v>
      </c>
      <c r="R2316" t="s">
        <v>44</v>
      </c>
      <c r="S2316">
        <v>0</v>
      </c>
      <c r="W2316" s="3">
        <v>7.5231481481481471E-4</v>
      </c>
      <c r="X2316" t="s">
        <v>4898</v>
      </c>
      <c r="Y2316">
        <v>6</v>
      </c>
      <c r="Z2316">
        <v>0</v>
      </c>
      <c r="AA2316" t="s">
        <v>49</v>
      </c>
      <c r="AB2316">
        <v>0</v>
      </c>
      <c r="AC2316" t="s">
        <v>49</v>
      </c>
      <c r="AD2316">
        <v>0</v>
      </c>
      <c r="AE2316">
        <v>10296771</v>
      </c>
      <c r="AF2316" t="s">
        <v>50</v>
      </c>
      <c r="AG2316" t="s">
        <v>1536</v>
      </c>
    </row>
    <row r="2317" spans="1:33" x14ac:dyDescent="0.35">
      <c r="A2317" s="1">
        <v>44834.532638888886</v>
      </c>
      <c r="B2317">
        <v>6946268</v>
      </c>
      <c r="C2317" t="s">
        <v>333</v>
      </c>
      <c r="D2317" t="s">
        <v>213</v>
      </c>
      <c r="E2317" s="2">
        <v>44658</v>
      </c>
      <c r="F2317" t="str">
        <f>"9780323859875"</f>
        <v>9780323859875</v>
      </c>
      <c r="G2317" t="str">
        <f>"9780128244708"</f>
        <v>9780128244708</v>
      </c>
      <c r="H2317" t="s">
        <v>261</v>
      </c>
      <c r="I2317">
        <v>628.16200000000003</v>
      </c>
      <c r="J2317" t="s">
        <v>334</v>
      </c>
      <c r="K2317" t="s">
        <v>55</v>
      </c>
      <c r="N2317" t="s">
        <v>79</v>
      </c>
      <c r="P2317" t="s">
        <v>80</v>
      </c>
      <c r="Q2317" t="s">
        <v>47</v>
      </c>
      <c r="R2317" t="s">
        <v>44</v>
      </c>
      <c r="S2317">
        <v>0</v>
      </c>
      <c r="W2317" s="3">
        <v>1.1574074074074073E-5</v>
      </c>
      <c r="X2317" t="s">
        <v>49</v>
      </c>
      <c r="Y2317">
        <v>0</v>
      </c>
      <c r="Z2317">
        <v>1</v>
      </c>
      <c r="AA2317" t="s">
        <v>4899</v>
      </c>
      <c r="AB2317">
        <v>18</v>
      </c>
      <c r="AC2317" t="s">
        <v>49</v>
      </c>
      <c r="AD2317">
        <v>0</v>
      </c>
      <c r="AE2317">
        <v>-1</v>
      </c>
      <c r="AF2317" t="s">
        <v>50</v>
      </c>
      <c r="AG2317" t="s">
        <v>4485</v>
      </c>
    </row>
    <row r="2318" spans="1:33" x14ac:dyDescent="0.35">
      <c r="A2318" s="1">
        <v>44834.519444444442</v>
      </c>
      <c r="B2318">
        <v>957290</v>
      </c>
      <c r="C2318" t="s">
        <v>4280</v>
      </c>
      <c r="D2318" t="s">
        <v>76</v>
      </c>
      <c r="E2318" s="2">
        <v>40941</v>
      </c>
      <c r="F2318" t="str">
        <f>"9780203127711"</f>
        <v>9780203127711</v>
      </c>
      <c r="G2318" t="str">
        <f>"9780415895347"</f>
        <v>9780415895347</v>
      </c>
      <c r="H2318" t="s">
        <v>1046</v>
      </c>
      <c r="I2318">
        <v>302.23099999999999</v>
      </c>
      <c r="J2318" t="s">
        <v>4281</v>
      </c>
      <c r="K2318" t="s">
        <v>44</v>
      </c>
      <c r="N2318" t="s">
        <v>45</v>
      </c>
      <c r="O2318" t="s">
        <v>46</v>
      </c>
      <c r="P2318" t="s">
        <v>45</v>
      </c>
      <c r="Q2318" t="s">
        <v>47</v>
      </c>
      <c r="R2318" t="s">
        <v>44</v>
      </c>
      <c r="S2318">
        <v>0</v>
      </c>
      <c r="W2318" s="3">
        <v>5.6018518518518518E-3</v>
      </c>
      <c r="X2318" t="s">
        <v>4900</v>
      </c>
      <c r="Y2318">
        <v>9</v>
      </c>
      <c r="Z2318">
        <v>0</v>
      </c>
      <c r="AA2318" t="s">
        <v>49</v>
      </c>
      <c r="AB2318">
        <v>0</v>
      </c>
      <c r="AC2318" t="s">
        <v>49</v>
      </c>
      <c r="AD2318">
        <v>0</v>
      </c>
      <c r="AE2318">
        <v>10535074</v>
      </c>
      <c r="AF2318" t="s">
        <v>50</v>
      </c>
      <c r="AG2318" t="s">
        <v>2972</v>
      </c>
    </row>
    <row r="2319" spans="1:33" x14ac:dyDescent="0.35">
      <c r="A2319" s="1">
        <v>44834.488888888889</v>
      </c>
      <c r="B2319">
        <v>957290</v>
      </c>
      <c r="C2319" t="s">
        <v>4280</v>
      </c>
      <c r="D2319" t="s">
        <v>76</v>
      </c>
      <c r="E2319" s="2">
        <v>40941</v>
      </c>
      <c r="F2319" t="str">
        <f>"9780203127711"</f>
        <v>9780203127711</v>
      </c>
      <c r="G2319" t="str">
        <f>"9780415895347"</f>
        <v>9780415895347</v>
      </c>
      <c r="H2319" t="s">
        <v>1046</v>
      </c>
      <c r="I2319">
        <v>302.23099999999999</v>
      </c>
      <c r="J2319" t="s">
        <v>4281</v>
      </c>
      <c r="K2319" t="s">
        <v>44</v>
      </c>
      <c r="N2319" t="s">
        <v>45</v>
      </c>
      <c r="O2319" t="s">
        <v>46</v>
      </c>
      <c r="P2319" t="s">
        <v>45</v>
      </c>
      <c r="Q2319" t="s">
        <v>47</v>
      </c>
      <c r="R2319" t="s">
        <v>44</v>
      </c>
      <c r="S2319">
        <v>0</v>
      </c>
      <c r="W2319" s="3">
        <v>5.7870370370370366E-5</v>
      </c>
      <c r="X2319" t="s">
        <v>196</v>
      </c>
      <c r="Y2319">
        <v>2</v>
      </c>
      <c r="Z2319">
        <v>0</v>
      </c>
      <c r="AA2319" t="s">
        <v>49</v>
      </c>
      <c r="AB2319">
        <v>0</v>
      </c>
      <c r="AC2319" t="s">
        <v>49</v>
      </c>
      <c r="AD2319">
        <v>0</v>
      </c>
      <c r="AE2319">
        <v>10535074</v>
      </c>
      <c r="AF2319" t="s">
        <v>50</v>
      </c>
      <c r="AG2319" t="s">
        <v>835</v>
      </c>
    </row>
    <row r="2320" spans="1:33" x14ac:dyDescent="0.35">
      <c r="A2320" s="1">
        <v>44834.470138888886</v>
      </c>
      <c r="B2320">
        <v>5963008</v>
      </c>
      <c r="C2320" t="s">
        <v>4901</v>
      </c>
      <c r="D2320" t="s">
        <v>65</v>
      </c>
      <c r="E2320" s="2">
        <v>43757</v>
      </c>
      <c r="F2320" t="str">
        <f>"9780128165867"</f>
        <v>9780128165867</v>
      </c>
      <c r="G2320" t="str">
        <f>"9780128161760"</f>
        <v>9780128161760</v>
      </c>
      <c r="H2320" t="s">
        <v>77</v>
      </c>
      <c r="I2320" t="s">
        <v>1419</v>
      </c>
      <c r="J2320" t="s">
        <v>4902</v>
      </c>
      <c r="K2320" t="s">
        <v>55</v>
      </c>
      <c r="N2320" t="s">
        <v>293</v>
      </c>
      <c r="P2320" t="s">
        <v>80</v>
      </c>
      <c r="Q2320" t="s">
        <v>47</v>
      </c>
      <c r="R2320" t="s">
        <v>44</v>
      </c>
      <c r="S2320">
        <v>0</v>
      </c>
      <c r="W2320" s="3">
        <v>1.1574074074074073E-5</v>
      </c>
      <c r="X2320" t="s">
        <v>49</v>
      </c>
      <c r="Y2320">
        <v>0</v>
      </c>
      <c r="Z2320">
        <v>1</v>
      </c>
      <c r="AA2320" t="s">
        <v>4903</v>
      </c>
      <c r="AB2320">
        <v>24</v>
      </c>
      <c r="AC2320" t="s">
        <v>49</v>
      </c>
      <c r="AD2320">
        <v>0</v>
      </c>
      <c r="AE2320">
        <v>-1</v>
      </c>
      <c r="AF2320" t="s">
        <v>50</v>
      </c>
      <c r="AG2320" t="s">
        <v>4485</v>
      </c>
    </row>
    <row r="2321" spans="1:33" x14ac:dyDescent="0.35">
      <c r="A2321" s="1">
        <v>44834.46597222222</v>
      </c>
      <c r="B2321">
        <v>7075855</v>
      </c>
      <c r="C2321" t="s">
        <v>4453</v>
      </c>
      <c r="D2321" t="s">
        <v>105</v>
      </c>
      <c r="E2321" s="2">
        <v>44792</v>
      </c>
      <c r="F2321" t="str">
        <f>"9783030992613"</f>
        <v>9783030992613</v>
      </c>
      <c r="G2321" t="str">
        <f>"9783030992606"</f>
        <v>9783030992606</v>
      </c>
      <c r="H2321" t="s">
        <v>171</v>
      </c>
      <c r="I2321">
        <v>428.00709999999998</v>
      </c>
      <c r="J2321" t="s">
        <v>4454</v>
      </c>
      <c r="K2321" t="s">
        <v>55</v>
      </c>
      <c r="N2321" t="s">
        <v>79</v>
      </c>
      <c r="P2321" t="s">
        <v>80</v>
      </c>
      <c r="Q2321" t="s">
        <v>47</v>
      </c>
      <c r="R2321" t="s">
        <v>44</v>
      </c>
      <c r="S2321">
        <v>0</v>
      </c>
      <c r="W2321" s="3">
        <v>5.7870370370370366E-5</v>
      </c>
      <c r="X2321" t="s">
        <v>49</v>
      </c>
      <c r="Y2321">
        <v>0</v>
      </c>
      <c r="Z2321">
        <v>4</v>
      </c>
      <c r="AA2321" t="s">
        <v>4904</v>
      </c>
      <c r="AB2321">
        <v>72</v>
      </c>
      <c r="AC2321" t="s">
        <v>49</v>
      </c>
      <c r="AD2321">
        <v>0</v>
      </c>
      <c r="AE2321">
        <v>-1</v>
      </c>
      <c r="AF2321" t="s">
        <v>63</v>
      </c>
      <c r="AG2321" t="s">
        <v>118</v>
      </c>
    </row>
    <row r="2322" spans="1:33" x14ac:dyDescent="0.35">
      <c r="A2322" s="1">
        <v>44834.459722222222</v>
      </c>
      <c r="B2322">
        <v>957290</v>
      </c>
      <c r="C2322" t="s">
        <v>4280</v>
      </c>
      <c r="D2322" t="s">
        <v>76</v>
      </c>
      <c r="E2322" s="2">
        <v>40941</v>
      </c>
      <c r="F2322" t="str">
        <f>"9780203127711"</f>
        <v>9780203127711</v>
      </c>
      <c r="G2322" t="str">
        <f>"9780415895347"</f>
        <v>9780415895347</v>
      </c>
      <c r="H2322" t="s">
        <v>1046</v>
      </c>
      <c r="I2322">
        <v>302.23099999999999</v>
      </c>
      <c r="J2322" t="s">
        <v>4281</v>
      </c>
      <c r="K2322" t="s">
        <v>44</v>
      </c>
      <c r="N2322" t="s">
        <v>45</v>
      </c>
      <c r="O2322" t="s">
        <v>46</v>
      </c>
      <c r="P2322" t="s">
        <v>45</v>
      </c>
      <c r="Q2322" t="s">
        <v>47</v>
      </c>
      <c r="R2322" t="s">
        <v>44</v>
      </c>
      <c r="S2322">
        <v>0</v>
      </c>
      <c r="W2322" s="3">
        <v>6.828703703703704E-3</v>
      </c>
      <c r="X2322" t="s">
        <v>4905</v>
      </c>
      <c r="Y2322">
        <v>23</v>
      </c>
      <c r="Z2322">
        <v>0</v>
      </c>
      <c r="AA2322" t="s">
        <v>49</v>
      </c>
      <c r="AB2322">
        <v>0</v>
      </c>
      <c r="AC2322" t="s">
        <v>49</v>
      </c>
      <c r="AD2322">
        <v>0</v>
      </c>
      <c r="AE2322">
        <v>10535074</v>
      </c>
      <c r="AF2322" t="s">
        <v>50</v>
      </c>
      <c r="AG2322" t="s">
        <v>4485</v>
      </c>
    </row>
    <row r="2323" spans="1:33" x14ac:dyDescent="0.35">
      <c r="A2323" s="1">
        <v>44834.375</v>
      </c>
      <c r="B2323">
        <v>5963008</v>
      </c>
      <c r="C2323" t="s">
        <v>4901</v>
      </c>
      <c r="D2323" t="s">
        <v>65</v>
      </c>
      <c r="E2323" s="2">
        <v>43757</v>
      </c>
      <c r="F2323" t="str">
        <f>"9780128165867"</f>
        <v>9780128165867</v>
      </c>
      <c r="G2323" t="str">
        <f>"9780128161760"</f>
        <v>9780128161760</v>
      </c>
      <c r="H2323" t="s">
        <v>77</v>
      </c>
      <c r="I2323" t="s">
        <v>1419</v>
      </c>
      <c r="J2323" t="s">
        <v>4902</v>
      </c>
      <c r="K2323" t="s">
        <v>55</v>
      </c>
      <c r="Q2323" t="s">
        <v>47</v>
      </c>
      <c r="R2323" t="s">
        <v>44</v>
      </c>
      <c r="S2323">
        <v>0</v>
      </c>
      <c r="W2323" s="3">
        <v>1.3888888888888889E-3</v>
      </c>
      <c r="X2323" t="s">
        <v>4906</v>
      </c>
      <c r="Y2323">
        <v>11</v>
      </c>
      <c r="Z2323">
        <v>0</v>
      </c>
      <c r="AA2323" t="s">
        <v>49</v>
      </c>
      <c r="AB2323">
        <v>0</v>
      </c>
      <c r="AC2323" t="s">
        <v>49</v>
      </c>
      <c r="AD2323">
        <v>0</v>
      </c>
      <c r="AE2323">
        <v>-1</v>
      </c>
      <c r="AF2323" t="s">
        <v>63</v>
      </c>
      <c r="AG2323" t="s">
        <v>4485</v>
      </c>
    </row>
    <row r="2324" spans="1:33" x14ac:dyDescent="0.35">
      <c r="A2324" s="1">
        <v>44834.282638888886</v>
      </c>
      <c r="B2324">
        <v>957290</v>
      </c>
      <c r="C2324" t="s">
        <v>4280</v>
      </c>
      <c r="D2324" t="s">
        <v>76</v>
      </c>
      <c r="E2324" s="2">
        <v>40941</v>
      </c>
      <c r="F2324" t="str">
        <f t="shared" ref="F2324:F2329" si="2">"9780203127711"</f>
        <v>9780203127711</v>
      </c>
      <c r="G2324" t="str">
        <f t="shared" ref="G2324:G2329" si="3">"9780415895347"</f>
        <v>9780415895347</v>
      </c>
      <c r="H2324" t="s">
        <v>1046</v>
      </c>
      <c r="I2324">
        <v>302.23099999999999</v>
      </c>
      <c r="J2324" t="s">
        <v>4281</v>
      </c>
      <c r="K2324" t="s">
        <v>44</v>
      </c>
      <c r="N2324" t="s">
        <v>45</v>
      </c>
      <c r="O2324" t="s">
        <v>46</v>
      </c>
      <c r="P2324" t="s">
        <v>45</v>
      </c>
      <c r="Q2324" t="s">
        <v>47</v>
      </c>
      <c r="R2324" t="s">
        <v>44</v>
      </c>
      <c r="S2324">
        <v>0</v>
      </c>
      <c r="W2324" s="3">
        <v>2.3148148148148146E-4</v>
      </c>
      <c r="X2324" t="s">
        <v>4907</v>
      </c>
      <c r="Y2324">
        <v>6</v>
      </c>
      <c r="Z2324">
        <v>0</v>
      </c>
      <c r="AA2324" t="s">
        <v>49</v>
      </c>
      <c r="AB2324">
        <v>0</v>
      </c>
      <c r="AC2324" t="s">
        <v>49</v>
      </c>
      <c r="AD2324">
        <v>0</v>
      </c>
      <c r="AE2324">
        <v>10535074</v>
      </c>
      <c r="AF2324" t="s">
        <v>50</v>
      </c>
      <c r="AG2324" t="s">
        <v>4485</v>
      </c>
    </row>
    <row r="2325" spans="1:33" x14ac:dyDescent="0.35">
      <c r="A2325" s="1">
        <v>44834.067361111112</v>
      </c>
      <c r="B2325">
        <v>957290</v>
      </c>
      <c r="C2325" t="s">
        <v>4280</v>
      </c>
      <c r="D2325" t="s">
        <v>76</v>
      </c>
      <c r="E2325" s="2">
        <v>40941</v>
      </c>
      <c r="F2325" t="str">
        <f t="shared" si="2"/>
        <v>9780203127711</v>
      </c>
      <c r="G2325" t="str">
        <f t="shared" si="3"/>
        <v>9780415895347</v>
      </c>
      <c r="H2325" t="s">
        <v>1046</v>
      </c>
      <c r="I2325">
        <v>302.23099999999999</v>
      </c>
      <c r="J2325" t="s">
        <v>4281</v>
      </c>
      <c r="K2325" t="s">
        <v>44</v>
      </c>
      <c r="N2325" t="s">
        <v>45</v>
      </c>
      <c r="O2325" t="s">
        <v>46</v>
      </c>
      <c r="P2325" t="s">
        <v>45</v>
      </c>
      <c r="Q2325" t="s">
        <v>47</v>
      </c>
      <c r="R2325" t="s">
        <v>44</v>
      </c>
      <c r="S2325">
        <v>0</v>
      </c>
      <c r="W2325" s="3">
        <v>1.7013888888888892E-3</v>
      </c>
      <c r="X2325" t="s">
        <v>4908</v>
      </c>
      <c r="Y2325">
        <v>14</v>
      </c>
      <c r="Z2325">
        <v>0</v>
      </c>
      <c r="AA2325" t="s">
        <v>49</v>
      </c>
      <c r="AB2325">
        <v>0</v>
      </c>
      <c r="AC2325" t="s">
        <v>49</v>
      </c>
      <c r="AD2325">
        <v>0</v>
      </c>
      <c r="AE2325">
        <v>10535074</v>
      </c>
      <c r="AF2325" t="s">
        <v>50</v>
      </c>
      <c r="AG2325" t="s">
        <v>4485</v>
      </c>
    </row>
    <row r="2326" spans="1:33" x14ac:dyDescent="0.35">
      <c r="A2326" s="1">
        <v>44834.022916666669</v>
      </c>
      <c r="B2326">
        <v>957290</v>
      </c>
      <c r="C2326" t="s">
        <v>4280</v>
      </c>
      <c r="D2326" t="s">
        <v>76</v>
      </c>
      <c r="E2326" s="2">
        <v>40941</v>
      </c>
      <c r="F2326" t="str">
        <f t="shared" si="2"/>
        <v>9780203127711</v>
      </c>
      <c r="G2326" t="str">
        <f t="shared" si="3"/>
        <v>9780415895347</v>
      </c>
      <c r="H2326" t="s">
        <v>1046</v>
      </c>
      <c r="I2326">
        <v>302.23099999999999</v>
      </c>
      <c r="J2326" t="s">
        <v>4281</v>
      </c>
      <c r="K2326" t="s">
        <v>44</v>
      </c>
      <c r="N2326" t="s">
        <v>45</v>
      </c>
      <c r="O2326" t="s">
        <v>46</v>
      </c>
      <c r="P2326" t="s">
        <v>45</v>
      </c>
      <c r="Q2326" t="s">
        <v>47</v>
      </c>
      <c r="R2326" t="s">
        <v>44</v>
      </c>
      <c r="S2326">
        <v>0</v>
      </c>
      <c r="W2326" s="3">
        <v>1.4490740740740742E-2</v>
      </c>
      <c r="X2326" t="s">
        <v>4909</v>
      </c>
      <c r="Y2326">
        <v>27</v>
      </c>
      <c r="Z2326">
        <v>0</v>
      </c>
      <c r="AA2326" t="s">
        <v>49</v>
      </c>
      <c r="AB2326">
        <v>0</v>
      </c>
      <c r="AC2326" t="s">
        <v>49</v>
      </c>
      <c r="AD2326">
        <v>0</v>
      </c>
      <c r="AE2326">
        <v>10535074</v>
      </c>
      <c r="AF2326" t="s">
        <v>63</v>
      </c>
      <c r="AG2326" t="s">
        <v>118</v>
      </c>
    </row>
    <row r="2327" spans="1:33" x14ac:dyDescent="0.35">
      <c r="A2327" s="1">
        <v>44833.992361111108</v>
      </c>
      <c r="B2327">
        <v>957290</v>
      </c>
      <c r="C2327" t="s">
        <v>4280</v>
      </c>
      <c r="D2327" t="s">
        <v>76</v>
      </c>
      <c r="E2327" s="2">
        <v>40941</v>
      </c>
      <c r="F2327" t="str">
        <f t="shared" si="2"/>
        <v>9780203127711</v>
      </c>
      <c r="G2327" t="str">
        <f t="shared" si="3"/>
        <v>9780415895347</v>
      </c>
      <c r="H2327" t="s">
        <v>1046</v>
      </c>
      <c r="I2327">
        <v>302.23099999999999</v>
      </c>
      <c r="J2327" t="s">
        <v>4281</v>
      </c>
      <c r="K2327" t="s">
        <v>44</v>
      </c>
      <c r="N2327" t="s">
        <v>45</v>
      </c>
      <c r="O2327" t="s">
        <v>46</v>
      </c>
      <c r="P2327" t="s">
        <v>45</v>
      </c>
      <c r="Q2327" t="s">
        <v>47</v>
      </c>
      <c r="R2327" t="s">
        <v>44</v>
      </c>
      <c r="S2327">
        <v>0</v>
      </c>
      <c r="W2327" s="3">
        <v>1.6203703703703703E-4</v>
      </c>
      <c r="X2327" t="s">
        <v>4910</v>
      </c>
      <c r="Y2327">
        <v>4</v>
      </c>
      <c r="Z2327">
        <v>0</v>
      </c>
      <c r="AA2327" t="s">
        <v>49</v>
      </c>
      <c r="AB2327">
        <v>0</v>
      </c>
      <c r="AC2327" t="s">
        <v>49</v>
      </c>
      <c r="AD2327">
        <v>0</v>
      </c>
      <c r="AE2327">
        <v>10535074</v>
      </c>
      <c r="AF2327" t="s">
        <v>50</v>
      </c>
      <c r="AG2327" t="s">
        <v>118</v>
      </c>
    </row>
    <row r="2328" spans="1:33" x14ac:dyDescent="0.35">
      <c r="A2328" s="1">
        <v>44833.947916666664</v>
      </c>
      <c r="B2328">
        <v>957290</v>
      </c>
      <c r="C2328" t="s">
        <v>4280</v>
      </c>
      <c r="D2328" t="s">
        <v>76</v>
      </c>
      <c r="E2328" s="2">
        <v>40941</v>
      </c>
      <c r="F2328" t="str">
        <f t="shared" si="2"/>
        <v>9780203127711</v>
      </c>
      <c r="G2328" t="str">
        <f t="shared" si="3"/>
        <v>9780415895347</v>
      </c>
      <c r="H2328" t="s">
        <v>1046</v>
      </c>
      <c r="I2328">
        <v>302.23099999999999</v>
      </c>
      <c r="J2328" t="s">
        <v>4281</v>
      </c>
      <c r="K2328" t="s">
        <v>44</v>
      </c>
      <c r="N2328" t="s">
        <v>45</v>
      </c>
      <c r="O2328" t="s">
        <v>46</v>
      </c>
      <c r="P2328" t="s">
        <v>45</v>
      </c>
      <c r="Q2328" t="s">
        <v>47</v>
      </c>
      <c r="R2328" t="s">
        <v>44</v>
      </c>
      <c r="S2328">
        <v>0</v>
      </c>
      <c r="W2328" s="3">
        <v>3.1250000000000001E-4</v>
      </c>
      <c r="X2328" t="s">
        <v>4911</v>
      </c>
      <c r="Y2328">
        <v>5</v>
      </c>
      <c r="Z2328">
        <v>0</v>
      </c>
      <c r="AA2328" t="s">
        <v>49</v>
      </c>
      <c r="AB2328">
        <v>0</v>
      </c>
      <c r="AC2328" t="s">
        <v>49</v>
      </c>
      <c r="AD2328">
        <v>0</v>
      </c>
      <c r="AE2328">
        <v>10535074</v>
      </c>
      <c r="AF2328" t="s">
        <v>50</v>
      </c>
      <c r="AG2328" t="s">
        <v>118</v>
      </c>
    </row>
    <row r="2329" spans="1:33" x14ac:dyDescent="0.35">
      <c r="A2329" s="1">
        <v>44833.943055555559</v>
      </c>
      <c r="B2329">
        <v>957290</v>
      </c>
      <c r="C2329" t="s">
        <v>4280</v>
      </c>
      <c r="D2329" t="s">
        <v>76</v>
      </c>
      <c r="E2329" s="2">
        <v>40941</v>
      </c>
      <c r="F2329" t="str">
        <f t="shared" si="2"/>
        <v>9780203127711</v>
      </c>
      <c r="G2329" t="str">
        <f t="shared" si="3"/>
        <v>9780415895347</v>
      </c>
      <c r="H2329" t="s">
        <v>1046</v>
      </c>
      <c r="I2329">
        <v>302.23099999999999</v>
      </c>
      <c r="J2329" t="s">
        <v>4281</v>
      </c>
      <c r="K2329" t="s">
        <v>44</v>
      </c>
      <c r="N2329" t="s">
        <v>45</v>
      </c>
      <c r="O2329" t="s">
        <v>46</v>
      </c>
      <c r="P2329" t="s">
        <v>45</v>
      </c>
      <c r="Q2329" t="s">
        <v>47</v>
      </c>
      <c r="R2329" t="s">
        <v>44</v>
      </c>
      <c r="S2329">
        <v>0</v>
      </c>
      <c r="W2329" s="3">
        <v>9.5486111111111101E-3</v>
      </c>
      <c r="X2329" t="s">
        <v>4912</v>
      </c>
      <c r="Y2329">
        <v>10</v>
      </c>
      <c r="Z2329">
        <v>0</v>
      </c>
      <c r="AA2329" t="s">
        <v>49</v>
      </c>
      <c r="AB2329">
        <v>0</v>
      </c>
      <c r="AC2329" t="s">
        <v>49</v>
      </c>
      <c r="AD2329">
        <v>0</v>
      </c>
      <c r="AE2329">
        <v>10535074</v>
      </c>
      <c r="AF2329" t="s">
        <v>50</v>
      </c>
      <c r="AG2329" t="s">
        <v>118</v>
      </c>
    </row>
    <row r="2330" spans="1:33" x14ac:dyDescent="0.35">
      <c r="A2330" s="1">
        <v>44833.942361111112</v>
      </c>
      <c r="B2330">
        <v>469749</v>
      </c>
      <c r="C2330" t="s">
        <v>2784</v>
      </c>
      <c r="D2330" t="s">
        <v>1458</v>
      </c>
      <c r="E2330" s="2">
        <v>39693</v>
      </c>
      <c r="F2330" t="str">
        <f>"9780470282069"</f>
        <v>9780470282069</v>
      </c>
      <c r="G2330" t="str">
        <f>"9780470105252"</f>
        <v>9780470105252</v>
      </c>
      <c r="H2330" t="s">
        <v>1112</v>
      </c>
      <c r="I2330">
        <v>660.28319999999997</v>
      </c>
      <c r="J2330" t="s">
        <v>2785</v>
      </c>
      <c r="K2330" t="s">
        <v>44</v>
      </c>
      <c r="N2330" t="s">
        <v>45</v>
      </c>
      <c r="O2330" t="s">
        <v>46</v>
      </c>
      <c r="P2330" t="s">
        <v>45</v>
      </c>
      <c r="Q2330" t="s">
        <v>47</v>
      </c>
      <c r="R2330" t="s">
        <v>44</v>
      </c>
      <c r="S2330">
        <v>0</v>
      </c>
      <c r="W2330" s="3">
        <v>1.1574074074074073E-5</v>
      </c>
      <c r="X2330" t="s">
        <v>121</v>
      </c>
      <c r="Y2330">
        <v>1</v>
      </c>
      <c r="Z2330">
        <v>0</v>
      </c>
      <c r="AA2330" t="s">
        <v>49</v>
      </c>
      <c r="AB2330">
        <v>0</v>
      </c>
      <c r="AC2330" t="s">
        <v>49</v>
      </c>
      <c r="AD2330">
        <v>0</v>
      </c>
      <c r="AE2330">
        <v>10296771</v>
      </c>
      <c r="AF2330" t="s">
        <v>50</v>
      </c>
      <c r="AG2330" t="s">
        <v>2972</v>
      </c>
    </row>
    <row r="2331" spans="1:33" x14ac:dyDescent="0.35">
      <c r="A2331" s="1">
        <v>44833.910416666666</v>
      </c>
      <c r="B2331">
        <v>1390902</v>
      </c>
      <c r="C2331" t="s">
        <v>3788</v>
      </c>
      <c r="D2331" t="s">
        <v>819</v>
      </c>
      <c r="E2331" s="2">
        <v>41696</v>
      </c>
      <c r="F2331" t="str">
        <f>"9780814433423"</f>
        <v>9780814433423</v>
      </c>
      <c r="G2331" t="str">
        <f>"9780814433416"</f>
        <v>9780814433416</v>
      </c>
      <c r="H2331" t="s">
        <v>60</v>
      </c>
      <c r="I2331" t="s">
        <v>1652</v>
      </c>
      <c r="J2331" t="s">
        <v>3789</v>
      </c>
      <c r="K2331" t="s">
        <v>44</v>
      </c>
      <c r="N2331" t="s">
        <v>45</v>
      </c>
      <c r="O2331" t="s">
        <v>46</v>
      </c>
      <c r="P2331" t="s">
        <v>45</v>
      </c>
      <c r="Q2331" t="s">
        <v>47</v>
      </c>
      <c r="R2331" t="s">
        <v>44</v>
      </c>
      <c r="S2331">
        <v>0</v>
      </c>
      <c r="W2331" s="3">
        <v>1.0069444444444444E-3</v>
      </c>
      <c r="X2331" t="s">
        <v>4913</v>
      </c>
      <c r="Y2331">
        <v>14</v>
      </c>
      <c r="Z2331">
        <v>0</v>
      </c>
      <c r="AA2331" t="s">
        <v>49</v>
      </c>
      <c r="AB2331">
        <v>0</v>
      </c>
      <c r="AC2331" t="s">
        <v>49</v>
      </c>
      <c r="AD2331">
        <v>0</v>
      </c>
      <c r="AE2331">
        <v>10821817</v>
      </c>
      <c r="AF2331" t="s">
        <v>50</v>
      </c>
      <c r="AG2331" t="s">
        <v>1451</v>
      </c>
    </row>
    <row r="2332" spans="1:33" x14ac:dyDescent="0.35">
      <c r="A2332" s="1">
        <v>44833.874305555553</v>
      </c>
      <c r="B2332">
        <v>957290</v>
      </c>
      <c r="C2332" t="s">
        <v>4280</v>
      </c>
      <c r="D2332" t="s">
        <v>76</v>
      </c>
      <c r="E2332" s="2">
        <v>40941</v>
      </c>
      <c r="F2332" t="str">
        <f>"9780203127711"</f>
        <v>9780203127711</v>
      </c>
      <c r="G2332" t="str">
        <f>"9780415895347"</f>
        <v>9780415895347</v>
      </c>
      <c r="H2332" t="s">
        <v>1046</v>
      </c>
      <c r="I2332">
        <v>302.23099999999999</v>
      </c>
      <c r="J2332" t="s">
        <v>4281</v>
      </c>
      <c r="K2332" t="s">
        <v>44</v>
      </c>
      <c r="N2332" t="s">
        <v>45</v>
      </c>
      <c r="O2332" t="s">
        <v>46</v>
      </c>
      <c r="P2332" t="s">
        <v>45</v>
      </c>
      <c r="Q2332" t="s">
        <v>47</v>
      </c>
      <c r="R2332" t="s">
        <v>44</v>
      </c>
      <c r="S2332">
        <v>0</v>
      </c>
      <c r="W2332" s="3">
        <v>9.7222222222222224E-3</v>
      </c>
      <c r="X2332" t="s">
        <v>4914</v>
      </c>
      <c r="Y2332">
        <v>6</v>
      </c>
      <c r="Z2332">
        <v>0</v>
      </c>
      <c r="AA2332" t="s">
        <v>49</v>
      </c>
      <c r="AB2332">
        <v>0</v>
      </c>
      <c r="AC2332" t="s">
        <v>49</v>
      </c>
      <c r="AD2332">
        <v>0</v>
      </c>
      <c r="AE2332">
        <v>10535074</v>
      </c>
      <c r="AF2332" t="s">
        <v>50</v>
      </c>
      <c r="AG2332" t="s">
        <v>118</v>
      </c>
    </row>
    <row r="2333" spans="1:33" x14ac:dyDescent="0.35">
      <c r="A2333" s="1">
        <v>44833.869444444441</v>
      </c>
      <c r="B2333">
        <v>469749</v>
      </c>
      <c r="C2333" t="s">
        <v>2784</v>
      </c>
      <c r="D2333" t="s">
        <v>1458</v>
      </c>
      <c r="E2333" s="2">
        <v>39693</v>
      </c>
      <c r="F2333" t="str">
        <f>"9780470282069"</f>
        <v>9780470282069</v>
      </c>
      <c r="G2333" t="str">
        <f>"9780470105252"</f>
        <v>9780470105252</v>
      </c>
      <c r="H2333" t="s">
        <v>1112</v>
      </c>
      <c r="I2333">
        <v>660.28319999999997</v>
      </c>
      <c r="J2333" t="s">
        <v>2785</v>
      </c>
      <c r="K2333" t="s">
        <v>44</v>
      </c>
      <c r="N2333" t="s">
        <v>45</v>
      </c>
      <c r="O2333" t="s">
        <v>46</v>
      </c>
      <c r="P2333" t="s">
        <v>45</v>
      </c>
      <c r="Q2333" t="s">
        <v>47</v>
      </c>
      <c r="R2333" t="s">
        <v>44</v>
      </c>
      <c r="S2333">
        <v>0</v>
      </c>
      <c r="W2333" s="3">
        <v>4.3055555555555555E-3</v>
      </c>
      <c r="X2333" t="s">
        <v>4915</v>
      </c>
      <c r="Y2333">
        <v>29</v>
      </c>
      <c r="Z2333">
        <v>0</v>
      </c>
      <c r="AA2333" t="s">
        <v>49</v>
      </c>
      <c r="AB2333">
        <v>0</v>
      </c>
      <c r="AC2333" t="s">
        <v>49</v>
      </c>
      <c r="AD2333">
        <v>0</v>
      </c>
      <c r="AE2333">
        <v>10296771</v>
      </c>
      <c r="AF2333" t="s">
        <v>50</v>
      </c>
      <c r="AG2333" t="s">
        <v>2972</v>
      </c>
    </row>
    <row r="2334" spans="1:33" x14ac:dyDescent="0.35">
      <c r="A2334" s="1">
        <v>44833.787499999999</v>
      </c>
      <c r="B2334">
        <v>1771352</v>
      </c>
      <c r="C2334" t="s">
        <v>4916</v>
      </c>
      <c r="D2334" t="s">
        <v>1403</v>
      </c>
      <c r="E2334" s="2">
        <v>41912</v>
      </c>
      <c r="F2334" t="str">
        <f>"9781606498095"</f>
        <v>9781606498095</v>
      </c>
      <c r="G2334" t="str">
        <f>"9781606498088"</f>
        <v>9781606498088</v>
      </c>
      <c r="H2334" t="s">
        <v>60</v>
      </c>
      <c r="I2334">
        <v>658.45</v>
      </c>
      <c r="J2334" t="s">
        <v>4917</v>
      </c>
      <c r="K2334" t="s">
        <v>44</v>
      </c>
      <c r="N2334" t="s">
        <v>45</v>
      </c>
      <c r="O2334" t="s">
        <v>46</v>
      </c>
      <c r="P2334" t="s">
        <v>45</v>
      </c>
      <c r="Q2334" t="s">
        <v>47</v>
      </c>
      <c r="R2334" t="s">
        <v>44</v>
      </c>
      <c r="S2334">
        <v>0</v>
      </c>
      <c r="W2334" s="3">
        <v>3.5416666666666665E-3</v>
      </c>
      <c r="X2334" t="s">
        <v>4918</v>
      </c>
      <c r="Y2334">
        <v>14</v>
      </c>
      <c r="Z2334">
        <v>0</v>
      </c>
      <c r="AA2334" t="s">
        <v>49</v>
      </c>
      <c r="AB2334">
        <v>0</v>
      </c>
      <c r="AC2334" t="s">
        <v>49</v>
      </c>
      <c r="AD2334">
        <v>0</v>
      </c>
      <c r="AE2334">
        <v>10940880</v>
      </c>
      <c r="AF2334" t="s">
        <v>50</v>
      </c>
      <c r="AG2334" t="s">
        <v>1451</v>
      </c>
    </row>
    <row r="2335" spans="1:33" x14ac:dyDescent="0.35">
      <c r="A2335" s="1">
        <v>44833.773611111108</v>
      </c>
      <c r="B2335">
        <v>6634941</v>
      </c>
      <c r="C2335" t="s">
        <v>4919</v>
      </c>
      <c r="D2335" t="s">
        <v>213</v>
      </c>
      <c r="E2335" s="2">
        <v>44343</v>
      </c>
      <c r="F2335" t="str">
        <f>"9780323775748"</f>
        <v>9780323775748</v>
      </c>
      <c r="G2335" t="str">
        <f>"9780323775731"</f>
        <v>9780323775731</v>
      </c>
      <c r="H2335" t="s">
        <v>77</v>
      </c>
      <c r="I2335">
        <v>616.07539999999995</v>
      </c>
      <c r="J2335" t="s">
        <v>4920</v>
      </c>
      <c r="K2335" t="s">
        <v>55</v>
      </c>
      <c r="Q2335" t="s">
        <v>47</v>
      </c>
      <c r="R2335" t="s">
        <v>44</v>
      </c>
      <c r="S2335">
        <v>0</v>
      </c>
      <c r="W2335" s="3">
        <v>3.2060185185185191E-3</v>
      </c>
      <c r="X2335" t="s">
        <v>4921</v>
      </c>
      <c r="Y2335">
        <v>18</v>
      </c>
      <c r="Z2335">
        <v>0</v>
      </c>
      <c r="AA2335" t="s">
        <v>49</v>
      </c>
      <c r="AB2335">
        <v>0</v>
      </c>
      <c r="AC2335" t="s">
        <v>49</v>
      </c>
      <c r="AD2335">
        <v>0</v>
      </c>
      <c r="AE2335">
        <v>-1</v>
      </c>
      <c r="AF2335" t="s">
        <v>50</v>
      </c>
      <c r="AG2335" t="s">
        <v>630</v>
      </c>
    </row>
    <row r="2336" spans="1:33" x14ac:dyDescent="0.35">
      <c r="A2336" s="1">
        <v>44833.73333333333</v>
      </c>
      <c r="B2336">
        <v>5813218</v>
      </c>
      <c r="C2336" t="s">
        <v>4922</v>
      </c>
      <c r="D2336" t="s">
        <v>76</v>
      </c>
      <c r="E2336" s="2">
        <v>43670</v>
      </c>
      <c r="F2336" t="str">
        <f>"9780429788338"</f>
        <v>9780429788338</v>
      </c>
      <c r="G2336" t="str">
        <f>"9781138348578"</f>
        <v>9781138348578</v>
      </c>
      <c r="H2336" t="s">
        <v>542</v>
      </c>
      <c r="I2336">
        <v>621.31244075999996</v>
      </c>
      <c r="J2336" t="s">
        <v>4923</v>
      </c>
      <c r="K2336" t="s">
        <v>55</v>
      </c>
      <c r="Q2336" t="s">
        <v>47</v>
      </c>
      <c r="R2336" t="s">
        <v>44</v>
      </c>
      <c r="S2336">
        <v>0</v>
      </c>
      <c r="W2336" s="3">
        <v>4.2824074074074075E-4</v>
      </c>
      <c r="X2336" t="s">
        <v>4924</v>
      </c>
      <c r="Y2336">
        <v>6</v>
      </c>
      <c r="Z2336">
        <v>0</v>
      </c>
      <c r="AA2336" t="s">
        <v>49</v>
      </c>
      <c r="AB2336">
        <v>0</v>
      </c>
      <c r="AC2336" t="s">
        <v>49</v>
      </c>
      <c r="AD2336">
        <v>0</v>
      </c>
      <c r="AE2336">
        <v>-1</v>
      </c>
      <c r="AF2336" t="s">
        <v>63</v>
      </c>
      <c r="AG2336" t="s">
        <v>1536</v>
      </c>
    </row>
    <row r="2337" spans="1:33" x14ac:dyDescent="0.35">
      <c r="A2337" s="1">
        <v>44833.729166666664</v>
      </c>
      <c r="B2337">
        <v>957290</v>
      </c>
      <c r="C2337" t="s">
        <v>4280</v>
      </c>
      <c r="D2337" t="s">
        <v>76</v>
      </c>
      <c r="E2337" s="2">
        <v>40941</v>
      </c>
      <c r="F2337" t="str">
        <f>"9780203127711"</f>
        <v>9780203127711</v>
      </c>
      <c r="G2337" t="str">
        <f>"9780415895347"</f>
        <v>9780415895347</v>
      </c>
      <c r="H2337" t="s">
        <v>1046</v>
      </c>
      <c r="I2337">
        <v>302.23099999999999</v>
      </c>
      <c r="J2337" t="s">
        <v>4281</v>
      </c>
      <c r="K2337" t="s">
        <v>44</v>
      </c>
      <c r="N2337" t="s">
        <v>45</v>
      </c>
      <c r="O2337" t="s">
        <v>46</v>
      </c>
      <c r="P2337" t="s">
        <v>45</v>
      </c>
      <c r="Q2337" t="s">
        <v>47</v>
      </c>
      <c r="R2337" t="s">
        <v>44</v>
      </c>
      <c r="S2337">
        <v>0</v>
      </c>
      <c r="W2337" s="3">
        <v>1.0219907407407408E-2</v>
      </c>
      <c r="X2337" t="s">
        <v>4925</v>
      </c>
      <c r="Y2337">
        <v>17</v>
      </c>
      <c r="Z2337">
        <v>0</v>
      </c>
      <c r="AA2337" t="s">
        <v>49</v>
      </c>
      <c r="AB2337">
        <v>0</v>
      </c>
      <c r="AC2337" t="s">
        <v>1645</v>
      </c>
      <c r="AD2337">
        <v>1</v>
      </c>
      <c r="AE2337">
        <v>10535074</v>
      </c>
      <c r="AF2337" t="s">
        <v>50</v>
      </c>
      <c r="AG2337" t="s">
        <v>118</v>
      </c>
    </row>
    <row r="2338" spans="1:33" x14ac:dyDescent="0.35">
      <c r="A2338" s="1">
        <v>44833.71597222222</v>
      </c>
      <c r="B2338">
        <v>1390902</v>
      </c>
      <c r="C2338" t="s">
        <v>3788</v>
      </c>
      <c r="D2338" t="s">
        <v>819</v>
      </c>
      <c r="E2338" s="2">
        <v>41696</v>
      </c>
      <c r="F2338" t="str">
        <f>"9780814433423"</f>
        <v>9780814433423</v>
      </c>
      <c r="G2338" t="str">
        <f>"9780814433416"</f>
        <v>9780814433416</v>
      </c>
      <c r="H2338" t="s">
        <v>60</v>
      </c>
      <c r="I2338" t="s">
        <v>1652</v>
      </c>
      <c r="J2338" t="s">
        <v>3789</v>
      </c>
      <c r="K2338" t="s">
        <v>44</v>
      </c>
      <c r="N2338" t="s">
        <v>45</v>
      </c>
      <c r="O2338" t="s">
        <v>46</v>
      </c>
      <c r="P2338" t="s">
        <v>45</v>
      </c>
      <c r="Q2338" t="s">
        <v>47</v>
      </c>
      <c r="R2338" t="s">
        <v>44</v>
      </c>
      <c r="S2338">
        <v>0</v>
      </c>
      <c r="W2338" s="3">
        <v>2.3148148148148147E-5</v>
      </c>
      <c r="X2338" t="s">
        <v>121</v>
      </c>
      <c r="Y2338">
        <v>1</v>
      </c>
      <c r="Z2338">
        <v>0</v>
      </c>
      <c r="AA2338" t="s">
        <v>49</v>
      </c>
      <c r="AB2338">
        <v>0</v>
      </c>
      <c r="AC2338" t="s">
        <v>49</v>
      </c>
      <c r="AD2338">
        <v>0</v>
      </c>
      <c r="AE2338">
        <v>10821817</v>
      </c>
      <c r="AF2338" t="s">
        <v>50</v>
      </c>
      <c r="AG2338" t="s">
        <v>1451</v>
      </c>
    </row>
    <row r="2339" spans="1:33" x14ac:dyDescent="0.35">
      <c r="A2339" s="1">
        <v>44833.698611111111</v>
      </c>
      <c r="B2339">
        <v>6666678</v>
      </c>
      <c r="C2339" t="s">
        <v>4926</v>
      </c>
      <c r="D2339" t="s">
        <v>769</v>
      </c>
      <c r="E2339" s="2">
        <v>44440</v>
      </c>
      <c r="F2339" t="str">
        <f>"9781000434415"</f>
        <v>9781000434415</v>
      </c>
      <c r="G2339" t="str">
        <f>"9781032028491"</f>
        <v>9781032028491</v>
      </c>
      <c r="H2339" t="s">
        <v>138</v>
      </c>
      <c r="I2339" t="s">
        <v>1969</v>
      </c>
      <c r="J2339" t="s">
        <v>4927</v>
      </c>
      <c r="K2339" t="s">
        <v>55</v>
      </c>
      <c r="Q2339" t="s">
        <v>47</v>
      </c>
      <c r="R2339" t="s">
        <v>44</v>
      </c>
      <c r="S2339">
        <v>0</v>
      </c>
      <c r="W2339" s="3">
        <v>1.0416666666666667E-4</v>
      </c>
      <c r="X2339" t="s">
        <v>4928</v>
      </c>
      <c r="Y2339">
        <v>1</v>
      </c>
      <c r="Z2339">
        <v>0</v>
      </c>
      <c r="AA2339" t="s">
        <v>49</v>
      </c>
      <c r="AB2339">
        <v>0</v>
      </c>
      <c r="AC2339" t="s">
        <v>49</v>
      </c>
      <c r="AD2339">
        <v>0</v>
      </c>
      <c r="AE2339">
        <v>-1</v>
      </c>
      <c r="AF2339" t="s">
        <v>50</v>
      </c>
      <c r="AG2339" t="s">
        <v>4929</v>
      </c>
    </row>
    <row r="2340" spans="1:33" x14ac:dyDescent="0.35">
      <c r="A2340" s="1">
        <v>44833.670138888891</v>
      </c>
      <c r="B2340">
        <v>957290</v>
      </c>
      <c r="C2340" t="s">
        <v>4280</v>
      </c>
      <c r="D2340" t="s">
        <v>76</v>
      </c>
      <c r="E2340" s="2">
        <v>40941</v>
      </c>
      <c r="F2340" t="str">
        <f>"9780203127711"</f>
        <v>9780203127711</v>
      </c>
      <c r="G2340" t="str">
        <f>"9780415895347"</f>
        <v>9780415895347</v>
      </c>
      <c r="H2340" t="s">
        <v>1046</v>
      </c>
      <c r="I2340">
        <v>302.23099999999999</v>
      </c>
      <c r="J2340" t="s">
        <v>4281</v>
      </c>
      <c r="K2340" t="s">
        <v>44</v>
      </c>
      <c r="N2340" t="s">
        <v>45</v>
      </c>
      <c r="O2340" t="s">
        <v>46</v>
      </c>
      <c r="P2340" t="s">
        <v>45</v>
      </c>
      <c r="Q2340" t="s">
        <v>47</v>
      </c>
      <c r="R2340" t="s">
        <v>44</v>
      </c>
      <c r="S2340">
        <v>0</v>
      </c>
      <c r="W2340" s="3">
        <v>2.7430555555555559E-3</v>
      </c>
      <c r="X2340" t="s">
        <v>4930</v>
      </c>
      <c r="Y2340">
        <v>9</v>
      </c>
      <c r="Z2340">
        <v>0</v>
      </c>
      <c r="AA2340" t="s">
        <v>49</v>
      </c>
      <c r="AB2340">
        <v>0</v>
      </c>
      <c r="AC2340" t="s">
        <v>49</v>
      </c>
      <c r="AD2340">
        <v>0</v>
      </c>
      <c r="AE2340">
        <v>10535074</v>
      </c>
      <c r="AF2340" t="s">
        <v>50</v>
      </c>
      <c r="AG2340" t="s">
        <v>118</v>
      </c>
    </row>
    <row r="2341" spans="1:33" x14ac:dyDescent="0.35">
      <c r="A2341" s="1">
        <v>44833.667361111111</v>
      </c>
      <c r="B2341">
        <v>6666678</v>
      </c>
      <c r="C2341" t="s">
        <v>4926</v>
      </c>
      <c r="D2341" t="s">
        <v>769</v>
      </c>
      <c r="E2341" s="2">
        <v>44440</v>
      </c>
      <c r="F2341" t="str">
        <f>"9781000434415"</f>
        <v>9781000434415</v>
      </c>
      <c r="G2341" t="str">
        <f>"9781032028491"</f>
        <v>9781032028491</v>
      </c>
      <c r="H2341" t="s">
        <v>138</v>
      </c>
      <c r="I2341" t="s">
        <v>1969</v>
      </c>
      <c r="J2341" t="s">
        <v>4927</v>
      </c>
      <c r="K2341" t="s">
        <v>55</v>
      </c>
      <c r="Q2341" t="s">
        <v>47</v>
      </c>
      <c r="R2341" t="s">
        <v>44</v>
      </c>
      <c r="S2341">
        <v>0</v>
      </c>
      <c r="W2341" s="3">
        <v>1.8402777777777777E-3</v>
      </c>
      <c r="X2341" t="s">
        <v>4931</v>
      </c>
      <c r="Y2341">
        <v>20</v>
      </c>
      <c r="Z2341">
        <v>0</v>
      </c>
      <c r="AA2341" t="s">
        <v>49</v>
      </c>
      <c r="AB2341">
        <v>0</v>
      </c>
      <c r="AC2341" t="s">
        <v>49</v>
      </c>
      <c r="AD2341">
        <v>0</v>
      </c>
      <c r="AE2341">
        <v>-1</v>
      </c>
      <c r="AF2341" t="s">
        <v>50</v>
      </c>
      <c r="AG2341" t="s">
        <v>4929</v>
      </c>
    </row>
    <row r="2342" spans="1:33" x14ac:dyDescent="0.35">
      <c r="A2342" s="1">
        <v>44833.661805555559</v>
      </c>
      <c r="B2342">
        <v>5596841</v>
      </c>
      <c r="C2342" t="s">
        <v>1968</v>
      </c>
      <c r="D2342" t="s">
        <v>769</v>
      </c>
      <c r="E2342" s="2">
        <v>43411</v>
      </c>
      <c r="F2342" t="str">
        <f>"9781351013222"</f>
        <v>9781351013222</v>
      </c>
      <c r="G2342" t="str">
        <f>"9780815394372"</f>
        <v>9780815394372</v>
      </c>
      <c r="H2342" t="s">
        <v>138</v>
      </c>
      <c r="I2342" t="s">
        <v>1969</v>
      </c>
      <c r="K2342" t="s">
        <v>55</v>
      </c>
      <c r="Q2342" t="s">
        <v>47</v>
      </c>
      <c r="R2342" t="s">
        <v>44</v>
      </c>
      <c r="S2342">
        <v>0</v>
      </c>
      <c r="W2342" s="3">
        <v>4.0624999999999993E-3</v>
      </c>
      <c r="X2342" t="s">
        <v>4932</v>
      </c>
      <c r="Y2342">
        <v>28</v>
      </c>
      <c r="Z2342">
        <v>0</v>
      </c>
      <c r="AA2342" t="s">
        <v>49</v>
      </c>
      <c r="AB2342">
        <v>0</v>
      </c>
      <c r="AC2342" t="s">
        <v>49</v>
      </c>
      <c r="AD2342">
        <v>0</v>
      </c>
      <c r="AE2342">
        <v>-1</v>
      </c>
      <c r="AF2342" t="s">
        <v>50</v>
      </c>
      <c r="AG2342" t="s">
        <v>4929</v>
      </c>
    </row>
    <row r="2343" spans="1:33" x14ac:dyDescent="0.35">
      <c r="A2343" s="1">
        <v>44833.655555555553</v>
      </c>
      <c r="B2343">
        <v>957290</v>
      </c>
      <c r="C2343" t="s">
        <v>4280</v>
      </c>
      <c r="D2343" t="s">
        <v>76</v>
      </c>
      <c r="E2343" s="2">
        <v>40941</v>
      </c>
      <c r="F2343" t="str">
        <f>"9780203127711"</f>
        <v>9780203127711</v>
      </c>
      <c r="G2343" t="str">
        <f>"9780415895347"</f>
        <v>9780415895347</v>
      </c>
      <c r="H2343" t="s">
        <v>1046</v>
      </c>
      <c r="I2343">
        <v>302.23099999999999</v>
      </c>
      <c r="J2343" t="s">
        <v>4281</v>
      </c>
      <c r="K2343" t="s">
        <v>44</v>
      </c>
      <c r="N2343" t="s">
        <v>45</v>
      </c>
      <c r="O2343" t="s">
        <v>46</v>
      </c>
      <c r="P2343" t="s">
        <v>45</v>
      </c>
      <c r="Q2343" t="s">
        <v>47</v>
      </c>
      <c r="R2343" t="s">
        <v>44</v>
      </c>
      <c r="S2343">
        <v>0</v>
      </c>
      <c r="W2343" s="3">
        <v>4.6296296296296294E-5</v>
      </c>
      <c r="X2343" t="s">
        <v>196</v>
      </c>
      <c r="Y2343">
        <v>2</v>
      </c>
      <c r="Z2343">
        <v>0</v>
      </c>
      <c r="AA2343" t="s">
        <v>49</v>
      </c>
      <c r="AB2343">
        <v>0</v>
      </c>
      <c r="AC2343" t="s">
        <v>49</v>
      </c>
      <c r="AD2343">
        <v>0</v>
      </c>
      <c r="AE2343">
        <v>10535074</v>
      </c>
      <c r="AF2343" t="s">
        <v>50</v>
      </c>
      <c r="AG2343" t="s">
        <v>118</v>
      </c>
    </row>
    <row r="2344" spans="1:33" x14ac:dyDescent="0.35">
      <c r="A2344" s="1">
        <v>44833.652777777781</v>
      </c>
      <c r="B2344">
        <v>1186203</v>
      </c>
      <c r="C2344" t="s">
        <v>4688</v>
      </c>
      <c r="D2344" t="s">
        <v>465</v>
      </c>
      <c r="E2344" s="2">
        <v>37091</v>
      </c>
      <c r="F2344" t="str">
        <f>"9781847552228"</f>
        <v>9781847552228</v>
      </c>
      <c r="G2344" t="str">
        <f>"9780854046058"</f>
        <v>9780854046058</v>
      </c>
      <c r="H2344" t="s">
        <v>546</v>
      </c>
      <c r="I2344">
        <v>621.31241999999997</v>
      </c>
      <c r="J2344" t="s">
        <v>4689</v>
      </c>
      <c r="K2344" t="s">
        <v>44</v>
      </c>
      <c r="N2344" t="s">
        <v>45</v>
      </c>
      <c r="O2344" t="s">
        <v>46</v>
      </c>
      <c r="P2344" t="s">
        <v>45</v>
      </c>
      <c r="Q2344" t="s">
        <v>47</v>
      </c>
      <c r="R2344" t="s">
        <v>44</v>
      </c>
      <c r="S2344">
        <v>0</v>
      </c>
      <c r="W2344" s="3">
        <v>9.2592592592592588E-5</v>
      </c>
      <c r="X2344" t="s">
        <v>196</v>
      </c>
      <c r="Y2344">
        <v>2</v>
      </c>
      <c r="Z2344">
        <v>0</v>
      </c>
      <c r="AA2344" t="s">
        <v>49</v>
      </c>
      <c r="AB2344">
        <v>0</v>
      </c>
      <c r="AC2344" t="s">
        <v>49</v>
      </c>
      <c r="AD2344">
        <v>0</v>
      </c>
      <c r="AE2344">
        <v>10626380</v>
      </c>
      <c r="AF2344" t="s">
        <v>50</v>
      </c>
      <c r="AG2344" t="s">
        <v>1355</v>
      </c>
    </row>
    <row r="2345" spans="1:33" x14ac:dyDescent="0.35">
      <c r="A2345" s="1">
        <v>44833.598611111112</v>
      </c>
      <c r="B2345">
        <v>957290</v>
      </c>
      <c r="C2345" t="s">
        <v>4280</v>
      </c>
      <c r="D2345" t="s">
        <v>76</v>
      </c>
      <c r="E2345" s="2">
        <v>40941</v>
      </c>
      <c r="F2345" t="str">
        <f>"9780203127711"</f>
        <v>9780203127711</v>
      </c>
      <c r="G2345" t="str">
        <f>"9780415895347"</f>
        <v>9780415895347</v>
      </c>
      <c r="H2345" t="s">
        <v>1046</v>
      </c>
      <c r="I2345">
        <v>302.23099999999999</v>
      </c>
      <c r="J2345" t="s">
        <v>4281</v>
      </c>
      <c r="K2345" t="s">
        <v>44</v>
      </c>
      <c r="N2345" t="s">
        <v>45</v>
      </c>
      <c r="O2345" t="s">
        <v>46</v>
      </c>
      <c r="P2345" t="s">
        <v>45</v>
      </c>
      <c r="Q2345" t="s">
        <v>47</v>
      </c>
      <c r="R2345" t="s">
        <v>44</v>
      </c>
      <c r="S2345">
        <v>0</v>
      </c>
      <c r="W2345" s="3">
        <v>2.1412037037037038E-3</v>
      </c>
      <c r="X2345" t="s">
        <v>4933</v>
      </c>
      <c r="Y2345">
        <v>18</v>
      </c>
      <c r="Z2345">
        <v>0</v>
      </c>
      <c r="AA2345" t="s">
        <v>49</v>
      </c>
      <c r="AB2345">
        <v>0</v>
      </c>
      <c r="AC2345" t="s">
        <v>49</v>
      </c>
      <c r="AD2345">
        <v>0</v>
      </c>
      <c r="AE2345">
        <v>10535074</v>
      </c>
      <c r="AF2345" t="s">
        <v>50</v>
      </c>
      <c r="AG2345" t="s">
        <v>118</v>
      </c>
    </row>
    <row r="2346" spans="1:33" x14ac:dyDescent="0.35">
      <c r="A2346" s="1">
        <v>44833.59375</v>
      </c>
      <c r="B2346">
        <v>6511408</v>
      </c>
      <c r="C2346" t="s">
        <v>4934</v>
      </c>
      <c r="D2346" t="s">
        <v>257</v>
      </c>
      <c r="E2346" s="2">
        <v>44259</v>
      </c>
      <c r="F2346" t="str">
        <f>"9781484268919"</f>
        <v>9781484268919</v>
      </c>
      <c r="G2346" t="str">
        <f>"9781484268902"</f>
        <v>9781484268902</v>
      </c>
      <c r="H2346" t="s">
        <v>4935</v>
      </c>
      <c r="I2346">
        <v>629.89200000000005</v>
      </c>
      <c r="J2346" t="s">
        <v>4936</v>
      </c>
      <c r="K2346" t="s">
        <v>55</v>
      </c>
      <c r="Q2346" t="s">
        <v>47</v>
      </c>
      <c r="R2346" t="s">
        <v>44</v>
      </c>
      <c r="S2346">
        <v>0</v>
      </c>
      <c r="W2346" s="3">
        <v>1.8287037037037037E-3</v>
      </c>
      <c r="X2346" t="s">
        <v>4937</v>
      </c>
      <c r="Y2346">
        <v>43</v>
      </c>
      <c r="Z2346">
        <v>0</v>
      </c>
      <c r="AA2346" t="s">
        <v>49</v>
      </c>
      <c r="AB2346">
        <v>0</v>
      </c>
      <c r="AC2346" t="s">
        <v>49</v>
      </c>
      <c r="AD2346">
        <v>0</v>
      </c>
      <c r="AE2346">
        <v>-1</v>
      </c>
      <c r="AF2346" t="s">
        <v>50</v>
      </c>
      <c r="AG2346" t="s">
        <v>4929</v>
      </c>
    </row>
    <row r="2347" spans="1:33" x14ac:dyDescent="0.35">
      <c r="A2347" s="1">
        <v>44833.591666666667</v>
      </c>
      <c r="B2347">
        <v>5439457</v>
      </c>
      <c r="C2347" t="s">
        <v>4609</v>
      </c>
      <c r="D2347" t="s">
        <v>141</v>
      </c>
      <c r="E2347" s="2">
        <v>43278</v>
      </c>
      <c r="F2347" t="str">
        <f>"9781788629973"</f>
        <v>9781788629973</v>
      </c>
      <c r="G2347" t="str">
        <f>"9781788623315"</f>
        <v>9781788623315</v>
      </c>
      <c r="H2347" t="s">
        <v>138</v>
      </c>
      <c r="I2347">
        <v>5.133</v>
      </c>
      <c r="J2347" t="s">
        <v>4610</v>
      </c>
      <c r="K2347" t="s">
        <v>44</v>
      </c>
      <c r="N2347" t="s">
        <v>45</v>
      </c>
      <c r="O2347" t="s">
        <v>46</v>
      </c>
      <c r="P2347" t="s">
        <v>177</v>
      </c>
      <c r="Q2347" t="s">
        <v>47</v>
      </c>
      <c r="R2347" t="s">
        <v>55</v>
      </c>
      <c r="S2347">
        <v>0</v>
      </c>
      <c r="W2347" s="3">
        <v>6.4814814814814813E-4</v>
      </c>
      <c r="X2347" t="s">
        <v>4938</v>
      </c>
      <c r="Y2347">
        <v>15</v>
      </c>
      <c r="Z2347">
        <v>0</v>
      </c>
      <c r="AA2347" t="s">
        <v>49</v>
      </c>
      <c r="AB2347">
        <v>0</v>
      </c>
      <c r="AC2347" t="s">
        <v>49</v>
      </c>
      <c r="AD2347">
        <v>0</v>
      </c>
      <c r="AE2347">
        <v>-1</v>
      </c>
      <c r="AF2347" t="s">
        <v>50</v>
      </c>
      <c r="AG2347" t="s">
        <v>4929</v>
      </c>
    </row>
    <row r="2348" spans="1:33" x14ac:dyDescent="0.35">
      <c r="A2348" s="1">
        <v>44833.590277777781</v>
      </c>
      <c r="B2348">
        <v>6679436</v>
      </c>
      <c r="C2348" t="s">
        <v>2291</v>
      </c>
      <c r="D2348" t="s">
        <v>105</v>
      </c>
      <c r="E2348" s="2">
        <v>44395</v>
      </c>
      <c r="F2348" t="str">
        <f>"9783030754723"</f>
        <v>9783030754723</v>
      </c>
      <c r="G2348" t="str">
        <f>"9783030754716"</f>
        <v>9783030754716</v>
      </c>
      <c r="H2348" t="s">
        <v>233</v>
      </c>
      <c r="I2348">
        <v>629.89200000000005</v>
      </c>
      <c r="J2348" t="s">
        <v>234</v>
      </c>
      <c r="K2348" t="s">
        <v>55</v>
      </c>
      <c r="Q2348" t="s">
        <v>47</v>
      </c>
      <c r="R2348" t="s">
        <v>44</v>
      </c>
      <c r="S2348">
        <v>0</v>
      </c>
      <c r="W2348" s="3">
        <v>3.2407407407407406E-4</v>
      </c>
      <c r="X2348" t="s">
        <v>4939</v>
      </c>
      <c r="Y2348">
        <v>7</v>
      </c>
      <c r="Z2348">
        <v>0</v>
      </c>
      <c r="AA2348" t="s">
        <v>49</v>
      </c>
      <c r="AB2348">
        <v>0</v>
      </c>
      <c r="AC2348" t="s">
        <v>49</v>
      </c>
      <c r="AD2348">
        <v>0</v>
      </c>
      <c r="AE2348">
        <v>-1</v>
      </c>
      <c r="AF2348" t="s">
        <v>50</v>
      </c>
      <c r="AG2348" t="s">
        <v>4929</v>
      </c>
    </row>
    <row r="2349" spans="1:33" x14ac:dyDescent="0.35">
      <c r="A2349" s="1">
        <v>44833.568749999999</v>
      </c>
      <c r="B2349">
        <v>957290</v>
      </c>
      <c r="C2349" t="s">
        <v>4280</v>
      </c>
      <c r="D2349" t="s">
        <v>76</v>
      </c>
      <c r="E2349" s="2">
        <v>40941</v>
      </c>
      <c r="F2349" t="str">
        <f>"9780203127711"</f>
        <v>9780203127711</v>
      </c>
      <c r="G2349" t="str">
        <f>"9780415895347"</f>
        <v>9780415895347</v>
      </c>
      <c r="H2349" t="s">
        <v>1046</v>
      </c>
      <c r="I2349">
        <v>302.23099999999999</v>
      </c>
      <c r="J2349" t="s">
        <v>4281</v>
      </c>
      <c r="K2349" t="s">
        <v>44</v>
      </c>
      <c r="N2349" t="s">
        <v>45</v>
      </c>
      <c r="O2349" t="s">
        <v>46</v>
      </c>
      <c r="P2349" t="s">
        <v>45</v>
      </c>
      <c r="Q2349" t="s">
        <v>47</v>
      </c>
      <c r="R2349" t="s">
        <v>44</v>
      </c>
      <c r="S2349">
        <v>0</v>
      </c>
      <c r="W2349" s="3">
        <v>1.0879629629629629E-3</v>
      </c>
      <c r="X2349" t="s">
        <v>4940</v>
      </c>
      <c r="Y2349">
        <v>5</v>
      </c>
      <c r="Z2349">
        <v>0</v>
      </c>
      <c r="AA2349" t="s">
        <v>49</v>
      </c>
      <c r="AB2349">
        <v>0</v>
      </c>
      <c r="AC2349" t="s">
        <v>49</v>
      </c>
      <c r="AD2349">
        <v>0</v>
      </c>
      <c r="AE2349">
        <v>10535074</v>
      </c>
      <c r="AF2349" t="s">
        <v>50</v>
      </c>
      <c r="AG2349" t="s">
        <v>2128</v>
      </c>
    </row>
    <row r="2350" spans="1:33" x14ac:dyDescent="0.35">
      <c r="A2350" s="1">
        <v>44833.568055555559</v>
      </c>
      <c r="B2350">
        <v>957290</v>
      </c>
      <c r="C2350" t="s">
        <v>4280</v>
      </c>
      <c r="D2350" t="s">
        <v>76</v>
      </c>
      <c r="E2350" s="2">
        <v>40941</v>
      </c>
      <c r="F2350" t="str">
        <f>"9780203127711"</f>
        <v>9780203127711</v>
      </c>
      <c r="G2350" t="str">
        <f>"9780415895347"</f>
        <v>9780415895347</v>
      </c>
      <c r="H2350" t="s">
        <v>1046</v>
      </c>
      <c r="I2350">
        <v>302.23099999999999</v>
      </c>
      <c r="J2350" t="s">
        <v>4281</v>
      </c>
      <c r="K2350" t="s">
        <v>44</v>
      </c>
      <c r="N2350" t="s">
        <v>45</v>
      </c>
      <c r="O2350" t="s">
        <v>46</v>
      </c>
      <c r="P2350" t="s">
        <v>45</v>
      </c>
      <c r="Q2350" t="s">
        <v>47</v>
      </c>
      <c r="R2350" t="s">
        <v>44</v>
      </c>
      <c r="S2350">
        <v>0</v>
      </c>
      <c r="W2350" s="3">
        <v>4.3981481481481481E-4</v>
      </c>
      <c r="X2350" t="s">
        <v>4941</v>
      </c>
      <c r="Y2350">
        <v>7</v>
      </c>
      <c r="Z2350">
        <v>0</v>
      </c>
      <c r="AA2350" t="s">
        <v>49</v>
      </c>
      <c r="AB2350">
        <v>0</v>
      </c>
      <c r="AC2350" t="s">
        <v>49</v>
      </c>
      <c r="AD2350">
        <v>0</v>
      </c>
      <c r="AE2350">
        <v>10535074</v>
      </c>
      <c r="AF2350" t="s">
        <v>50</v>
      </c>
      <c r="AG2350" t="s">
        <v>264</v>
      </c>
    </row>
    <row r="2351" spans="1:33" x14ac:dyDescent="0.35">
      <c r="A2351" s="1">
        <v>44833.559027777781</v>
      </c>
      <c r="B2351">
        <v>6426168</v>
      </c>
      <c r="C2351" t="s">
        <v>4942</v>
      </c>
      <c r="D2351" t="s">
        <v>59</v>
      </c>
      <c r="E2351" s="2">
        <v>44203</v>
      </c>
      <c r="F2351" t="str">
        <f>"9781119769941"</f>
        <v>9781119769941</v>
      </c>
      <c r="G2351" t="str">
        <f>"9781119769910"</f>
        <v>9781119769910</v>
      </c>
      <c r="H2351" t="s">
        <v>4943</v>
      </c>
      <c r="I2351">
        <v>681.25</v>
      </c>
      <c r="J2351" t="s">
        <v>4944</v>
      </c>
      <c r="K2351" t="s">
        <v>44</v>
      </c>
      <c r="Q2351" t="s">
        <v>47</v>
      </c>
      <c r="R2351" t="s">
        <v>44</v>
      </c>
      <c r="S2351">
        <v>0</v>
      </c>
      <c r="W2351" s="3">
        <v>4.386574074074074E-3</v>
      </c>
      <c r="X2351" t="s">
        <v>4945</v>
      </c>
      <c r="Y2351">
        <v>16</v>
      </c>
      <c r="Z2351">
        <v>0</v>
      </c>
      <c r="AA2351" t="s">
        <v>49</v>
      </c>
      <c r="AB2351">
        <v>0</v>
      </c>
      <c r="AC2351" t="s">
        <v>49</v>
      </c>
      <c r="AD2351">
        <v>0</v>
      </c>
      <c r="AE2351">
        <v>-1</v>
      </c>
      <c r="AF2351" t="s">
        <v>63</v>
      </c>
      <c r="AG2351" t="s">
        <v>3037</v>
      </c>
    </row>
    <row r="2352" spans="1:33" x14ac:dyDescent="0.35">
      <c r="A2352" s="1">
        <v>44833.537499999999</v>
      </c>
      <c r="B2352">
        <v>619232</v>
      </c>
      <c r="C2352" t="s">
        <v>4946</v>
      </c>
      <c r="D2352" t="s">
        <v>4947</v>
      </c>
      <c r="E2352" s="2">
        <v>40483</v>
      </c>
      <c r="F2352" t="str">
        <f>"9780803234505"</f>
        <v>9780803234505</v>
      </c>
      <c r="G2352" t="str">
        <f>"9780803220522"</f>
        <v>9780803220522</v>
      </c>
      <c r="H2352" t="s">
        <v>2799</v>
      </c>
      <c r="I2352" t="s">
        <v>4948</v>
      </c>
      <c r="J2352" t="s">
        <v>4949</v>
      </c>
      <c r="K2352" t="s">
        <v>44</v>
      </c>
      <c r="N2352" t="s">
        <v>45</v>
      </c>
      <c r="O2352" t="s">
        <v>46</v>
      </c>
      <c r="P2352" t="s">
        <v>177</v>
      </c>
      <c r="Q2352" t="s">
        <v>47</v>
      </c>
      <c r="R2352" t="s">
        <v>55</v>
      </c>
      <c r="S2352">
        <v>0</v>
      </c>
      <c r="W2352" s="3">
        <v>0</v>
      </c>
      <c r="X2352" t="s">
        <v>49</v>
      </c>
      <c r="Y2352">
        <v>0</v>
      </c>
      <c r="Z2352">
        <v>4</v>
      </c>
      <c r="AA2352" t="s">
        <v>4950</v>
      </c>
      <c r="AB2352">
        <v>38</v>
      </c>
      <c r="AC2352" t="s">
        <v>49</v>
      </c>
      <c r="AD2352">
        <v>0</v>
      </c>
      <c r="AE2352">
        <v>10432622</v>
      </c>
      <c r="AF2352" t="s">
        <v>63</v>
      </c>
      <c r="AG2352" t="s">
        <v>1355</v>
      </c>
    </row>
    <row r="2353" spans="1:33" x14ac:dyDescent="0.35">
      <c r="A2353" s="1">
        <v>44833.529861111114</v>
      </c>
      <c r="B2353">
        <v>957290</v>
      </c>
      <c r="C2353" t="s">
        <v>4280</v>
      </c>
      <c r="D2353" t="s">
        <v>76</v>
      </c>
      <c r="E2353" s="2">
        <v>40941</v>
      </c>
      <c r="F2353" t="str">
        <f>"9780203127711"</f>
        <v>9780203127711</v>
      </c>
      <c r="G2353" t="str">
        <f>"9780415895347"</f>
        <v>9780415895347</v>
      </c>
      <c r="H2353" t="s">
        <v>1046</v>
      </c>
      <c r="I2353">
        <v>302.23099999999999</v>
      </c>
      <c r="J2353" t="s">
        <v>4281</v>
      </c>
      <c r="K2353" t="s">
        <v>44</v>
      </c>
      <c r="N2353" t="s">
        <v>45</v>
      </c>
      <c r="O2353" t="s">
        <v>46</v>
      </c>
      <c r="P2353" t="s">
        <v>45</v>
      </c>
      <c r="Q2353" t="s">
        <v>47</v>
      </c>
      <c r="R2353" t="s">
        <v>44</v>
      </c>
      <c r="S2353">
        <v>0</v>
      </c>
      <c r="W2353" s="3">
        <v>2.5462962962962961E-4</v>
      </c>
      <c r="X2353" t="s">
        <v>4951</v>
      </c>
      <c r="Y2353">
        <v>3</v>
      </c>
      <c r="Z2353">
        <v>0</v>
      </c>
      <c r="AA2353" t="s">
        <v>49</v>
      </c>
      <c r="AB2353">
        <v>0</v>
      </c>
      <c r="AC2353" t="s">
        <v>49</v>
      </c>
      <c r="AD2353">
        <v>0</v>
      </c>
      <c r="AE2353">
        <v>10535074</v>
      </c>
      <c r="AF2353" t="s">
        <v>50</v>
      </c>
      <c r="AG2353" t="s">
        <v>118</v>
      </c>
    </row>
    <row r="2354" spans="1:33" x14ac:dyDescent="0.35">
      <c r="A2354" s="1">
        <v>44833.526388888888</v>
      </c>
      <c r="B2354">
        <v>4591662</v>
      </c>
      <c r="C2354" t="s">
        <v>4952</v>
      </c>
      <c r="D2354" t="s">
        <v>4953</v>
      </c>
      <c r="E2354" s="2">
        <v>42309</v>
      </c>
      <c r="F2354" t="str">
        <f>"9781597569477"</f>
        <v>9781597569477</v>
      </c>
      <c r="G2354" t="str">
        <f>"9781597566148"</f>
        <v>9781597566148</v>
      </c>
      <c r="H2354" t="s">
        <v>4954</v>
      </c>
      <c r="I2354" t="s">
        <v>4955</v>
      </c>
      <c r="J2354" t="s">
        <v>4956</v>
      </c>
      <c r="K2354" t="s">
        <v>44</v>
      </c>
      <c r="N2354" t="s">
        <v>45</v>
      </c>
      <c r="O2354" t="s">
        <v>46</v>
      </c>
      <c r="P2354" t="s">
        <v>45</v>
      </c>
      <c r="Q2354" t="s">
        <v>47</v>
      </c>
      <c r="R2354" t="s">
        <v>44</v>
      </c>
      <c r="S2354">
        <v>0</v>
      </c>
      <c r="W2354" s="3">
        <v>1.0729166666666666E-2</v>
      </c>
      <c r="X2354" t="s">
        <v>196</v>
      </c>
      <c r="Y2354">
        <v>2</v>
      </c>
      <c r="Z2354">
        <v>0</v>
      </c>
      <c r="AA2354" t="s">
        <v>49</v>
      </c>
      <c r="AB2354">
        <v>0</v>
      </c>
      <c r="AC2354" t="s">
        <v>49</v>
      </c>
      <c r="AD2354">
        <v>0</v>
      </c>
      <c r="AE2354">
        <v>11235708</v>
      </c>
      <c r="AF2354" t="s">
        <v>63</v>
      </c>
      <c r="AG2354" t="s">
        <v>1355</v>
      </c>
    </row>
    <row r="2355" spans="1:33" x14ac:dyDescent="0.35">
      <c r="A2355" s="1">
        <v>44833.525694444441</v>
      </c>
      <c r="B2355">
        <v>515717</v>
      </c>
      <c r="C2355" t="s">
        <v>4957</v>
      </c>
      <c r="D2355" t="s">
        <v>4958</v>
      </c>
      <c r="E2355" s="2">
        <v>40283</v>
      </c>
      <c r="F2355" t="str">
        <f>"9780226316635"</f>
        <v>9780226316635</v>
      </c>
      <c r="G2355" t="str">
        <f>"9780226316611"</f>
        <v>9780226316611</v>
      </c>
      <c r="H2355" t="s">
        <v>3871</v>
      </c>
      <c r="I2355" t="s">
        <v>4959</v>
      </c>
      <c r="J2355" t="s">
        <v>4960</v>
      </c>
      <c r="K2355" t="s">
        <v>44</v>
      </c>
      <c r="N2355" t="s">
        <v>45</v>
      </c>
      <c r="O2355" t="s">
        <v>46</v>
      </c>
      <c r="P2355" t="s">
        <v>45</v>
      </c>
      <c r="Q2355" t="s">
        <v>47</v>
      </c>
      <c r="R2355" t="s">
        <v>44</v>
      </c>
      <c r="S2355">
        <v>0</v>
      </c>
      <c r="W2355" s="3">
        <v>1.0011574074074074E-2</v>
      </c>
      <c r="X2355" t="s">
        <v>4961</v>
      </c>
      <c r="Y2355">
        <v>4</v>
      </c>
      <c r="Z2355">
        <v>1</v>
      </c>
      <c r="AA2355" t="s">
        <v>4962</v>
      </c>
      <c r="AB2355">
        <v>18</v>
      </c>
      <c r="AC2355" t="s">
        <v>49</v>
      </c>
      <c r="AD2355">
        <v>0</v>
      </c>
      <c r="AE2355">
        <v>10381167</v>
      </c>
      <c r="AF2355" t="s">
        <v>63</v>
      </c>
      <c r="AG2355" t="s">
        <v>1355</v>
      </c>
    </row>
    <row r="2356" spans="1:33" x14ac:dyDescent="0.35">
      <c r="A2356" s="1">
        <v>44833.525694444441</v>
      </c>
      <c r="B2356">
        <v>300906</v>
      </c>
      <c r="C2356" t="s">
        <v>4963</v>
      </c>
      <c r="D2356" t="s">
        <v>65</v>
      </c>
      <c r="E2356" s="2">
        <v>38269</v>
      </c>
      <c r="F2356" t="str">
        <f>"9780080525211"</f>
        <v>9780080525211</v>
      </c>
      <c r="G2356" t="str">
        <f>"9780120884247"</f>
        <v>9780120884247</v>
      </c>
      <c r="H2356" t="s">
        <v>4964</v>
      </c>
      <c r="I2356" t="s">
        <v>4948</v>
      </c>
      <c r="J2356" t="s">
        <v>4965</v>
      </c>
      <c r="K2356" t="s">
        <v>44</v>
      </c>
      <c r="N2356" t="s">
        <v>45</v>
      </c>
      <c r="O2356" t="s">
        <v>46</v>
      </c>
      <c r="P2356" t="s">
        <v>45</v>
      </c>
      <c r="Q2356" t="s">
        <v>47</v>
      </c>
      <c r="R2356" t="s">
        <v>44</v>
      </c>
      <c r="S2356">
        <v>0</v>
      </c>
      <c r="W2356" s="3">
        <v>1.0347222222222223E-2</v>
      </c>
      <c r="X2356" t="s">
        <v>4966</v>
      </c>
      <c r="Y2356">
        <v>5</v>
      </c>
      <c r="Z2356">
        <v>1</v>
      </c>
      <c r="AA2356" t="s">
        <v>4967</v>
      </c>
      <c r="AB2356">
        <v>10</v>
      </c>
      <c r="AC2356" t="s">
        <v>49</v>
      </c>
      <c r="AD2356">
        <v>0</v>
      </c>
      <c r="AE2356">
        <v>10179872</v>
      </c>
      <c r="AF2356" t="s">
        <v>63</v>
      </c>
      <c r="AG2356" t="s">
        <v>1355</v>
      </c>
    </row>
    <row r="2357" spans="1:33" x14ac:dyDescent="0.35">
      <c r="A2357" s="1">
        <v>44833.525694444441</v>
      </c>
      <c r="B2357">
        <v>439051</v>
      </c>
      <c r="C2357" t="s">
        <v>4968</v>
      </c>
      <c r="D2357" t="s">
        <v>125</v>
      </c>
      <c r="E2357" s="2">
        <v>37357</v>
      </c>
      <c r="F2357" t="str">
        <f>"9780195350692"</f>
        <v>9780195350692</v>
      </c>
      <c r="G2357" t="str">
        <f>"9780195134544"</f>
        <v>9780195134544</v>
      </c>
      <c r="H2357" t="s">
        <v>4969</v>
      </c>
      <c r="I2357" t="s">
        <v>4959</v>
      </c>
      <c r="J2357" t="s">
        <v>4970</v>
      </c>
      <c r="K2357" t="s">
        <v>44</v>
      </c>
      <c r="N2357" t="s">
        <v>45</v>
      </c>
      <c r="O2357" t="s">
        <v>46</v>
      </c>
      <c r="P2357" t="s">
        <v>45</v>
      </c>
      <c r="Q2357" t="s">
        <v>47</v>
      </c>
      <c r="R2357" t="s">
        <v>44</v>
      </c>
      <c r="S2357">
        <v>0</v>
      </c>
      <c r="W2357" s="3">
        <v>1.0995370370370371E-3</v>
      </c>
      <c r="X2357" t="s">
        <v>196</v>
      </c>
      <c r="Y2357">
        <v>2</v>
      </c>
      <c r="Z2357">
        <v>0</v>
      </c>
      <c r="AA2357" t="s">
        <v>49</v>
      </c>
      <c r="AB2357">
        <v>0</v>
      </c>
      <c r="AC2357" t="s">
        <v>49</v>
      </c>
      <c r="AD2357">
        <v>0</v>
      </c>
      <c r="AE2357">
        <v>10142436</v>
      </c>
      <c r="AF2357" t="s">
        <v>63</v>
      </c>
      <c r="AG2357" t="s">
        <v>1355</v>
      </c>
    </row>
    <row r="2358" spans="1:33" x14ac:dyDescent="0.35">
      <c r="A2358" s="1">
        <v>44833.525694444441</v>
      </c>
      <c r="B2358">
        <v>5928197</v>
      </c>
      <c r="C2358" t="s">
        <v>4738</v>
      </c>
      <c r="D2358" t="s">
        <v>59</v>
      </c>
      <c r="E2358" s="2">
        <v>43839</v>
      </c>
      <c r="F2358" t="str">
        <f>"9781118907269"</f>
        <v>9781118907269</v>
      </c>
      <c r="G2358" t="str">
        <f>"9781118907429"</f>
        <v>9781118907429</v>
      </c>
      <c r="H2358" t="s">
        <v>2799</v>
      </c>
      <c r="I2358">
        <v>502.3</v>
      </c>
      <c r="J2358" t="s">
        <v>4739</v>
      </c>
      <c r="K2358" t="s">
        <v>44</v>
      </c>
      <c r="N2358" t="s">
        <v>45</v>
      </c>
      <c r="O2358" t="s">
        <v>46</v>
      </c>
      <c r="P2358" t="s">
        <v>45</v>
      </c>
      <c r="Q2358" t="s">
        <v>47</v>
      </c>
      <c r="R2358" t="s">
        <v>44</v>
      </c>
      <c r="S2358">
        <v>0</v>
      </c>
      <c r="W2358" s="3">
        <v>1.6481481481481482E-2</v>
      </c>
      <c r="X2358" t="s">
        <v>4971</v>
      </c>
      <c r="Y2358">
        <v>7</v>
      </c>
      <c r="Z2358">
        <v>1</v>
      </c>
      <c r="AA2358" t="s">
        <v>4972</v>
      </c>
      <c r="AB2358">
        <v>56</v>
      </c>
      <c r="AC2358" t="s">
        <v>49</v>
      </c>
      <c r="AD2358">
        <v>0</v>
      </c>
      <c r="AE2358">
        <v>-1</v>
      </c>
      <c r="AF2358" t="s">
        <v>63</v>
      </c>
      <c r="AG2358" t="s">
        <v>1355</v>
      </c>
    </row>
    <row r="2359" spans="1:33" x14ac:dyDescent="0.35">
      <c r="A2359" s="1">
        <v>44833.506249999999</v>
      </c>
      <c r="B2359">
        <v>6474174</v>
      </c>
      <c r="C2359" t="s">
        <v>4973</v>
      </c>
      <c r="D2359" t="s">
        <v>76</v>
      </c>
      <c r="E2359" s="2">
        <v>44256</v>
      </c>
      <c r="F2359" t="str">
        <f>"9781000356946"</f>
        <v>9781000356946</v>
      </c>
      <c r="G2359" t="str">
        <f>"9780367476939"</f>
        <v>9780367476939</v>
      </c>
      <c r="H2359" t="s">
        <v>546</v>
      </c>
      <c r="I2359" t="s">
        <v>4974</v>
      </c>
      <c r="J2359" t="s">
        <v>4975</v>
      </c>
      <c r="K2359" t="s">
        <v>55</v>
      </c>
      <c r="Q2359" t="s">
        <v>47</v>
      </c>
      <c r="R2359" t="s">
        <v>44</v>
      </c>
      <c r="S2359">
        <v>0</v>
      </c>
      <c r="W2359" s="3">
        <v>1.5393518518518519E-3</v>
      </c>
      <c r="X2359" t="s">
        <v>4976</v>
      </c>
      <c r="Y2359">
        <v>11</v>
      </c>
      <c r="Z2359">
        <v>0</v>
      </c>
      <c r="AA2359" t="s">
        <v>49</v>
      </c>
      <c r="AB2359">
        <v>0</v>
      </c>
      <c r="AC2359" t="s">
        <v>49</v>
      </c>
      <c r="AD2359">
        <v>0</v>
      </c>
      <c r="AE2359">
        <v>-1</v>
      </c>
      <c r="AF2359" t="s">
        <v>63</v>
      </c>
      <c r="AG2359" t="s">
        <v>1355</v>
      </c>
    </row>
    <row r="2360" spans="1:33" x14ac:dyDescent="0.35">
      <c r="A2360" s="1">
        <v>44833.502083333333</v>
      </c>
      <c r="B2360">
        <v>469749</v>
      </c>
      <c r="C2360" t="s">
        <v>2784</v>
      </c>
      <c r="D2360" t="s">
        <v>1458</v>
      </c>
      <c r="E2360" s="2">
        <v>39693</v>
      </c>
      <c r="F2360" t="str">
        <f>"9780470282069"</f>
        <v>9780470282069</v>
      </c>
      <c r="G2360" t="str">
        <f>"9780470105252"</f>
        <v>9780470105252</v>
      </c>
      <c r="H2360" t="s">
        <v>1112</v>
      </c>
      <c r="I2360">
        <v>660.28319999999997</v>
      </c>
      <c r="J2360" t="s">
        <v>2785</v>
      </c>
      <c r="K2360" t="s">
        <v>44</v>
      </c>
      <c r="N2360" t="s">
        <v>45</v>
      </c>
      <c r="O2360" t="s">
        <v>46</v>
      </c>
      <c r="P2360" t="s">
        <v>45</v>
      </c>
      <c r="Q2360" t="s">
        <v>47</v>
      </c>
      <c r="R2360" t="s">
        <v>44</v>
      </c>
      <c r="S2360">
        <v>1</v>
      </c>
      <c r="W2360" s="3">
        <v>9.0624999999999994E-3</v>
      </c>
      <c r="X2360" t="s">
        <v>4977</v>
      </c>
      <c r="Y2360">
        <v>17</v>
      </c>
      <c r="Z2360">
        <v>0</v>
      </c>
      <c r="AA2360" t="s">
        <v>49</v>
      </c>
      <c r="AB2360">
        <v>0</v>
      </c>
      <c r="AC2360" t="s">
        <v>49</v>
      </c>
      <c r="AD2360">
        <v>0</v>
      </c>
      <c r="AE2360">
        <v>10296771</v>
      </c>
      <c r="AF2360" t="s">
        <v>63</v>
      </c>
      <c r="AG2360" t="s">
        <v>118</v>
      </c>
    </row>
    <row r="2361" spans="1:33" x14ac:dyDescent="0.35">
      <c r="A2361" s="1">
        <v>44833.499305555553</v>
      </c>
      <c r="B2361">
        <v>957290</v>
      </c>
      <c r="C2361" t="s">
        <v>4280</v>
      </c>
      <c r="D2361" t="s">
        <v>76</v>
      </c>
      <c r="E2361" s="2">
        <v>40941</v>
      </c>
      <c r="F2361" t="str">
        <f>"9780203127711"</f>
        <v>9780203127711</v>
      </c>
      <c r="G2361" t="str">
        <f>"9780415895347"</f>
        <v>9780415895347</v>
      </c>
      <c r="H2361" t="s">
        <v>1046</v>
      </c>
      <c r="I2361">
        <v>302.23099999999999</v>
      </c>
      <c r="J2361" t="s">
        <v>4281</v>
      </c>
      <c r="K2361" t="s">
        <v>44</v>
      </c>
      <c r="N2361" t="s">
        <v>45</v>
      </c>
      <c r="O2361" t="s">
        <v>46</v>
      </c>
      <c r="P2361" t="s">
        <v>45</v>
      </c>
      <c r="Q2361" t="s">
        <v>47</v>
      </c>
      <c r="R2361" t="s">
        <v>44</v>
      </c>
      <c r="S2361">
        <v>0</v>
      </c>
      <c r="W2361" s="3">
        <v>9.5949074074074079E-3</v>
      </c>
      <c r="X2361" t="s">
        <v>4978</v>
      </c>
      <c r="Y2361">
        <v>8</v>
      </c>
      <c r="Z2361">
        <v>0</v>
      </c>
      <c r="AA2361" t="s">
        <v>49</v>
      </c>
      <c r="AB2361">
        <v>0</v>
      </c>
      <c r="AC2361" t="s">
        <v>4979</v>
      </c>
      <c r="AD2361">
        <v>6</v>
      </c>
      <c r="AE2361">
        <v>10535074</v>
      </c>
      <c r="AF2361" t="s">
        <v>50</v>
      </c>
      <c r="AG2361" t="s">
        <v>118</v>
      </c>
    </row>
    <row r="2362" spans="1:33" x14ac:dyDescent="0.35">
      <c r="A2362" s="1">
        <v>44833.498611111114</v>
      </c>
      <c r="B2362">
        <v>469749</v>
      </c>
      <c r="C2362" t="s">
        <v>2784</v>
      </c>
      <c r="D2362" t="s">
        <v>1458</v>
      </c>
      <c r="E2362" s="2">
        <v>39693</v>
      </c>
      <c r="F2362" t="str">
        <f>"9780470282069"</f>
        <v>9780470282069</v>
      </c>
      <c r="G2362" t="str">
        <f>"9780470105252"</f>
        <v>9780470105252</v>
      </c>
      <c r="H2362" t="s">
        <v>1112</v>
      </c>
      <c r="I2362">
        <v>660.28319999999997</v>
      </c>
      <c r="J2362" t="s">
        <v>2785</v>
      </c>
      <c r="K2362" t="s">
        <v>44</v>
      </c>
      <c r="N2362" t="s">
        <v>45</v>
      </c>
      <c r="O2362" t="s">
        <v>46</v>
      </c>
      <c r="P2362" t="s">
        <v>45</v>
      </c>
      <c r="Q2362" t="s">
        <v>47</v>
      </c>
      <c r="R2362" t="s">
        <v>44</v>
      </c>
      <c r="S2362">
        <v>0</v>
      </c>
      <c r="W2362" s="3">
        <v>1.0995370370370371E-3</v>
      </c>
      <c r="X2362" t="s">
        <v>4980</v>
      </c>
      <c r="Y2362">
        <v>8</v>
      </c>
      <c r="Z2362">
        <v>0</v>
      </c>
      <c r="AA2362" t="s">
        <v>49</v>
      </c>
      <c r="AB2362">
        <v>0</v>
      </c>
      <c r="AC2362" t="s">
        <v>49</v>
      </c>
      <c r="AD2362">
        <v>0</v>
      </c>
      <c r="AE2362">
        <v>10296771</v>
      </c>
      <c r="AF2362" t="s">
        <v>63</v>
      </c>
      <c r="AG2362" t="s">
        <v>118</v>
      </c>
    </row>
    <row r="2363" spans="1:33" x14ac:dyDescent="0.35">
      <c r="A2363" s="1">
        <v>44833.472916666666</v>
      </c>
      <c r="B2363">
        <v>6474174</v>
      </c>
      <c r="C2363" t="s">
        <v>4973</v>
      </c>
      <c r="D2363" t="s">
        <v>76</v>
      </c>
      <c r="E2363" s="2">
        <v>44256</v>
      </c>
      <c r="F2363" t="str">
        <f>"9781000356946"</f>
        <v>9781000356946</v>
      </c>
      <c r="G2363" t="str">
        <f>"9780367476939"</f>
        <v>9780367476939</v>
      </c>
      <c r="H2363" t="s">
        <v>546</v>
      </c>
      <c r="I2363" t="s">
        <v>4974</v>
      </c>
      <c r="J2363" t="s">
        <v>4975</v>
      </c>
      <c r="K2363" t="s">
        <v>55</v>
      </c>
      <c r="Q2363" t="s">
        <v>47</v>
      </c>
      <c r="R2363" t="s">
        <v>44</v>
      </c>
      <c r="S2363">
        <v>0</v>
      </c>
      <c r="W2363" s="3">
        <v>3.3564814814814812E-4</v>
      </c>
      <c r="X2363" t="s">
        <v>4981</v>
      </c>
      <c r="Y2363">
        <v>7</v>
      </c>
      <c r="Z2363">
        <v>0</v>
      </c>
      <c r="AA2363" t="s">
        <v>49</v>
      </c>
      <c r="AB2363">
        <v>0</v>
      </c>
      <c r="AC2363" t="s">
        <v>49</v>
      </c>
      <c r="AD2363">
        <v>0</v>
      </c>
      <c r="AE2363">
        <v>-1</v>
      </c>
      <c r="AF2363" t="s">
        <v>50</v>
      </c>
      <c r="AG2363" t="s">
        <v>82</v>
      </c>
    </row>
    <row r="2364" spans="1:33" x14ac:dyDescent="0.35">
      <c r="A2364" s="1">
        <v>44833.465277777781</v>
      </c>
      <c r="B2364">
        <v>469749</v>
      </c>
      <c r="C2364" t="s">
        <v>2784</v>
      </c>
      <c r="D2364" t="s">
        <v>1458</v>
      </c>
      <c r="E2364" s="2">
        <v>39693</v>
      </c>
      <c r="F2364" t="str">
        <f>"9780470282069"</f>
        <v>9780470282069</v>
      </c>
      <c r="G2364" t="str">
        <f>"9780470105252"</f>
        <v>9780470105252</v>
      </c>
      <c r="H2364" t="s">
        <v>1112</v>
      </c>
      <c r="I2364">
        <v>660.28319999999997</v>
      </c>
      <c r="J2364" t="s">
        <v>2785</v>
      </c>
      <c r="K2364" t="s">
        <v>44</v>
      </c>
      <c r="N2364" t="s">
        <v>45</v>
      </c>
      <c r="O2364" t="s">
        <v>46</v>
      </c>
      <c r="P2364" t="s">
        <v>45</v>
      </c>
      <c r="Q2364" t="s">
        <v>47</v>
      </c>
      <c r="R2364" t="s">
        <v>44</v>
      </c>
      <c r="S2364">
        <v>0</v>
      </c>
      <c r="W2364" s="3">
        <v>5.7870370370370366E-5</v>
      </c>
      <c r="X2364" t="s">
        <v>121</v>
      </c>
      <c r="Y2364">
        <v>1</v>
      </c>
      <c r="Z2364">
        <v>0</v>
      </c>
      <c r="AA2364" t="s">
        <v>49</v>
      </c>
      <c r="AB2364">
        <v>0</v>
      </c>
      <c r="AC2364" t="s">
        <v>49</v>
      </c>
      <c r="AD2364">
        <v>0</v>
      </c>
      <c r="AE2364">
        <v>10296771</v>
      </c>
      <c r="AF2364" t="s">
        <v>50</v>
      </c>
      <c r="AG2364" t="s">
        <v>118</v>
      </c>
    </row>
    <row r="2365" spans="1:33" x14ac:dyDescent="0.35">
      <c r="A2365" s="1">
        <v>44833.441666666666</v>
      </c>
      <c r="B2365">
        <v>1185557</v>
      </c>
      <c r="C2365" t="s">
        <v>4982</v>
      </c>
      <c r="D2365" t="s">
        <v>465</v>
      </c>
      <c r="E2365" s="2">
        <v>39541</v>
      </c>
      <c r="F2365" t="str">
        <f>"9781847558305"</f>
        <v>9781847558305</v>
      </c>
      <c r="G2365" t="str">
        <f>"9780854041244"</f>
        <v>9780854041244</v>
      </c>
      <c r="H2365" t="s">
        <v>1112</v>
      </c>
      <c r="I2365">
        <v>668.2</v>
      </c>
      <c r="J2365" t="s">
        <v>4983</v>
      </c>
      <c r="K2365" t="s">
        <v>44</v>
      </c>
      <c r="N2365" t="s">
        <v>45</v>
      </c>
      <c r="O2365" t="s">
        <v>46</v>
      </c>
      <c r="P2365" t="s">
        <v>45</v>
      </c>
      <c r="Q2365" t="s">
        <v>47</v>
      </c>
      <c r="R2365" t="s">
        <v>44</v>
      </c>
      <c r="S2365">
        <v>0</v>
      </c>
      <c r="W2365" s="3">
        <v>4.6296296296296294E-5</v>
      </c>
      <c r="X2365" t="s">
        <v>121</v>
      </c>
      <c r="Y2365">
        <v>1</v>
      </c>
      <c r="Z2365">
        <v>0</v>
      </c>
      <c r="AA2365" t="s">
        <v>49</v>
      </c>
      <c r="AB2365">
        <v>0</v>
      </c>
      <c r="AC2365" t="s">
        <v>49</v>
      </c>
      <c r="AD2365">
        <v>0</v>
      </c>
      <c r="AE2365">
        <v>10618769</v>
      </c>
      <c r="AF2365" t="s">
        <v>50</v>
      </c>
      <c r="AG2365" t="s">
        <v>1355</v>
      </c>
    </row>
    <row r="2366" spans="1:33" x14ac:dyDescent="0.35">
      <c r="A2366" s="1">
        <v>44833.440972222219</v>
      </c>
      <c r="B2366">
        <v>469749</v>
      </c>
      <c r="C2366" t="s">
        <v>2784</v>
      </c>
      <c r="D2366" t="s">
        <v>1458</v>
      </c>
      <c r="E2366" s="2">
        <v>39693</v>
      </c>
      <c r="F2366" t="str">
        <f>"9780470282069"</f>
        <v>9780470282069</v>
      </c>
      <c r="G2366" t="str">
        <f>"9780470105252"</f>
        <v>9780470105252</v>
      </c>
      <c r="H2366" t="s">
        <v>1112</v>
      </c>
      <c r="I2366">
        <v>660.28319999999997</v>
      </c>
      <c r="J2366" t="s">
        <v>2785</v>
      </c>
      <c r="K2366" t="s">
        <v>44</v>
      </c>
      <c r="N2366" t="s">
        <v>45</v>
      </c>
      <c r="O2366" t="s">
        <v>46</v>
      </c>
      <c r="P2366" t="s">
        <v>45</v>
      </c>
      <c r="Q2366" t="s">
        <v>47</v>
      </c>
      <c r="R2366" t="s">
        <v>44</v>
      </c>
      <c r="S2366">
        <v>0</v>
      </c>
      <c r="W2366" s="3">
        <v>4.6296296296296294E-5</v>
      </c>
      <c r="X2366" t="s">
        <v>121</v>
      </c>
      <c r="Y2366">
        <v>1</v>
      </c>
      <c r="Z2366">
        <v>0</v>
      </c>
      <c r="AA2366" t="s">
        <v>49</v>
      </c>
      <c r="AB2366">
        <v>0</v>
      </c>
      <c r="AC2366" t="s">
        <v>49</v>
      </c>
      <c r="AD2366">
        <v>0</v>
      </c>
      <c r="AE2366">
        <v>10296771</v>
      </c>
      <c r="AF2366" t="s">
        <v>50</v>
      </c>
      <c r="AG2366" t="s">
        <v>1355</v>
      </c>
    </row>
    <row r="2367" spans="1:33" x14ac:dyDescent="0.35">
      <c r="A2367" s="1">
        <v>44833.436805555553</v>
      </c>
      <c r="B2367">
        <v>1390902</v>
      </c>
      <c r="C2367" t="s">
        <v>3788</v>
      </c>
      <c r="D2367" t="s">
        <v>819</v>
      </c>
      <c r="E2367" s="2">
        <v>41696</v>
      </c>
      <c r="F2367" t="str">
        <f>"9780814433423"</f>
        <v>9780814433423</v>
      </c>
      <c r="G2367" t="str">
        <f>"9780814433416"</f>
        <v>9780814433416</v>
      </c>
      <c r="H2367" t="s">
        <v>60</v>
      </c>
      <c r="I2367" t="s">
        <v>1652</v>
      </c>
      <c r="J2367" t="s">
        <v>3789</v>
      </c>
      <c r="K2367" t="s">
        <v>44</v>
      </c>
      <c r="N2367" t="s">
        <v>45</v>
      </c>
      <c r="O2367" t="s">
        <v>46</v>
      </c>
      <c r="P2367" t="s">
        <v>45</v>
      </c>
      <c r="Q2367" t="s">
        <v>47</v>
      </c>
      <c r="R2367" t="s">
        <v>44</v>
      </c>
      <c r="S2367">
        <v>0</v>
      </c>
      <c r="W2367" s="3">
        <v>1.8981481481481482E-3</v>
      </c>
      <c r="X2367" t="s">
        <v>3748</v>
      </c>
      <c r="Y2367">
        <v>12</v>
      </c>
      <c r="Z2367">
        <v>0</v>
      </c>
      <c r="AA2367" t="s">
        <v>49</v>
      </c>
      <c r="AB2367">
        <v>0</v>
      </c>
      <c r="AC2367" t="s">
        <v>49</v>
      </c>
      <c r="AD2367">
        <v>0</v>
      </c>
      <c r="AE2367">
        <v>10821817</v>
      </c>
      <c r="AF2367" t="s">
        <v>50</v>
      </c>
      <c r="AG2367" t="s">
        <v>1451</v>
      </c>
    </row>
    <row r="2368" spans="1:33" x14ac:dyDescent="0.35">
      <c r="A2368" s="1">
        <v>44833.427777777775</v>
      </c>
      <c r="B2368">
        <v>6946268</v>
      </c>
      <c r="C2368" t="s">
        <v>333</v>
      </c>
      <c r="D2368" t="s">
        <v>213</v>
      </c>
      <c r="E2368" s="2">
        <v>44658</v>
      </c>
      <c r="F2368" t="str">
        <f>"9780323859875"</f>
        <v>9780323859875</v>
      </c>
      <c r="G2368" t="str">
        <f>"9780128244708"</f>
        <v>9780128244708</v>
      </c>
      <c r="H2368" t="s">
        <v>261</v>
      </c>
      <c r="I2368">
        <v>628.16200000000003</v>
      </c>
      <c r="J2368" t="s">
        <v>334</v>
      </c>
      <c r="K2368" t="s">
        <v>55</v>
      </c>
      <c r="N2368" t="s">
        <v>79</v>
      </c>
      <c r="P2368" t="s">
        <v>80</v>
      </c>
      <c r="Q2368" t="s">
        <v>47</v>
      </c>
      <c r="R2368" t="s">
        <v>44</v>
      </c>
      <c r="S2368">
        <v>0</v>
      </c>
      <c r="W2368" s="3">
        <v>8.0902777777777778E-3</v>
      </c>
      <c r="X2368" t="s">
        <v>4984</v>
      </c>
      <c r="Y2368">
        <v>32</v>
      </c>
      <c r="Z2368">
        <v>1</v>
      </c>
      <c r="AA2368" t="s">
        <v>3286</v>
      </c>
      <c r="AB2368">
        <v>1</v>
      </c>
      <c r="AC2368" t="s">
        <v>49</v>
      </c>
      <c r="AD2368">
        <v>0</v>
      </c>
      <c r="AE2368">
        <v>-1</v>
      </c>
      <c r="AF2368" t="s">
        <v>50</v>
      </c>
      <c r="AG2368" t="s">
        <v>118</v>
      </c>
    </row>
    <row r="2369" spans="1:33" x14ac:dyDescent="0.35">
      <c r="A2369" s="1">
        <v>44833.404166666667</v>
      </c>
      <c r="B2369">
        <v>6865579</v>
      </c>
      <c r="C2369" t="s">
        <v>4985</v>
      </c>
      <c r="D2369" t="s">
        <v>4986</v>
      </c>
      <c r="E2369" s="2">
        <v>44580</v>
      </c>
      <c r="F2369" t="str">
        <f>"9783631870426"</f>
        <v>9783631870426</v>
      </c>
      <c r="G2369" t="str">
        <f>"9783631869871"</f>
        <v>9783631869871</v>
      </c>
      <c r="H2369" t="s">
        <v>90</v>
      </c>
      <c r="K2369" t="s">
        <v>55</v>
      </c>
      <c r="Q2369" t="s">
        <v>47</v>
      </c>
      <c r="R2369" t="s">
        <v>44</v>
      </c>
      <c r="S2369">
        <v>0</v>
      </c>
      <c r="W2369" s="3">
        <v>3.4722222222222222E-5</v>
      </c>
      <c r="X2369" t="s">
        <v>121</v>
      </c>
      <c r="Y2369">
        <v>1</v>
      </c>
      <c r="Z2369">
        <v>0</v>
      </c>
      <c r="AA2369" t="s">
        <v>49</v>
      </c>
      <c r="AB2369">
        <v>0</v>
      </c>
      <c r="AC2369" t="s">
        <v>49</v>
      </c>
      <c r="AD2369">
        <v>0</v>
      </c>
      <c r="AE2369">
        <v>-1</v>
      </c>
      <c r="AF2369" t="s">
        <v>50</v>
      </c>
      <c r="AG2369" t="s">
        <v>1309</v>
      </c>
    </row>
    <row r="2370" spans="1:33" x14ac:dyDescent="0.35">
      <c r="A2370" s="1">
        <v>44833.095138888886</v>
      </c>
      <c r="B2370">
        <v>6682754</v>
      </c>
      <c r="C2370" t="s">
        <v>4987</v>
      </c>
      <c r="D2370" t="s">
        <v>65</v>
      </c>
      <c r="E2370" s="2">
        <v>44400</v>
      </c>
      <c r="F2370" t="str">
        <f>"9780128037447"</f>
        <v>9780128037447</v>
      </c>
      <c r="G2370" t="str">
        <f>"9780128037225"</f>
        <v>9780128037225</v>
      </c>
      <c r="H2370" t="s">
        <v>1766</v>
      </c>
      <c r="I2370">
        <v>665.5</v>
      </c>
      <c r="J2370" t="s">
        <v>4988</v>
      </c>
      <c r="K2370" t="s">
        <v>55</v>
      </c>
      <c r="Q2370" t="s">
        <v>47</v>
      </c>
      <c r="R2370" t="s">
        <v>44</v>
      </c>
      <c r="S2370">
        <v>0</v>
      </c>
      <c r="W2370" s="3">
        <v>2.5462962962962961E-4</v>
      </c>
      <c r="X2370" t="s">
        <v>121</v>
      </c>
      <c r="Y2370">
        <v>1</v>
      </c>
      <c r="Z2370">
        <v>0</v>
      </c>
      <c r="AA2370" t="s">
        <v>49</v>
      </c>
      <c r="AB2370">
        <v>0</v>
      </c>
      <c r="AC2370" t="s">
        <v>49</v>
      </c>
      <c r="AD2370">
        <v>0</v>
      </c>
      <c r="AE2370">
        <v>-1</v>
      </c>
      <c r="AF2370" t="s">
        <v>50</v>
      </c>
      <c r="AG2370" t="s">
        <v>118</v>
      </c>
    </row>
    <row r="2371" spans="1:33" x14ac:dyDescent="0.35">
      <c r="A2371" s="1">
        <v>44832.847222222219</v>
      </c>
      <c r="B2371">
        <v>665565</v>
      </c>
      <c r="C2371" t="s">
        <v>2309</v>
      </c>
      <c r="D2371" t="s">
        <v>2125</v>
      </c>
      <c r="E2371" s="2">
        <v>40483</v>
      </c>
      <c r="F2371" t="str">
        <f>"9781439828151"</f>
        <v>9781439828151</v>
      </c>
      <c r="G2371" t="str">
        <f>"9781439828144"</f>
        <v>9781439828144</v>
      </c>
      <c r="H2371" t="s">
        <v>60</v>
      </c>
      <c r="I2371">
        <v>658.7</v>
      </c>
      <c r="J2371" t="s">
        <v>2310</v>
      </c>
      <c r="K2371" t="s">
        <v>44</v>
      </c>
      <c r="N2371" t="s">
        <v>45</v>
      </c>
      <c r="O2371" t="s">
        <v>46</v>
      </c>
      <c r="P2371" t="s">
        <v>45</v>
      </c>
      <c r="Q2371" t="s">
        <v>47</v>
      </c>
      <c r="R2371" t="s">
        <v>44</v>
      </c>
      <c r="S2371">
        <v>0</v>
      </c>
      <c r="W2371" s="3">
        <v>5.7870370370370366E-5</v>
      </c>
      <c r="X2371" t="s">
        <v>121</v>
      </c>
      <c r="Y2371">
        <v>1</v>
      </c>
      <c r="Z2371">
        <v>0</v>
      </c>
      <c r="AA2371" t="s">
        <v>49</v>
      </c>
      <c r="AB2371">
        <v>0</v>
      </c>
      <c r="AC2371" t="s">
        <v>49</v>
      </c>
      <c r="AD2371">
        <v>0</v>
      </c>
      <c r="AE2371">
        <v>10449865</v>
      </c>
      <c r="AF2371" t="s">
        <v>50</v>
      </c>
      <c r="AG2371" t="s">
        <v>118</v>
      </c>
    </row>
    <row r="2372" spans="1:33" x14ac:dyDescent="0.35">
      <c r="A2372" s="1">
        <v>44832.820833333331</v>
      </c>
      <c r="B2372">
        <v>6509399</v>
      </c>
      <c r="C2372" t="s">
        <v>4989</v>
      </c>
      <c r="D2372" t="s">
        <v>59</v>
      </c>
      <c r="E2372" s="2">
        <v>44299</v>
      </c>
      <c r="F2372" t="str">
        <f>"9781119560760"</f>
        <v>9781119560760</v>
      </c>
      <c r="G2372" t="str">
        <f>"9781119560753"</f>
        <v>9781119560753</v>
      </c>
      <c r="H2372" t="s">
        <v>4044</v>
      </c>
      <c r="I2372">
        <v>621.98800000000006</v>
      </c>
      <c r="J2372" t="s">
        <v>4990</v>
      </c>
      <c r="K2372" t="s">
        <v>55</v>
      </c>
      <c r="Q2372" t="s">
        <v>47</v>
      </c>
      <c r="R2372" t="s">
        <v>44</v>
      </c>
      <c r="S2372">
        <v>0</v>
      </c>
      <c r="W2372" s="3">
        <v>4.2824074074074075E-4</v>
      </c>
      <c r="X2372" t="s">
        <v>4991</v>
      </c>
      <c r="Y2372">
        <v>3</v>
      </c>
      <c r="Z2372">
        <v>0</v>
      </c>
      <c r="AA2372" t="s">
        <v>49</v>
      </c>
      <c r="AB2372">
        <v>0</v>
      </c>
      <c r="AC2372" t="s">
        <v>49</v>
      </c>
      <c r="AD2372">
        <v>0</v>
      </c>
      <c r="AE2372">
        <v>-1</v>
      </c>
      <c r="AF2372" t="s">
        <v>50</v>
      </c>
      <c r="AG2372" t="s">
        <v>4992</v>
      </c>
    </row>
    <row r="2373" spans="1:33" x14ac:dyDescent="0.35">
      <c r="A2373" s="1">
        <v>44832.798611111109</v>
      </c>
      <c r="B2373">
        <v>3120556</v>
      </c>
      <c r="C2373" t="s">
        <v>4993</v>
      </c>
      <c r="D2373" t="s">
        <v>4811</v>
      </c>
      <c r="E2373" s="2">
        <v>41469</v>
      </c>
      <c r="F2373" t="str">
        <f>"9781780404592"</f>
        <v>9781780404592</v>
      </c>
      <c r="G2373" t="str">
        <f>"9781780404585"</f>
        <v>9781780404585</v>
      </c>
      <c r="H2373" t="s">
        <v>261</v>
      </c>
      <c r="I2373">
        <v>628.29999999999995</v>
      </c>
      <c r="J2373" t="s">
        <v>4994</v>
      </c>
      <c r="K2373" t="s">
        <v>44</v>
      </c>
      <c r="N2373" t="s">
        <v>45</v>
      </c>
      <c r="O2373" t="s">
        <v>46</v>
      </c>
      <c r="P2373" t="s">
        <v>45</v>
      </c>
      <c r="Q2373" t="s">
        <v>47</v>
      </c>
      <c r="R2373" t="s">
        <v>44</v>
      </c>
      <c r="S2373">
        <v>0</v>
      </c>
      <c r="W2373" s="3">
        <v>0</v>
      </c>
      <c r="X2373" t="s">
        <v>49</v>
      </c>
      <c r="Y2373">
        <v>0</v>
      </c>
      <c r="Z2373">
        <v>1</v>
      </c>
      <c r="AA2373" t="s">
        <v>4995</v>
      </c>
      <c r="AB2373">
        <v>25</v>
      </c>
      <c r="AC2373" t="s">
        <v>49</v>
      </c>
      <c r="AD2373">
        <v>0</v>
      </c>
      <c r="AE2373">
        <v>10835097</v>
      </c>
      <c r="AF2373" t="s">
        <v>50</v>
      </c>
      <c r="AG2373" t="s">
        <v>996</v>
      </c>
    </row>
    <row r="2374" spans="1:33" x14ac:dyDescent="0.35">
      <c r="A2374" s="1">
        <v>44832.790277777778</v>
      </c>
      <c r="B2374">
        <v>1185557</v>
      </c>
      <c r="C2374" t="s">
        <v>4982</v>
      </c>
      <c r="D2374" t="s">
        <v>465</v>
      </c>
      <c r="E2374" s="2">
        <v>39541</v>
      </c>
      <c r="F2374" t="str">
        <f>"9781847558305"</f>
        <v>9781847558305</v>
      </c>
      <c r="G2374" t="str">
        <f>"9780854041244"</f>
        <v>9780854041244</v>
      </c>
      <c r="H2374" t="s">
        <v>1112</v>
      </c>
      <c r="I2374">
        <v>668.2</v>
      </c>
      <c r="J2374" t="s">
        <v>4983</v>
      </c>
      <c r="K2374" t="s">
        <v>44</v>
      </c>
      <c r="N2374" t="s">
        <v>45</v>
      </c>
      <c r="O2374" t="s">
        <v>46</v>
      </c>
      <c r="P2374" t="s">
        <v>45</v>
      </c>
      <c r="Q2374" t="s">
        <v>47</v>
      </c>
      <c r="R2374" t="s">
        <v>44</v>
      </c>
      <c r="S2374">
        <v>0</v>
      </c>
      <c r="W2374" s="3">
        <v>1.5624999999999999E-3</v>
      </c>
      <c r="X2374" t="s">
        <v>4996</v>
      </c>
      <c r="Y2374">
        <v>4</v>
      </c>
      <c r="Z2374">
        <v>0</v>
      </c>
      <c r="AA2374" t="s">
        <v>49</v>
      </c>
      <c r="AB2374">
        <v>0</v>
      </c>
      <c r="AC2374" t="s">
        <v>49</v>
      </c>
      <c r="AD2374">
        <v>0</v>
      </c>
      <c r="AE2374">
        <v>10618769</v>
      </c>
      <c r="AF2374" t="s">
        <v>50</v>
      </c>
      <c r="AG2374" t="s">
        <v>1355</v>
      </c>
    </row>
    <row r="2375" spans="1:33" x14ac:dyDescent="0.35">
      <c r="A2375" s="1">
        <v>44832.758333333331</v>
      </c>
      <c r="B2375">
        <v>469749</v>
      </c>
      <c r="C2375" t="s">
        <v>2784</v>
      </c>
      <c r="D2375" t="s">
        <v>1458</v>
      </c>
      <c r="E2375" s="2">
        <v>39693</v>
      </c>
      <c r="F2375" t="str">
        <f>"9780470282069"</f>
        <v>9780470282069</v>
      </c>
      <c r="G2375" t="str">
        <f>"9780470105252"</f>
        <v>9780470105252</v>
      </c>
      <c r="H2375" t="s">
        <v>1112</v>
      </c>
      <c r="I2375">
        <v>660.28319999999997</v>
      </c>
      <c r="J2375" t="s">
        <v>2785</v>
      </c>
      <c r="K2375" t="s">
        <v>44</v>
      </c>
      <c r="N2375" t="s">
        <v>45</v>
      </c>
      <c r="O2375" t="s">
        <v>46</v>
      </c>
      <c r="P2375" t="s">
        <v>45</v>
      </c>
      <c r="Q2375" t="s">
        <v>47</v>
      </c>
      <c r="R2375" t="s">
        <v>44</v>
      </c>
      <c r="S2375">
        <v>0</v>
      </c>
      <c r="W2375" s="3">
        <v>1.5046296296296297E-4</v>
      </c>
      <c r="X2375" t="s">
        <v>4805</v>
      </c>
      <c r="Y2375">
        <v>4</v>
      </c>
      <c r="Z2375">
        <v>0</v>
      </c>
      <c r="AA2375" t="s">
        <v>49</v>
      </c>
      <c r="AB2375">
        <v>0</v>
      </c>
      <c r="AC2375" t="s">
        <v>49</v>
      </c>
      <c r="AD2375">
        <v>0</v>
      </c>
      <c r="AE2375">
        <v>10296771</v>
      </c>
      <c r="AF2375" t="s">
        <v>50</v>
      </c>
      <c r="AG2375" t="s">
        <v>1355</v>
      </c>
    </row>
    <row r="2376" spans="1:33" x14ac:dyDescent="0.35">
      <c r="A2376" s="1">
        <v>44832.751388888886</v>
      </c>
      <c r="B2376">
        <v>1185557</v>
      </c>
      <c r="C2376" t="s">
        <v>4982</v>
      </c>
      <c r="D2376" t="s">
        <v>465</v>
      </c>
      <c r="E2376" s="2">
        <v>39541</v>
      </c>
      <c r="F2376" t="str">
        <f>"9781847558305"</f>
        <v>9781847558305</v>
      </c>
      <c r="G2376" t="str">
        <f>"9780854041244"</f>
        <v>9780854041244</v>
      </c>
      <c r="H2376" t="s">
        <v>1112</v>
      </c>
      <c r="I2376">
        <v>668.2</v>
      </c>
      <c r="J2376" t="s">
        <v>4983</v>
      </c>
      <c r="K2376" t="s">
        <v>44</v>
      </c>
      <c r="N2376" t="s">
        <v>45</v>
      </c>
      <c r="O2376" t="s">
        <v>46</v>
      </c>
      <c r="P2376" t="s">
        <v>45</v>
      </c>
      <c r="Q2376" t="s">
        <v>47</v>
      </c>
      <c r="R2376" t="s">
        <v>44</v>
      </c>
      <c r="S2376">
        <v>0</v>
      </c>
      <c r="W2376" s="3">
        <v>1.4652777777777778E-2</v>
      </c>
      <c r="X2376" t="s">
        <v>4997</v>
      </c>
      <c r="Y2376">
        <v>9</v>
      </c>
      <c r="Z2376">
        <v>0</v>
      </c>
      <c r="AA2376" t="s">
        <v>49</v>
      </c>
      <c r="AB2376">
        <v>0</v>
      </c>
      <c r="AC2376" t="s">
        <v>49</v>
      </c>
      <c r="AD2376">
        <v>0</v>
      </c>
      <c r="AE2376">
        <v>10618769</v>
      </c>
      <c r="AF2376" t="s">
        <v>50</v>
      </c>
      <c r="AG2376" t="s">
        <v>1355</v>
      </c>
    </row>
    <row r="2377" spans="1:33" x14ac:dyDescent="0.35">
      <c r="A2377" s="1">
        <v>44832.75</v>
      </c>
      <c r="B2377">
        <v>3120556</v>
      </c>
      <c r="C2377" t="s">
        <v>4993</v>
      </c>
      <c r="D2377" t="s">
        <v>4811</v>
      </c>
      <c r="E2377" s="2">
        <v>41469</v>
      </c>
      <c r="F2377" t="str">
        <f>"9781780404592"</f>
        <v>9781780404592</v>
      </c>
      <c r="G2377" t="str">
        <f>"9781780404585"</f>
        <v>9781780404585</v>
      </c>
      <c r="H2377" t="s">
        <v>261</v>
      </c>
      <c r="I2377">
        <v>628.29999999999995</v>
      </c>
      <c r="J2377" t="s">
        <v>4994</v>
      </c>
      <c r="K2377" t="s">
        <v>44</v>
      </c>
      <c r="N2377" t="s">
        <v>45</v>
      </c>
      <c r="O2377" t="s">
        <v>46</v>
      </c>
      <c r="P2377" t="s">
        <v>45</v>
      </c>
      <c r="Q2377" t="s">
        <v>47</v>
      </c>
      <c r="R2377" t="s">
        <v>44</v>
      </c>
      <c r="S2377">
        <v>0</v>
      </c>
      <c r="W2377" s="3">
        <v>5.5208333333333333E-3</v>
      </c>
      <c r="X2377" t="s">
        <v>4998</v>
      </c>
      <c r="Y2377">
        <v>25</v>
      </c>
      <c r="Z2377">
        <v>0</v>
      </c>
      <c r="AA2377" t="s">
        <v>49</v>
      </c>
      <c r="AB2377">
        <v>0</v>
      </c>
      <c r="AC2377" t="s">
        <v>49</v>
      </c>
      <c r="AD2377">
        <v>0</v>
      </c>
      <c r="AE2377">
        <v>10835097</v>
      </c>
      <c r="AF2377" t="s">
        <v>50</v>
      </c>
      <c r="AG2377" t="s">
        <v>996</v>
      </c>
    </row>
    <row r="2378" spans="1:33" x14ac:dyDescent="0.35">
      <c r="A2378" s="1">
        <v>44832.731249999997</v>
      </c>
      <c r="B2378">
        <v>1463546</v>
      </c>
      <c r="C2378" t="s">
        <v>4999</v>
      </c>
      <c r="D2378" t="s">
        <v>861</v>
      </c>
      <c r="E2378" s="2">
        <v>41579</v>
      </c>
      <c r="F2378" t="str">
        <f>"9781608076604"</f>
        <v>9781608076604</v>
      </c>
      <c r="G2378" t="str">
        <f>"9781608076598"</f>
        <v>9781608076598</v>
      </c>
      <c r="H2378" t="s">
        <v>546</v>
      </c>
      <c r="I2378">
        <v>621.31241999999997</v>
      </c>
      <c r="J2378" t="s">
        <v>5000</v>
      </c>
      <c r="K2378" t="s">
        <v>44</v>
      </c>
      <c r="N2378" t="s">
        <v>45</v>
      </c>
      <c r="O2378" t="s">
        <v>46</v>
      </c>
      <c r="P2378" t="s">
        <v>45</v>
      </c>
      <c r="Q2378" t="s">
        <v>47</v>
      </c>
      <c r="R2378" t="s">
        <v>44</v>
      </c>
      <c r="S2378">
        <v>0</v>
      </c>
      <c r="W2378" s="3">
        <v>2.2604166666666665E-2</v>
      </c>
      <c r="X2378" t="s">
        <v>5001</v>
      </c>
      <c r="Y2378">
        <v>6</v>
      </c>
      <c r="Z2378">
        <v>0</v>
      </c>
      <c r="AA2378" t="s">
        <v>49</v>
      </c>
      <c r="AB2378">
        <v>0</v>
      </c>
      <c r="AC2378" t="s">
        <v>49</v>
      </c>
      <c r="AD2378">
        <v>0</v>
      </c>
      <c r="AE2378">
        <v>11069354</v>
      </c>
      <c r="AF2378" t="s">
        <v>50</v>
      </c>
      <c r="AG2378" t="s">
        <v>1355</v>
      </c>
    </row>
    <row r="2379" spans="1:33" x14ac:dyDescent="0.35">
      <c r="A2379" s="1">
        <v>44832.707638888889</v>
      </c>
      <c r="B2379">
        <v>957290</v>
      </c>
      <c r="C2379" t="s">
        <v>4280</v>
      </c>
      <c r="D2379" t="s">
        <v>76</v>
      </c>
      <c r="E2379" s="2">
        <v>40941</v>
      </c>
      <c r="F2379" t="str">
        <f>"9780203127711"</f>
        <v>9780203127711</v>
      </c>
      <c r="G2379" t="str">
        <f>"9780415895347"</f>
        <v>9780415895347</v>
      </c>
      <c r="H2379" t="s">
        <v>1046</v>
      </c>
      <c r="I2379">
        <v>302.23099999999999</v>
      </c>
      <c r="J2379" t="s">
        <v>4281</v>
      </c>
      <c r="K2379" t="s">
        <v>44</v>
      </c>
      <c r="N2379" t="s">
        <v>45</v>
      </c>
      <c r="O2379" t="s">
        <v>46</v>
      </c>
      <c r="P2379" t="s">
        <v>45</v>
      </c>
      <c r="Q2379" t="s">
        <v>47</v>
      </c>
      <c r="R2379" t="s">
        <v>44</v>
      </c>
      <c r="S2379">
        <v>0</v>
      </c>
      <c r="W2379" s="3">
        <v>5.7870370370370366E-5</v>
      </c>
      <c r="X2379" t="s">
        <v>196</v>
      </c>
      <c r="Y2379">
        <v>2</v>
      </c>
      <c r="Z2379">
        <v>0</v>
      </c>
      <c r="AA2379" t="s">
        <v>49</v>
      </c>
      <c r="AB2379">
        <v>0</v>
      </c>
      <c r="AC2379" t="s">
        <v>49</v>
      </c>
      <c r="AD2379">
        <v>0</v>
      </c>
      <c r="AE2379">
        <v>10535074</v>
      </c>
      <c r="AF2379" t="s">
        <v>50</v>
      </c>
      <c r="AG2379" t="s">
        <v>835</v>
      </c>
    </row>
    <row r="2380" spans="1:33" x14ac:dyDescent="0.35">
      <c r="A2380" s="1">
        <v>44832.652083333334</v>
      </c>
      <c r="B2380">
        <v>166785</v>
      </c>
      <c r="C2380" t="s">
        <v>5002</v>
      </c>
      <c r="D2380" t="s">
        <v>76</v>
      </c>
      <c r="E2380" s="2">
        <v>34638</v>
      </c>
      <c r="F2380" t="str">
        <f>"9780203410714"</f>
        <v>9780203410714</v>
      </c>
      <c r="G2380" t="str">
        <f>"9780415110297"</f>
        <v>9780415110297</v>
      </c>
      <c r="H2380" t="s">
        <v>498</v>
      </c>
      <c r="I2380">
        <v>133.50936999999999</v>
      </c>
      <c r="J2380" t="s">
        <v>5003</v>
      </c>
      <c r="K2380" t="s">
        <v>44</v>
      </c>
      <c r="N2380" t="s">
        <v>45</v>
      </c>
      <c r="O2380" t="s">
        <v>46</v>
      </c>
      <c r="P2380" t="s">
        <v>45</v>
      </c>
      <c r="Q2380" t="s">
        <v>47</v>
      </c>
      <c r="R2380" t="s">
        <v>44</v>
      </c>
      <c r="S2380">
        <v>0</v>
      </c>
      <c r="W2380" s="3">
        <v>1.4467592592592594E-3</v>
      </c>
      <c r="X2380" t="s">
        <v>5004</v>
      </c>
      <c r="Y2380">
        <v>6</v>
      </c>
      <c r="Z2380">
        <v>0</v>
      </c>
      <c r="AA2380" t="s">
        <v>49</v>
      </c>
      <c r="AB2380">
        <v>0</v>
      </c>
      <c r="AC2380" t="s">
        <v>49</v>
      </c>
      <c r="AD2380">
        <v>0</v>
      </c>
      <c r="AE2380">
        <v>10058310</v>
      </c>
      <c r="AF2380" t="s">
        <v>50</v>
      </c>
      <c r="AG2380" t="s">
        <v>5005</v>
      </c>
    </row>
    <row r="2381" spans="1:33" x14ac:dyDescent="0.35">
      <c r="A2381" s="1">
        <v>44832.645833333336</v>
      </c>
      <c r="B2381">
        <v>6724977</v>
      </c>
      <c r="C2381" t="s">
        <v>5006</v>
      </c>
      <c r="D2381" t="s">
        <v>213</v>
      </c>
      <c r="E2381" s="2">
        <v>44454</v>
      </c>
      <c r="F2381" t="str">
        <f>"9780323900119"</f>
        <v>9780323900119</v>
      </c>
      <c r="G2381" t="str">
        <f>"9780323855839"</f>
        <v>9780323855839</v>
      </c>
      <c r="H2381" t="s">
        <v>261</v>
      </c>
      <c r="I2381">
        <v>628.32000000000005</v>
      </c>
      <c r="J2381" t="s">
        <v>5007</v>
      </c>
      <c r="K2381" t="s">
        <v>55</v>
      </c>
      <c r="Q2381" t="s">
        <v>47</v>
      </c>
      <c r="R2381" t="s">
        <v>44</v>
      </c>
      <c r="S2381">
        <v>0</v>
      </c>
      <c r="W2381" s="3">
        <v>5.8564814814814825E-3</v>
      </c>
      <c r="X2381" t="s">
        <v>5008</v>
      </c>
      <c r="Y2381">
        <v>7</v>
      </c>
      <c r="Z2381">
        <v>0</v>
      </c>
      <c r="AA2381" t="s">
        <v>49</v>
      </c>
      <c r="AB2381">
        <v>0</v>
      </c>
      <c r="AC2381" t="s">
        <v>49</v>
      </c>
      <c r="AD2381">
        <v>0</v>
      </c>
      <c r="AE2381">
        <v>-1</v>
      </c>
      <c r="AF2381" t="s">
        <v>50</v>
      </c>
      <c r="AG2381" t="s">
        <v>118</v>
      </c>
    </row>
    <row r="2382" spans="1:33" x14ac:dyDescent="0.35">
      <c r="A2382" s="1">
        <v>44832.611111111109</v>
      </c>
      <c r="B2382">
        <v>469749</v>
      </c>
      <c r="C2382" t="s">
        <v>2784</v>
      </c>
      <c r="D2382" t="s">
        <v>1458</v>
      </c>
      <c r="E2382" s="2">
        <v>39693</v>
      </c>
      <c r="F2382" t="str">
        <f>"9780470282069"</f>
        <v>9780470282069</v>
      </c>
      <c r="G2382" t="str">
        <f>"9780470105252"</f>
        <v>9780470105252</v>
      </c>
      <c r="H2382" t="s">
        <v>1112</v>
      </c>
      <c r="I2382">
        <v>660.28319999999997</v>
      </c>
      <c r="J2382" t="s">
        <v>2785</v>
      </c>
      <c r="K2382" t="s">
        <v>44</v>
      </c>
      <c r="N2382" t="s">
        <v>45</v>
      </c>
      <c r="O2382" t="s">
        <v>46</v>
      </c>
      <c r="P2382" t="s">
        <v>45</v>
      </c>
      <c r="Q2382" t="s">
        <v>47</v>
      </c>
      <c r="R2382" t="s">
        <v>44</v>
      </c>
      <c r="S2382">
        <v>0</v>
      </c>
      <c r="W2382" s="3">
        <v>1.2627314814814815E-2</v>
      </c>
      <c r="X2382" t="s">
        <v>196</v>
      </c>
      <c r="Y2382">
        <v>2</v>
      </c>
      <c r="Z2382">
        <v>0</v>
      </c>
      <c r="AA2382" t="s">
        <v>49</v>
      </c>
      <c r="AB2382">
        <v>0</v>
      </c>
      <c r="AC2382" t="s">
        <v>49</v>
      </c>
      <c r="AD2382">
        <v>0</v>
      </c>
      <c r="AE2382">
        <v>10296771</v>
      </c>
      <c r="AF2382" t="s">
        <v>50</v>
      </c>
      <c r="AG2382" t="s">
        <v>1355</v>
      </c>
    </row>
    <row r="2383" spans="1:33" x14ac:dyDescent="0.35">
      <c r="A2383" s="1">
        <v>44832.611111111109</v>
      </c>
      <c r="B2383">
        <v>1185557</v>
      </c>
      <c r="C2383" t="s">
        <v>4982</v>
      </c>
      <c r="D2383" t="s">
        <v>465</v>
      </c>
      <c r="E2383" s="2">
        <v>39541</v>
      </c>
      <c r="F2383" t="str">
        <f>"9781847558305"</f>
        <v>9781847558305</v>
      </c>
      <c r="G2383" t="str">
        <f>"9780854041244"</f>
        <v>9780854041244</v>
      </c>
      <c r="H2383" t="s">
        <v>1112</v>
      </c>
      <c r="I2383">
        <v>668.2</v>
      </c>
      <c r="J2383" t="s">
        <v>4983</v>
      </c>
      <c r="K2383" t="s">
        <v>44</v>
      </c>
      <c r="N2383" t="s">
        <v>45</v>
      </c>
      <c r="O2383" t="s">
        <v>46</v>
      </c>
      <c r="P2383" t="s">
        <v>45</v>
      </c>
      <c r="Q2383" t="s">
        <v>47</v>
      </c>
      <c r="R2383" t="s">
        <v>44</v>
      </c>
      <c r="S2383">
        <v>0</v>
      </c>
      <c r="W2383" s="3">
        <v>3.3888888888888885E-2</v>
      </c>
      <c r="X2383" t="s">
        <v>5009</v>
      </c>
      <c r="Y2383">
        <v>7</v>
      </c>
      <c r="Z2383">
        <v>0</v>
      </c>
      <c r="AA2383" t="s">
        <v>49</v>
      </c>
      <c r="AB2383">
        <v>0</v>
      </c>
      <c r="AC2383" t="s">
        <v>49</v>
      </c>
      <c r="AD2383">
        <v>0</v>
      </c>
      <c r="AE2383">
        <v>10618769</v>
      </c>
      <c r="AF2383" t="s">
        <v>50</v>
      </c>
      <c r="AG2383" t="s">
        <v>1355</v>
      </c>
    </row>
    <row r="2384" spans="1:33" x14ac:dyDescent="0.35">
      <c r="A2384" s="1">
        <v>44832.560416666667</v>
      </c>
      <c r="B2384">
        <v>3001649</v>
      </c>
      <c r="C2384" t="s">
        <v>5010</v>
      </c>
      <c r="D2384" t="s">
        <v>5011</v>
      </c>
      <c r="E2384" s="2">
        <v>36861</v>
      </c>
      <c r="F2384" t="str">
        <f>"9780838999066"</f>
        <v>9780838999066</v>
      </c>
      <c r="G2384" t="str">
        <f>"9780838935125"</f>
        <v>9780838935125</v>
      </c>
      <c r="H2384" t="s">
        <v>2717</v>
      </c>
      <c r="I2384">
        <v>11.62</v>
      </c>
      <c r="J2384" t="s">
        <v>5012</v>
      </c>
      <c r="K2384" t="s">
        <v>44</v>
      </c>
      <c r="N2384" t="s">
        <v>45</v>
      </c>
      <c r="O2384" t="s">
        <v>46</v>
      </c>
      <c r="P2384" t="s">
        <v>45</v>
      </c>
      <c r="Q2384" t="s">
        <v>47</v>
      </c>
      <c r="R2384" t="s">
        <v>44</v>
      </c>
      <c r="S2384">
        <v>0</v>
      </c>
      <c r="W2384" s="3">
        <v>4.6296296296296294E-5</v>
      </c>
      <c r="X2384" t="s">
        <v>3422</v>
      </c>
      <c r="Y2384">
        <v>1</v>
      </c>
      <c r="Z2384">
        <v>0</v>
      </c>
      <c r="AA2384" t="s">
        <v>49</v>
      </c>
      <c r="AB2384">
        <v>0</v>
      </c>
      <c r="AC2384" t="s">
        <v>49</v>
      </c>
      <c r="AD2384">
        <v>0</v>
      </c>
      <c r="AE2384">
        <v>10194697</v>
      </c>
      <c r="AF2384" t="s">
        <v>50</v>
      </c>
      <c r="AG2384" t="s">
        <v>3037</v>
      </c>
    </row>
    <row r="2385" spans="1:33" x14ac:dyDescent="0.35">
      <c r="A2385" s="1">
        <v>44832.494444444441</v>
      </c>
      <c r="B2385">
        <v>1185557</v>
      </c>
      <c r="C2385" t="s">
        <v>4982</v>
      </c>
      <c r="D2385" t="s">
        <v>465</v>
      </c>
      <c r="E2385" s="2">
        <v>39541</v>
      </c>
      <c r="F2385" t="str">
        <f>"9781847558305"</f>
        <v>9781847558305</v>
      </c>
      <c r="G2385" t="str">
        <f>"9780854041244"</f>
        <v>9780854041244</v>
      </c>
      <c r="H2385" t="s">
        <v>1112</v>
      </c>
      <c r="I2385">
        <v>668.2</v>
      </c>
      <c r="J2385" t="s">
        <v>4983</v>
      </c>
      <c r="K2385" t="s">
        <v>44</v>
      </c>
      <c r="N2385" t="s">
        <v>45</v>
      </c>
      <c r="O2385" t="s">
        <v>46</v>
      </c>
      <c r="P2385" t="s">
        <v>45</v>
      </c>
      <c r="Q2385" t="s">
        <v>47</v>
      </c>
      <c r="R2385" t="s">
        <v>44</v>
      </c>
      <c r="S2385">
        <v>0</v>
      </c>
      <c r="W2385" s="3">
        <v>3.4490740740740745E-3</v>
      </c>
      <c r="X2385" t="s">
        <v>5013</v>
      </c>
      <c r="Y2385">
        <v>6</v>
      </c>
      <c r="Z2385">
        <v>0</v>
      </c>
      <c r="AA2385" t="s">
        <v>49</v>
      </c>
      <c r="AB2385">
        <v>0</v>
      </c>
      <c r="AC2385" t="s">
        <v>49</v>
      </c>
      <c r="AD2385">
        <v>0</v>
      </c>
      <c r="AE2385">
        <v>10618769</v>
      </c>
      <c r="AF2385" t="s">
        <v>50</v>
      </c>
      <c r="AG2385" t="s">
        <v>1355</v>
      </c>
    </row>
    <row r="2386" spans="1:33" x14ac:dyDescent="0.35">
      <c r="A2386" s="1">
        <v>44832.347916666666</v>
      </c>
      <c r="B2386">
        <v>6371935</v>
      </c>
      <c r="C2386" t="s">
        <v>5014</v>
      </c>
      <c r="D2386" t="s">
        <v>76</v>
      </c>
      <c r="E2386" s="2">
        <v>44152</v>
      </c>
      <c r="F2386" t="str">
        <f>"9781000227123"</f>
        <v>9781000227123</v>
      </c>
      <c r="G2386" t="str">
        <f>"9780367505158"</f>
        <v>9780367505158</v>
      </c>
      <c r="H2386" t="s">
        <v>133</v>
      </c>
      <c r="I2386">
        <v>338.09</v>
      </c>
      <c r="J2386" t="s">
        <v>5015</v>
      </c>
      <c r="K2386" t="s">
        <v>55</v>
      </c>
      <c r="N2386" t="s">
        <v>293</v>
      </c>
      <c r="P2386" t="s">
        <v>80</v>
      </c>
      <c r="Q2386" t="s">
        <v>47</v>
      </c>
      <c r="R2386" t="s">
        <v>44</v>
      </c>
      <c r="S2386">
        <v>0</v>
      </c>
      <c r="W2386" s="3">
        <v>9.2592592592592588E-5</v>
      </c>
      <c r="X2386" t="s">
        <v>121</v>
      </c>
      <c r="Y2386">
        <v>1</v>
      </c>
      <c r="Z2386">
        <v>0</v>
      </c>
      <c r="AA2386" t="s">
        <v>49</v>
      </c>
      <c r="AB2386">
        <v>0</v>
      </c>
      <c r="AC2386" t="s">
        <v>49</v>
      </c>
      <c r="AD2386">
        <v>0</v>
      </c>
      <c r="AE2386">
        <v>-1</v>
      </c>
      <c r="AF2386" t="s">
        <v>50</v>
      </c>
      <c r="AG2386" t="s">
        <v>118</v>
      </c>
    </row>
    <row r="2387" spans="1:33" x14ac:dyDescent="0.35">
      <c r="A2387" s="1">
        <v>44832.333333333336</v>
      </c>
      <c r="B2387">
        <v>3338641</v>
      </c>
      <c r="C2387" t="s">
        <v>302</v>
      </c>
      <c r="D2387" t="s">
        <v>303</v>
      </c>
      <c r="E2387" s="2">
        <v>39143</v>
      </c>
      <c r="F2387" t="str">
        <f>"9780262282888"</f>
        <v>9780262282888</v>
      </c>
      <c r="G2387" t="str">
        <f>"9780262195577"</f>
        <v>9780262195577</v>
      </c>
      <c r="H2387" t="s">
        <v>304</v>
      </c>
      <c r="I2387" t="s">
        <v>305</v>
      </c>
      <c r="K2387" t="s">
        <v>44</v>
      </c>
      <c r="N2387" t="s">
        <v>45</v>
      </c>
      <c r="O2387" t="s">
        <v>46</v>
      </c>
      <c r="P2387" t="s">
        <v>45</v>
      </c>
      <c r="Q2387" t="s">
        <v>47</v>
      </c>
      <c r="R2387" t="s">
        <v>44</v>
      </c>
      <c r="S2387">
        <v>0</v>
      </c>
      <c r="W2387" s="3">
        <v>0</v>
      </c>
      <c r="X2387" t="s">
        <v>49</v>
      </c>
      <c r="Y2387">
        <v>0</v>
      </c>
      <c r="Z2387">
        <v>0</v>
      </c>
      <c r="AA2387" t="s">
        <v>49</v>
      </c>
      <c r="AB2387">
        <v>0</v>
      </c>
      <c r="AC2387" t="s">
        <v>49</v>
      </c>
      <c r="AD2387">
        <v>0</v>
      </c>
      <c r="AE2387">
        <v>10173702</v>
      </c>
      <c r="AF2387" t="s">
        <v>50</v>
      </c>
      <c r="AG2387" t="s">
        <v>2289</v>
      </c>
    </row>
    <row r="2388" spans="1:33" x14ac:dyDescent="0.35">
      <c r="A2388" s="1">
        <v>44832.333333333336</v>
      </c>
      <c r="B2388">
        <v>3338641</v>
      </c>
      <c r="C2388" t="s">
        <v>302</v>
      </c>
      <c r="D2388" t="s">
        <v>303</v>
      </c>
      <c r="E2388" s="2">
        <v>39143</v>
      </c>
      <c r="F2388" t="str">
        <f>"9780262282888"</f>
        <v>9780262282888</v>
      </c>
      <c r="G2388" t="str">
        <f>"9780262195577"</f>
        <v>9780262195577</v>
      </c>
      <c r="H2388" t="s">
        <v>304</v>
      </c>
      <c r="I2388" t="s">
        <v>305</v>
      </c>
      <c r="K2388" t="s">
        <v>44</v>
      </c>
      <c r="N2388" t="s">
        <v>45</v>
      </c>
      <c r="O2388" t="s">
        <v>46</v>
      </c>
      <c r="P2388" t="s">
        <v>45</v>
      </c>
      <c r="Q2388" t="s">
        <v>47</v>
      </c>
      <c r="R2388" t="s">
        <v>44</v>
      </c>
      <c r="S2388">
        <v>0</v>
      </c>
      <c r="W2388" s="3">
        <v>0</v>
      </c>
      <c r="X2388" t="s">
        <v>49</v>
      </c>
      <c r="Y2388">
        <v>0</v>
      </c>
      <c r="Z2388">
        <v>0</v>
      </c>
      <c r="AA2388" t="s">
        <v>49</v>
      </c>
      <c r="AB2388">
        <v>0</v>
      </c>
      <c r="AC2388" t="s">
        <v>49</v>
      </c>
      <c r="AD2388">
        <v>0</v>
      </c>
      <c r="AE2388">
        <v>10173702</v>
      </c>
      <c r="AF2388" t="s">
        <v>50</v>
      </c>
      <c r="AG2388" t="s">
        <v>2289</v>
      </c>
    </row>
    <row r="2389" spans="1:33" x14ac:dyDescent="0.35">
      <c r="A2389" s="1">
        <v>44832.021527777775</v>
      </c>
      <c r="B2389">
        <v>6126757</v>
      </c>
      <c r="C2389" t="s">
        <v>4502</v>
      </c>
      <c r="D2389" t="s">
        <v>105</v>
      </c>
      <c r="E2389" s="2">
        <v>43894</v>
      </c>
      <c r="F2389" t="str">
        <f>"9783030423636"</f>
        <v>9783030423636</v>
      </c>
      <c r="G2389" t="str">
        <f>"9783030423629"</f>
        <v>9783030423629</v>
      </c>
      <c r="H2389" t="s">
        <v>4503</v>
      </c>
      <c r="I2389">
        <v>338.06</v>
      </c>
      <c r="J2389" t="s">
        <v>107</v>
      </c>
      <c r="K2389" t="s">
        <v>55</v>
      </c>
      <c r="Q2389" t="s">
        <v>47</v>
      </c>
      <c r="R2389" t="s">
        <v>44</v>
      </c>
      <c r="S2389">
        <v>0</v>
      </c>
      <c r="W2389" s="3">
        <v>9.9537037037037042E-4</v>
      </c>
      <c r="X2389" t="s">
        <v>5016</v>
      </c>
      <c r="Y2389">
        <v>7</v>
      </c>
      <c r="Z2389">
        <v>0</v>
      </c>
      <c r="AA2389" t="s">
        <v>49</v>
      </c>
      <c r="AB2389">
        <v>0</v>
      </c>
      <c r="AC2389" t="s">
        <v>49</v>
      </c>
      <c r="AD2389">
        <v>0</v>
      </c>
      <c r="AE2389">
        <v>-1</v>
      </c>
      <c r="AF2389" t="s">
        <v>50</v>
      </c>
      <c r="AG2389" t="s">
        <v>5017</v>
      </c>
    </row>
    <row r="2390" spans="1:33" x14ac:dyDescent="0.35">
      <c r="A2390" s="1">
        <v>44832.011805555558</v>
      </c>
      <c r="B2390">
        <v>6126757</v>
      </c>
      <c r="C2390" t="s">
        <v>4502</v>
      </c>
      <c r="D2390" t="s">
        <v>105</v>
      </c>
      <c r="E2390" s="2">
        <v>43894</v>
      </c>
      <c r="F2390" t="str">
        <f>"9783030423636"</f>
        <v>9783030423636</v>
      </c>
      <c r="G2390" t="str">
        <f>"9783030423629"</f>
        <v>9783030423629</v>
      </c>
      <c r="H2390" t="s">
        <v>4503</v>
      </c>
      <c r="I2390">
        <v>338.06</v>
      </c>
      <c r="J2390" t="s">
        <v>107</v>
      </c>
      <c r="K2390" t="s">
        <v>55</v>
      </c>
      <c r="Q2390" t="s">
        <v>47</v>
      </c>
      <c r="R2390" t="s">
        <v>44</v>
      </c>
      <c r="S2390">
        <v>0</v>
      </c>
      <c r="W2390" s="3">
        <v>5.2777777777777771E-3</v>
      </c>
      <c r="X2390" t="s">
        <v>5018</v>
      </c>
      <c r="Y2390">
        <v>18</v>
      </c>
      <c r="Z2390">
        <v>0</v>
      </c>
      <c r="AA2390" t="s">
        <v>49</v>
      </c>
      <c r="AB2390">
        <v>0</v>
      </c>
      <c r="AC2390" t="s">
        <v>49</v>
      </c>
      <c r="AD2390">
        <v>0</v>
      </c>
      <c r="AE2390">
        <v>-1</v>
      </c>
      <c r="AF2390" t="s">
        <v>50</v>
      </c>
      <c r="AG2390" t="s">
        <v>118</v>
      </c>
    </row>
    <row r="2391" spans="1:33" x14ac:dyDescent="0.35">
      <c r="A2391" s="1">
        <v>44831.964583333334</v>
      </c>
      <c r="B2391">
        <v>1723247</v>
      </c>
      <c r="C2391" t="s">
        <v>5019</v>
      </c>
      <c r="D2391" t="s">
        <v>5020</v>
      </c>
      <c r="E2391" s="2">
        <v>41166</v>
      </c>
      <c r="F2391" t="str">
        <f>"9788131237991"</f>
        <v>9788131237991</v>
      </c>
      <c r="G2391" t="str">
        <f>"9788131230916"</f>
        <v>9788131230916</v>
      </c>
      <c r="H2391" t="s">
        <v>77</v>
      </c>
      <c r="I2391">
        <v>617.52200000000005</v>
      </c>
      <c r="J2391" t="s">
        <v>5021</v>
      </c>
      <c r="K2391" t="s">
        <v>55</v>
      </c>
      <c r="N2391" t="s">
        <v>79</v>
      </c>
      <c r="P2391" t="s">
        <v>1169</v>
      </c>
      <c r="Q2391" t="s">
        <v>47</v>
      </c>
      <c r="R2391" t="s">
        <v>44</v>
      </c>
      <c r="S2391">
        <v>0</v>
      </c>
      <c r="W2391" s="3">
        <v>4.3749999999999995E-3</v>
      </c>
      <c r="X2391" t="s">
        <v>5022</v>
      </c>
      <c r="Y2391">
        <v>28</v>
      </c>
      <c r="Z2391">
        <v>0</v>
      </c>
      <c r="AA2391" t="s">
        <v>49</v>
      </c>
      <c r="AB2391">
        <v>0</v>
      </c>
      <c r="AC2391" t="s">
        <v>49</v>
      </c>
      <c r="AD2391">
        <v>0</v>
      </c>
      <c r="AE2391">
        <v>10869333</v>
      </c>
      <c r="AF2391" t="s">
        <v>50</v>
      </c>
      <c r="AG2391" t="s">
        <v>1355</v>
      </c>
    </row>
    <row r="2392" spans="1:33" x14ac:dyDescent="0.35">
      <c r="A2392" s="1">
        <v>44831.887499999997</v>
      </c>
      <c r="B2392">
        <v>1165931</v>
      </c>
      <c r="C2392" t="s">
        <v>5023</v>
      </c>
      <c r="D2392" t="s">
        <v>895</v>
      </c>
      <c r="E2392" s="2">
        <v>41256</v>
      </c>
      <c r="F2392" t="str">
        <f>"9781439887264"</f>
        <v>9781439887264</v>
      </c>
      <c r="G2392" t="str">
        <f>"9781439887257"</f>
        <v>9781439887257</v>
      </c>
      <c r="H2392" t="s">
        <v>60</v>
      </c>
      <c r="I2392" t="s">
        <v>5024</v>
      </c>
      <c r="J2392" t="s">
        <v>5025</v>
      </c>
      <c r="K2392" t="s">
        <v>44</v>
      </c>
      <c r="N2392" t="s">
        <v>45</v>
      </c>
      <c r="O2392" t="s">
        <v>46</v>
      </c>
      <c r="P2392" t="s">
        <v>45</v>
      </c>
      <c r="Q2392" t="s">
        <v>47</v>
      </c>
      <c r="R2392" t="s">
        <v>44</v>
      </c>
      <c r="S2392">
        <v>0</v>
      </c>
      <c r="W2392" s="3">
        <v>5.9027777777777778E-4</v>
      </c>
      <c r="X2392" t="s">
        <v>5026</v>
      </c>
      <c r="Y2392">
        <v>9</v>
      </c>
      <c r="Z2392">
        <v>0</v>
      </c>
      <c r="AA2392" t="s">
        <v>49</v>
      </c>
      <c r="AB2392">
        <v>0</v>
      </c>
      <c r="AC2392" t="s">
        <v>49</v>
      </c>
      <c r="AD2392">
        <v>0</v>
      </c>
      <c r="AE2392">
        <v>10653912</v>
      </c>
      <c r="AF2392" t="s">
        <v>50</v>
      </c>
      <c r="AG2392" t="s">
        <v>2642</v>
      </c>
    </row>
    <row r="2393" spans="1:33" x14ac:dyDescent="0.35">
      <c r="A2393" s="1">
        <v>44831.886805555558</v>
      </c>
      <c r="B2393">
        <v>819129</v>
      </c>
      <c r="C2393" t="s">
        <v>5027</v>
      </c>
      <c r="D2393" t="s">
        <v>59</v>
      </c>
      <c r="E2393" s="2">
        <v>40197</v>
      </c>
      <c r="F2393" t="str">
        <f>"9781118210215"</f>
        <v>9781118210215</v>
      </c>
      <c r="G2393" t="str">
        <f>"9780470114940"</f>
        <v>9780470114940</v>
      </c>
      <c r="H2393" t="s">
        <v>60</v>
      </c>
      <c r="I2393">
        <v>658.40129999999999</v>
      </c>
      <c r="J2393" t="s">
        <v>5028</v>
      </c>
      <c r="K2393" t="s">
        <v>44</v>
      </c>
      <c r="N2393" t="s">
        <v>45</v>
      </c>
      <c r="O2393" t="s">
        <v>46</v>
      </c>
      <c r="P2393" t="s">
        <v>45</v>
      </c>
      <c r="Q2393" t="s">
        <v>47</v>
      </c>
      <c r="R2393" t="s">
        <v>44</v>
      </c>
      <c r="S2393">
        <v>0</v>
      </c>
      <c r="W2393" s="3">
        <v>5.3240740740740744E-4</v>
      </c>
      <c r="X2393" t="s">
        <v>5029</v>
      </c>
      <c r="Y2393">
        <v>4</v>
      </c>
      <c r="Z2393">
        <v>0</v>
      </c>
      <c r="AA2393" t="s">
        <v>49</v>
      </c>
      <c r="AB2393">
        <v>0</v>
      </c>
      <c r="AC2393" t="s">
        <v>49</v>
      </c>
      <c r="AD2393">
        <v>0</v>
      </c>
      <c r="AE2393">
        <v>11097890</v>
      </c>
      <c r="AF2393" t="s">
        <v>50</v>
      </c>
      <c r="AG2393" t="s">
        <v>2642</v>
      </c>
    </row>
    <row r="2394" spans="1:33" x14ac:dyDescent="0.35">
      <c r="A2394" s="1">
        <v>44831.884722222225</v>
      </c>
      <c r="B2394">
        <v>4877057</v>
      </c>
      <c r="C2394" t="s">
        <v>5030</v>
      </c>
      <c r="D2394" t="s">
        <v>199</v>
      </c>
      <c r="E2394" s="2">
        <v>43221</v>
      </c>
      <c r="F2394" t="str">
        <f>"9781423231257"</f>
        <v>9781423231257</v>
      </c>
      <c r="G2394" t="str">
        <f>"9781423231134"</f>
        <v>9781423231134</v>
      </c>
      <c r="H2394" t="s">
        <v>60</v>
      </c>
      <c r="I2394">
        <v>658.56202180000002</v>
      </c>
      <c r="J2394" t="s">
        <v>5031</v>
      </c>
      <c r="K2394" t="s">
        <v>44</v>
      </c>
      <c r="N2394" t="s">
        <v>45</v>
      </c>
      <c r="O2394" t="s">
        <v>46</v>
      </c>
      <c r="P2394" t="s">
        <v>45</v>
      </c>
      <c r="Q2394" t="s">
        <v>47</v>
      </c>
      <c r="R2394" t="s">
        <v>44</v>
      </c>
      <c r="S2394">
        <v>0</v>
      </c>
      <c r="W2394" s="3">
        <v>6.8287037037037025E-4</v>
      </c>
      <c r="X2394" t="s">
        <v>5032</v>
      </c>
      <c r="Y2394">
        <v>5</v>
      </c>
      <c r="Z2394">
        <v>0</v>
      </c>
      <c r="AA2394" t="s">
        <v>49</v>
      </c>
      <c r="AB2394">
        <v>0</v>
      </c>
      <c r="AC2394" t="s">
        <v>49</v>
      </c>
      <c r="AD2394">
        <v>0</v>
      </c>
      <c r="AE2394">
        <v>11397723</v>
      </c>
      <c r="AF2394" t="s">
        <v>50</v>
      </c>
      <c r="AG2394" t="s">
        <v>2642</v>
      </c>
    </row>
    <row r="2395" spans="1:33" x14ac:dyDescent="0.35">
      <c r="A2395" s="1">
        <v>44831.854861111111</v>
      </c>
      <c r="B2395">
        <v>4986274</v>
      </c>
      <c r="C2395" t="s">
        <v>5033</v>
      </c>
      <c r="D2395" t="s">
        <v>65</v>
      </c>
      <c r="E2395" s="2">
        <v>42990</v>
      </c>
      <c r="F2395" t="str">
        <f>"9780128103975"</f>
        <v>9780128103975</v>
      </c>
      <c r="G2395" t="str">
        <f>"9780128099216"</f>
        <v>9780128099216</v>
      </c>
      <c r="H2395" t="s">
        <v>542</v>
      </c>
      <c r="I2395">
        <v>621.38154199999997</v>
      </c>
      <c r="J2395" t="s">
        <v>5034</v>
      </c>
      <c r="K2395" t="s">
        <v>44</v>
      </c>
      <c r="N2395" t="s">
        <v>45</v>
      </c>
      <c r="O2395" t="s">
        <v>46</v>
      </c>
      <c r="P2395" t="s">
        <v>45</v>
      </c>
      <c r="Q2395" t="s">
        <v>47</v>
      </c>
      <c r="R2395" t="s">
        <v>44</v>
      </c>
      <c r="S2395">
        <v>0</v>
      </c>
      <c r="W2395" s="3">
        <v>3.3680555555555551E-3</v>
      </c>
      <c r="X2395" t="s">
        <v>5035</v>
      </c>
      <c r="Y2395">
        <v>13</v>
      </c>
      <c r="Z2395">
        <v>0</v>
      </c>
      <c r="AA2395" t="s">
        <v>49</v>
      </c>
      <c r="AB2395">
        <v>0</v>
      </c>
      <c r="AC2395" t="s">
        <v>5036</v>
      </c>
      <c r="AD2395">
        <v>2</v>
      </c>
      <c r="AE2395">
        <v>11428980</v>
      </c>
      <c r="AF2395" t="s">
        <v>50</v>
      </c>
      <c r="AG2395" t="s">
        <v>1355</v>
      </c>
    </row>
    <row r="2396" spans="1:33" x14ac:dyDescent="0.35">
      <c r="A2396" s="1">
        <v>44831.848611111112</v>
      </c>
      <c r="B2396">
        <v>5042169</v>
      </c>
      <c r="C2396" t="s">
        <v>5037</v>
      </c>
      <c r="D2396" t="s">
        <v>769</v>
      </c>
      <c r="E2396" s="2">
        <v>42745</v>
      </c>
      <c r="F2396" t="str">
        <f>"9781498728010"</f>
        <v>9781498728010</v>
      </c>
      <c r="G2396" t="str">
        <f>"9781498728003"</f>
        <v>9781498728003</v>
      </c>
      <c r="H2396" t="s">
        <v>43</v>
      </c>
      <c r="I2396">
        <v>511.8</v>
      </c>
      <c r="J2396" t="s">
        <v>5038</v>
      </c>
      <c r="K2396" t="s">
        <v>44</v>
      </c>
      <c r="N2396" t="s">
        <v>45</v>
      </c>
      <c r="O2396" t="s">
        <v>46</v>
      </c>
      <c r="P2396" t="s">
        <v>45</v>
      </c>
      <c r="Q2396" t="s">
        <v>47</v>
      </c>
      <c r="R2396" t="s">
        <v>44</v>
      </c>
      <c r="S2396">
        <v>0</v>
      </c>
      <c r="W2396" s="3">
        <v>3.4722222222222224E-4</v>
      </c>
      <c r="X2396" t="s">
        <v>5039</v>
      </c>
      <c r="Y2396">
        <v>5</v>
      </c>
      <c r="Z2396">
        <v>0</v>
      </c>
      <c r="AA2396" t="s">
        <v>49</v>
      </c>
      <c r="AB2396">
        <v>0</v>
      </c>
      <c r="AC2396" t="s">
        <v>49</v>
      </c>
      <c r="AD2396">
        <v>0</v>
      </c>
      <c r="AE2396">
        <v>11437817</v>
      </c>
      <c r="AF2396" t="s">
        <v>50</v>
      </c>
      <c r="AG2396" t="s">
        <v>5040</v>
      </c>
    </row>
    <row r="2397" spans="1:33" x14ac:dyDescent="0.35">
      <c r="A2397" s="1">
        <v>44831.839583333334</v>
      </c>
      <c r="B2397">
        <v>1186203</v>
      </c>
      <c r="C2397" t="s">
        <v>4688</v>
      </c>
      <c r="D2397" t="s">
        <v>465</v>
      </c>
      <c r="E2397" s="2">
        <v>37091</v>
      </c>
      <c r="F2397" t="str">
        <f>"9781847552228"</f>
        <v>9781847552228</v>
      </c>
      <c r="G2397" t="str">
        <f>"9780854046058"</f>
        <v>9780854046058</v>
      </c>
      <c r="H2397" t="s">
        <v>546</v>
      </c>
      <c r="I2397">
        <v>621.31241999999997</v>
      </c>
      <c r="J2397" t="s">
        <v>4689</v>
      </c>
      <c r="K2397" t="s">
        <v>44</v>
      </c>
      <c r="N2397" t="s">
        <v>45</v>
      </c>
      <c r="O2397" t="s">
        <v>46</v>
      </c>
      <c r="P2397" t="s">
        <v>45</v>
      </c>
      <c r="Q2397" t="s">
        <v>47</v>
      </c>
      <c r="R2397" t="s">
        <v>44</v>
      </c>
      <c r="S2397">
        <v>0</v>
      </c>
      <c r="W2397" s="3">
        <v>1.2268518518518518E-3</v>
      </c>
      <c r="X2397" t="s">
        <v>5041</v>
      </c>
      <c r="Y2397">
        <v>17</v>
      </c>
      <c r="Z2397">
        <v>0</v>
      </c>
      <c r="AA2397" t="s">
        <v>49</v>
      </c>
      <c r="AB2397">
        <v>0</v>
      </c>
      <c r="AC2397" t="s">
        <v>49</v>
      </c>
      <c r="AD2397">
        <v>0</v>
      </c>
      <c r="AE2397">
        <v>10626380</v>
      </c>
      <c r="AF2397" t="s">
        <v>50</v>
      </c>
      <c r="AG2397" t="s">
        <v>1355</v>
      </c>
    </row>
    <row r="2398" spans="1:33" x14ac:dyDescent="0.35">
      <c r="A2398" s="1">
        <v>44831.819444444445</v>
      </c>
      <c r="B2398">
        <v>6380889</v>
      </c>
      <c r="C2398" t="s">
        <v>5042</v>
      </c>
      <c r="D2398" t="s">
        <v>105</v>
      </c>
      <c r="E2398" s="2">
        <v>44124</v>
      </c>
      <c r="F2398" t="str">
        <f>"9783030530693"</f>
        <v>9783030530693</v>
      </c>
      <c r="G2398" t="str">
        <f>"9783030530686"</f>
        <v>9783030530686</v>
      </c>
      <c r="H2398" t="s">
        <v>5043</v>
      </c>
      <c r="I2398">
        <v>541.34820000000002</v>
      </c>
      <c r="J2398" t="s">
        <v>5044</v>
      </c>
      <c r="K2398" t="s">
        <v>55</v>
      </c>
      <c r="Q2398" t="s">
        <v>47</v>
      </c>
      <c r="R2398" t="s">
        <v>44</v>
      </c>
      <c r="S2398">
        <v>0</v>
      </c>
      <c r="W2398" s="3">
        <v>1.7361111111111112E-4</v>
      </c>
      <c r="X2398" t="s">
        <v>5045</v>
      </c>
      <c r="Y2398">
        <v>2</v>
      </c>
      <c r="Z2398">
        <v>0</v>
      </c>
      <c r="AA2398" t="s">
        <v>49</v>
      </c>
      <c r="AB2398">
        <v>0</v>
      </c>
      <c r="AC2398" t="s">
        <v>49</v>
      </c>
      <c r="AD2398">
        <v>0</v>
      </c>
      <c r="AE2398">
        <v>-1</v>
      </c>
      <c r="AF2398" t="s">
        <v>50</v>
      </c>
      <c r="AG2398" t="s">
        <v>300</v>
      </c>
    </row>
    <row r="2399" spans="1:33" x14ac:dyDescent="0.35">
      <c r="A2399" s="1">
        <v>44831.791666666664</v>
      </c>
      <c r="B2399">
        <v>6361541</v>
      </c>
      <c r="C2399" t="s">
        <v>5046</v>
      </c>
      <c r="D2399" t="s">
        <v>438</v>
      </c>
      <c r="E2399" s="2">
        <v>44105</v>
      </c>
      <c r="F2399" t="str">
        <f>"9781647251451"</f>
        <v>9781647251451</v>
      </c>
      <c r="G2399" t="str">
        <f>""</f>
        <v/>
      </c>
      <c r="H2399" t="s">
        <v>2062</v>
      </c>
      <c r="I2399">
        <v>571.6</v>
      </c>
      <c r="J2399" t="s">
        <v>5047</v>
      </c>
      <c r="K2399" t="s">
        <v>55</v>
      </c>
      <c r="Q2399" t="s">
        <v>47</v>
      </c>
      <c r="R2399" t="s">
        <v>44</v>
      </c>
      <c r="S2399">
        <v>0</v>
      </c>
      <c r="W2399" s="3">
        <v>9.8379629629629642E-4</v>
      </c>
      <c r="X2399" t="s">
        <v>5048</v>
      </c>
      <c r="Y2399">
        <v>9</v>
      </c>
      <c r="Z2399">
        <v>0</v>
      </c>
      <c r="AA2399" t="s">
        <v>49</v>
      </c>
      <c r="AB2399">
        <v>0</v>
      </c>
      <c r="AC2399" t="s">
        <v>49</v>
      </c>
      <c r="AD2399">
        <v>0</v>
      </c>
      <c r="AE2399">
        <v>-1</v>
      </c>
      <c r="AF2399" t="s">
        <v>50</v>
      </c>
      <c r="AG2399" t="s">
        <v>5049</v>
      </c>
    </row>
    <row r="2400" spans="1:33" x14ac:dyDescent="0.35">
      <c r="A2400" s="1">
        <v>44831.790277777778</v>
      </c>
      <c r="B2400">
        <v>3018148</v>
      </c>
      <c r="C2400" t="s">
        <v>5050</v>
      </c>
      <c r="D2400" t="s">
        <v>137</v>
      </c>
      <c r="E2400" s="2">
        <v>40702</v>
      </c>
      <c r="F2400" t="str">
        <f>"9781611221237"</f>
        <v>9781611221237</v>
      </c>
      <c r="G2400" t="str">
        <f>"9781617618376"</f>
        <v>9781617618376</v>
      </c>
      <c r="H2400" t="s">
        <v>4651</v>
      </c>
      <c r="I2400">
        <v>686.23149999999998</v>
      </c>
      <c r="J2400" t="s">
        <v>5051</v>
      </c>
      <c r="K2400" t="s">
        <v>44</v>
      </c>
      <c r="N2400" t="s">
        <v>45</v>
      </c>
      <c r="O2400" t="s">
        <v>46</v>
      </c>
      <c r="P2400" t="s">
        <v>177</v>
      </c>
      <c r="Q2400" t="s">
        <v>47</v>
      </c>
      <c r="R2400" t="s">
        <v>55</v>
      </c>
      <c r="S2400">
        <v>0</v>
      </c>
      <c r="W2400" s="3">
        <v>9.4444444444444445E-3</v>
      </c>
      <c r="X2400" t="s">
        <v>5052</v>
      </c>
      <c r="Y2400">
        <v>12</v>
      </c>
      <c r="Z2400">
        <v>0</v>
      </c>
      <c r="AA2400" t="s">
        <v>49</v>
      </c>
      <c r="AB2400">
        <v>0</v>
      </c>
      <c r="AC2400" t="s">
        <v>49</v>
      </c>
      <c r="AD2400">
        <v>0</v>
      </c>
      <c r="AE2400">
        <v>10659070</v>
      </c>
      <c r="AF2400" t="s">
        <v>50</v>
      </c>
      <c r="AG2400" t="s">
        <v>1004</v>
      </c>
    </row>
    <row r="2401" spans="1:33" x14ac:dyDescent="0.35">
      <c r="A2401" s="1">
        <v>44831.711805555555</v>
      </c>
      <c r="B2401">
        <v>6213230</v>
      </c>
      <c r="C2401" t="s">
        <v>5053</v>
      </c>
      <c r="D2401" t="s">
        <v>65</v>
      </c>
      <c r="E2401" s="2">
        <v>43982</v>
      </c>
      <c r="F2401" t="str">
        <f>"9780128226087"</f>
        <v>9780128226087</v>
      </c>
      <c r="G2401" t="str">
        <f>"9780128197646"</f>
        <v>9780128197646</v>
      </c>
      <c r="H2401" t="s">
        <v>454</v>
      </c>
      <c r="I2401">
        <v>6.31</v>
      </c>
      <c r="J2401" t="s">
        <v>5054</v>
      </c>
      <c r="K2401" t="s">
        <v>55</v>
      </c>
      <c r="Q2401" t="s">
        <v>47</v>
      </c>
      <c r="R2401" t="s">
        <v>44</v>
      </c>
      <c r="S2401">
        <v>0</v>
      </c>
      <c r="W2401" s="3">
        <v>2.5115740740740741E-3</v>
      </c>
      <c r="X2401" t="s">
        <v>5055</v>
      </c>
      <c r="Y2401">
        <v>3</v>
      </c>
      <c r="Z2401">
        <v>0</v>
      </c>
      <c r="AA2401" t="s">
        <v>49</v>
      </c>
      <c r="AB2401">
        <v>0</v>
      </c>
      <c r="AC2401" t="s">
        <v>49</v>
      </c>
      <c r="AD2401">
        <v>0</v>
      </c>
      <c r="AE2401">
        <v>-1</v>
      </c>
      <c r="AF2401" t="s">
        <v>50</v>
      </c>
      <c r="AG2401" t="s">
        <v>2446</v>
      </c>
    </row>
    <row r="2402" spans="1:33" x14ac:dyDescent="0.35">
      <c r="A2402" s="1">
        <v>44831.698611111111</v>
      </c>
      <c r="B2402">
        <v>469749</v>
      </c>
      <c r="C2402" t="s">
        <v>2784</v>
      </c>
      <c r="D2402" t="s">
        <v>1458</v>
      </c>
      <c r="E2402" s="2">
        <v>39693</v>
      </c>
      <c r="F2402" t="str">
        <f>"9780470282069"</f>
        <v>9780470282069</v>
      </c>
      <c r="G2402" t="str">
        <f>"9780470105252"</f>
        <v>9780470105252</v>
      </c>
      <c r="H2402" t="s">
        <v>1112</v>
      </c>
      <c r="I2402">
        <v>660.28319999999997</v>
      </c>
      <c r="J2402" t="s">
        <v>2785</v>
      </c>
      <c r="K2402" t="s">
        <v>44</v>
      </c>
      <c r="N2402" t="s">
        <v>45</v>
      </c>
      <c r="O2402" t="s">
        <v>46</v>
      </c>
      <c r="P2402" t="s">
        <v>45</v>
      </c>
      <c r="Q2402" t="s">
        <v>47</v>
      </c>
      <c r="R2402" t="s">
        <v>44</v>
      </c>
      <c r="S2402">
        <v>0</v>
      </c>
      <c r="W2402" s="3">
        <v>2.9282407407407412E-3</v>
      </c>
      <c r="X2402" t="s">
        <v>320</v>
      </c>
      <c r="Y2402">
        <v>3</v>
      </c>
      <c r="Z2402">
        <v>0</v>
      </c>
      <c r="AA2402" t="s">
        <v>49</v>
      </c>
      <c r="AB2402">
        <v>0</v>
      </c>
      <c r="AC2402" t="s">
        <v>49</v>
      </c>
      <c r="AD2402">
        <v>0</v>
      </c>
      <c r="AE2402">
        <v>10296771</v>
      </c>
      <c r="AF2402" t="s">
        <v>50</v>
      </c>
      <c r="AG2402" t="s">
        <v>2972</v>
      </c>
    </row>
    <row r="2403" spans="1:33" x14ac:dyDescent="0.35">
      <c r="A2403" s="1">
        <v>44831.695833333331</v>
      </c>
      <c r="B2403">
        <v>957290</v>
      </c>
      <c r="C2403" t="s">
        <v>4280</v>
      </c>
      <c r="D2403" t="s">
        <v>76</v>
      </c>
      <c r="E2403" s="2">
        <v>40941</v>
      </c>
      <c r="F2403" t="str">
        <f>"9780203127711"</f>
        <v>9780203127711</v>
      </c>
      <c r="G2403" t="str">
        <f>"9780415895347"</f>
        <v>9780415895347</v>
      </c>
      <c r="H2403" t="s">
        <v>1046</v>
      </c>
      <c r="I2403">
        <v>302.23099999999999</v>
      </c>
      <c r="J2403" t="s">
        <v>4281</v>
      </c>
      <c r="K2403" t="s">
        <v>44</v>
      </c>
      <c r="N2403" t="s">
        <v>45</v>
      </c>
      <c r="O2403" t="s">
        <v>46</v>
      </c>
      <c r="P2403" t="s">
        <v>45</v>
      </c>
      <c r="Q2403" t="s">
        <v>47</v>
      </c>
      <c r="R2403" t="s">
        <v>44</v>
      </c>
      <c r="S2403">
        <v>0</v>
      </c>
      <c r="W2403" s="3">
        <v>7.037037037037037E-3</v>
      </c>
      <c r="X2403" t="s">
        <v>5056</v>
      </c>
      <c r="Y2403">
        <v>8</v>
      </c>
      <c r="Z2403">
        <v>1</v>
      </c>
      <c r="AA2403" t="s">
        <v>4897</v>
      </c>
      <c r="AB2403">
        <v>20</v>
      </c>
      <c r="AC2403" t="s">
        <v>49</v>
      </c>
      <c r="AD2403">
        <v>0</v>
      </c>
      <c r="AE2403">
        <v>10535074</v>
      </c>
      <c r="AF2403" t="s">
        <v>50</v>
      </c>
      <c r="AG2403" t="s">
        <v>118</v>
      </c>
    </row>
    <row r="2404" spans="1:33" x14ac:dyDescent="0.35">
      <c r="A2404" s="1">
        <v>44831.694444444445</v>
      </c>
      <c r="B2404">
        <v>6380889</v>
      </c>
      <c r="C2404" t="s">
        <v>5042</v>
      </c>
      <c r="D2404" t="s">
        <v>105</v>
      </c>
      <c r="E2404" s="2">
        <v>44124</v>
      </c>
      <c r="F2404" t="str">
        <f>"9783030530693"</f>
        <v>9783030530693</v>
      </c>
      <c r="G2404" t="str">
        <f>"9783030530686"</f>
        <v>9783030530686</v>
      </c>
      <c r="H2404" t="s">
        <v>5043</v>
      </c>
      <c r="I2404">
        <v>541.34820000000002</v>
      </c>
      <c r="J2404" t="s">
        <v>5044</v>
      </c>
      <c r="K2404" t="s">
        <v>55</v>
      </c>
      <c r="Q2404" t="s">
        <v>47</v>
      </c>
      <c r="R2404" t="s">
        <v>44</v>
      </c>
      <c r="S2404">
        <v>0</v>
      </c>
      <c r="W2404" s="3">
        <v>9.3287037037037036E-3</v>
      </c>
      <c r="X2404" t="s">
        <v>5057</v>
      </c>
      <c r="Y2404">
        <v>5</v>
      </c>
      <c r="Z2404">
        <v>0</v>
      </c>
      <c r="AA2404" t="s">
        <v>49</v>
      </c>
      <c r="AB2404">
        <v>0</v>
      </c>
      <c r="AC2404" t="s">
        <v>49</v>
      </c>
      <c r="AD2404">
        <v>0</v>
      </c>
      <c r="AE2404">
        <v>-1</v>
      </c>
      <c r="AF2404" t="s">
        <v>50</v>
      </c>
      <c r="AG2404" t="s">
        <v>300</v>
      </c>
    </row>
    <row r="2405" spans="1:33" x14ac:dyDescent="0.35">
      <c r="A2405" s="1">
        <v>44831.662499999999</v>
      </c>
      <c r="B2405">
        <v>3378169</v>
      </c>
      <c r="C2405" t="s">
        <v>5058</v>
      </c>
      <c r="D2405" t="s">
        <v>175</v>
      </c>
      <c r="E2405" s="2">
        <v>39058</v>
      </c>
      <c r="F2405" t="str">
        <f>"9780309660457"</f>
        <v>9780309660457</v>
      </c>
      <c r="G2405" t="str">
        <f>"9780309101967"</f>
        <v>9780309101967</v>
      </c>
      <c r="H2405" t="s">
        <v>77</v>
      </c>
      <c r="I2405" t="s">
        <v>5059</v>
      </c>
      <c r="K2405" t="s">
        <v>44</v>
      </c>
      <c r="N2405" t="s">
        <v>45</v>
      </c>
      <c r="O2405" t="s">
        <v>46</v>
      </c>
      <c r="P2405" t="s">
        <v>177</v>
      </c>
      <c r="Q2405" t="s">
        <v>47</v>
      </c>
      <c r="R2405" t="s">
        <v>55</v>
      </c>
      <c r="S2405">
        <v>0</v>
      </c>
      <c r="W2405" s="3">
        <v>1.7627314814814814E-2</v>
      </c>
      <c r="X2405" t="s">
        <v>5060</v>
      </c>
      <c r="Y2405">
        <v>3</v>
      </c>
      <c r="Z2405">
        <v>0</v>
      </c>
      <c r="AA2405" t="s">
        <v>49</v>
      </c>
      <c r="AB2405">
        <v>0</v>
      </c>
      <c r="AC2405" t="s">
        <v>49</v>
      </c>
      <c r="AD2405">
        <v>0</v>
      </c>
      <c r="AE2405">
        <v>10156539</v>
      </c>
      <c r="AF2405" t="s">
        <v>50</v>
      </c>
      <c r="AG2405" t="s">
        <v>1691</v>
      </c>
    </row>
    <row r="2406" spans="1:33" x14ac:dyDescent="0.35">
      <c r="A2406" s="1">
        <v>44831.636111111111</v>
      </c>
      <c r="B2406">
        <v>957290</v>
      </c>
      <c r="C2406" t="s">
        <v>4280</v>
      </c>
      <c r="D2406" t="s">
        <v>76</v>
      </c>
      <c r="E2406" s="2">
        <v>40941</v>
      </c>
      <c r="F2406" t="str">
        <f>"9780203127711"</f>
        <v>9780203127711</v>
      </c>
      <c r="G2406" t="str">
        <f>"9780415895347"</f>
        <v>9780415895347</v>
      </c>
      <c r="H2406" t="s">
        <v>1046</v>
      </c>
      <c r="I2406">
        <v>302.23099999999999</v>
      </c>
      <c r="J2406" t="s">
        <v>4281</v>
      </c>
      <c r="K2406" t="s">
        <v>44</v>
      </c>
      <c r="N2406" t="s">
        <v>45</v>
      </c>
      <c r="O2406" t="s">
        <v>46</v>
      </c>
      <c r="P2406" t="s">
        <v>45</v>
      </c>
      <c r="Q2406" t="s">
        <v>47</v>
      </c>
      <c r="R2406" t="s">
        <v>44</v>
      </c>
      <c r="S2406">
        <v>0</v>
      </c>
      <c r="W2406" s="3">
        <v>4.5138888888888892E-4</v>
      </c>
      <c r="X2406" t="s">
        <v>4809</v>
      </c>
      <c r="Y2406">
        <v>5</v>
      </c>
      <c r="Z2406">
        <v>0</v>
      </c>
      <c r="AA2406" t="s">
        <v>49</v>
      </c>
      <c r="AB2406">
        <v>0</v>
      </c>
      <c r="AC2406" t="s">
        <v>49</v>
      </c>
      <c r="AD2406">
        <v>0</v>
      </c>
      <c r="AE2406">
        <v>10535074</v>
      </c>
      <c r="AF2406" t="s">
        <v>50</v>
      </c>
      <c r="AG2406" t="s">
        <v>118</v>
      </c>
    </row>
    <row r="2407" spans="1:33" x14ac:dyDescent="0.35">
      <c r="A2407" s="1">
        <v>44831.590277777781</v>
      </c>
      <c r="B2407">
        <v>469749</v>
      </c>
      <c r="C2407" t="s">
        <v>2784</v>
      </c>
      <c r="D2407" t="s">
        <v>1458</v>
      </c>
      <c r="E2407" s="2">
        <v>39693</v>
      </c>
      <c r="F2407" t="str">
        <f>"9780470282069"</f>
        <v>9780470282069</v>
      </c>
      <c r="G2407" t="str">
        <f>"9780470105252"</f>
        <v>9780470105252</v>
      </c>
      <c r="H2407" t="s">
        <v>1112</v>
      </c>
      <c r="I2407">
        <v>660.28319999999997</v>
      </c>
      <c r="J2407" t="s">
        <v>2785</v>
      </c>
      <c r="K2407" t="s">
        <v>44</v>
      </c>
      <c r="N2407" t="s">
        <v>45</v>
      </c>
      <c r="O2407" t="s">
        <v>46</v>
      </c>
      <c r="P2407" t="s">
        <v>45</v>
      </c>
      <c r="Q2407" t="s">
        <v>47</v>
      </c>
      <c r="R2407" t="s">
        <v>44</v>
      </c>
      <c r="S2407">
        <v>0</v>
      </c>
      <c r="W2407" s="3">
        <v>7.9166666666666673E-3</v>
      </c>
      <c r="X2407" t="s">
        <v>5061</v>
      </c>
      <c r="Y2407">
        <v>7</v>
      </c>
      <c r="Z2407">
        <v>0</v>
      </c>
      <c r="AA2407" t="s">
        <v>49</v>
      </c>
      <c r="AB2407">
        <v>0</v>
      </c>
      <c r="AC2407" t="s">
        <v>49</v>
      </c>
      <c r="AD2407">
        <v>0</v>
      </c>
      <c r="AE2407">
        <v>10296771</v>
      </c>
      <c r="AF2407" t="s">
        <v>50</v>
      </c>
      <c r="AG2407" t="s">
        <v>2972</v>
      </c>
    </row>
    <row r="2408" spans="1:33" x14ac:dyDescent="0.35">
      <c r="A2408" s="1">
        <v>44831.561111111114</v>
      </c>
      <c r="B2408">
        <v>1249775</v>
      </c>
      <c r="C2408" t="s">
        <v>4215</v>
      </c>
      <c r="D2408" t="s">
        <v>1224</v>
      </c>
      <c r="E2408" s="2">
        <v>41577</v>
      </c>
      <c r="F2408" t="str">
        <f>"9783110336481"</f>
        <v>9783110336481</v>
      </c>
      <c r="G2408" t="str">
        <f>"9783110335934"</f>
        <v>9783110335934</v>
      </c>
      <c r="H2408" t="s">
        <v>43</v>
      </c>
      <c r="I2408">
        <v>510</v>
      </c>
      <c r="J2408" t="s">
        <v>4216</v>
      </c>
      <c r="K2408" t="s">
        <v>44</v>
      </c>
      <c r="N2408" t="s">
        <v>45</v>
      </c>
      <c r="O2408" t="s">
        <v>46</v>
      </c>
      <c r="P2408" t="s">
        <v>45</v>
      </c>
      <c r="Q2408" t="s">
        <v>47</v>
      </c>
      <c r="R2408" t="s">
        <v>44</v>
      </c>
      <c r="S2408">
        <v>0</v>
      </c>
      <c r="W2408" s="3">
        <v>7.037037037037037E-3</v>
      </c>
      <c r="X2408" t="s">
        <v>5062</v>
      </c>
      <c r="Y2408">
        <v>32</v>
      </c>
      <c r="Z2408">
        <v>0</v>
      </c>
      <c r="AA2408" t="s">
        <v>49</v>
      </c>
      <c r="AB2408">
        <v>0</v>
      </c>
      <c r="AC2408" t="s">
        <v>3286</v>
      </c>
      <c r="AD2408">
        <v>1</v>
      </c>
      <c r="AE2408">
        <v>10820011</v>
      </c>
      <c r="AF2408" t="s">
        <v>50</v>
      </c>
      <c r="AG2408" t="s">
        <v>4737</v>
      </c>
    </row>
    <row r="2409" spans="1:33" x14ac:dyDescent="0.35">
      <c r="A2409" s="1">
        <v>44831.554861111108</v>
      </c>
      <c r="B2409">
        <v>180072</v>
      </c>
      <c r="C2409" t="s">
        <v>2798</v>
      </c>
      <c r="D2409" t="s">
        <v>76</v>
      </c>
      <c r="E2409" s="2">
        <v>35194</v>
      </c>
      <c r="F2409" t="str">
        <f>"9780203403600"</f>
        <v>9780203403600</v>
      </c>
      <c r="G2409" t="str">
        <f>"9780415020633"</f>
        <v>9780415020633</v>
      </c>
      <c r="H2409" t="s">
        <v>2799</v>
      </c>
      <c r="I2409" t="s">
        <v>2800</v>
      </c>
      <c r="J2409" t="s">
        <v>2801</v>
      </c>
      <c r="K2409" t="s">
        <v>44</v>
      </c>
      <c r="N2409" t="s">
        <v>45</v>
      </c>
      <c r="O2409" t="s">
        <v>46</v>
      </c>
      <c r="P2409" t="s">
        <v>45</v>
      </c>
      <c r="Q2409" t="s">
        <v>47</v>
      </c>
      <c r="R2409" t="s">
        <v>44</v>
      </c>
      <c r="S2409">
        <v>0</v>
      </c>
      <c r="W2409" s="3">
        <v>1.6886574074074075E-2</v>
      </c>
      <c r="X2409" t="s">
        <v>5063</v>
      </c>
      <c r="Y2409">
        <v>30</v>
      </c>
      <c r="Z2409">
        <v>0</v>
      </c>
      <c r="AA2409" t="s">
        <v>49</v>
      </c>
      <c r="AB2409">
        <v>0</v>
      </c>
      <c r="AC2409" t="s">
        <v>5064</v>
      </c>
      <c r="AD2409">
        <v>1</v>
      </c>
      <c r="AE2409">
        <v>11163958</v>
      </c>
      <c r="AF2409" t="s">
        <v>50</v>
      </c>
      <c r="AG2409" t="s">
        <v>4737</v>
      </c>
    </row>
    <row r="2410" spans="1:33" x14ac:dyDescent="0.35">
      <c r="A2410" s="1">
        <v>44831.504861111112</v>
      </c>
      <c r="B2410">
        <v>6507046</v>
      </c>
      <c r="C2410" t="s">
        <v>5065</v>
      </c>
      <c r="D2410" t="s">
        <v>76</v>
      </c>
      <c r="E2410" s="2">
        <v>44287</v>
      </c>
      <c r="F2410" t="str">
        <f>"9781000365481"</f>
        <v>9781000365481</v>
      </c>
      <c r="G2410" t="str">
        <f>"9780367469146"</f>
        <v>9780367469146</v>
      </c>
      <c r="H2410" t="s">
        <v>1528</v>
      </c>
      <c r="I2410">
        <v>728.31399999999996</v>
      </c>
      <c r="J2410" t="s">
        <v>5066</v>
      </c>
      <c r="K2410" t="s">
        <v>55</v>
      </c>
      <c r="Q2410" t="s">
        <v>47</v>
      </c>
      <c r="R2410" t="s">
        <v>44</v>
      </c>
      <c r="S2410">
        <v>0</v>
      </c>
      <c r="W2410" s="3">
        <v>1.3657407407407409E-3</v>
      </c>
      <c r="X2410" t="s">
        <v>5067</v>
      </c>
      <c r="Y2410">
        <v>6</v>
      </c>
      <c r="Z2410">
        <v>0</v>
      </c>
      <c r="AA2410" t="s">
        <v>49</v>
      </c>
      <c r="AB2410">
        <v>0</v>
      </c>
      <c r="AC2410" t="s">
        <v>49</v>
      </c>
      <c r="AD2410">
        <v>0</v>
      </c>
      <c r="AE2410">
        <v>-1</v>
      </c>
      <c r="AF2410" t="s">
        <v>50</v>
      </c>
      <c r="AG2410" t="s">
        <v>493</v>
      </c>
    </row>
    <row r="2411" spans="1:33" x14ac:dyDescent="0.35">
      <c r="A2411" s="1">
        <v>44831.500694444447</v>
      </c>
      <c r="B2411">
        <v>6845719</v>
      </c>
      <c r="C2411" t="s">
        <v>5068</v>
      </c>
      <c r="D2411" t="s">
        <v>2193</v>
      </c>
      <c r="E2411" s="2">
        <v>44572</v>
      </c>
      <c r="F2411" t="str">
        <f>"9781440871252"</f>
        <v>9781440871252</v>
      </c>
      <c r="G2411" t="str">
        <f>"9781440871245"</f>
        <v>9781440871245</v>
      </c>
      <c r="H2411" t="s">
        <v>77</v>
      </c>
      <c r="I2411">
        <v>610</v>
      </c>
      <c r="J2411" t="s">
        <v>5069</v>
      </c>
      <c r="K2411" t="s">
        <v>55</v>
      </c>
      <c r="N2411" t="s">
        <v>79</v>
      </c>
      <c r="P2411" t="s">
        <v>80</v>
      </c>
      <c r="Q2411" t="s">
        <v>47</v>
      </c>
      <c r="R2411" t="s">
        <v>44</v>
      </c>
      <c r="S2411">
        <v>0</v>
      </c>
      <c r="W2411" s="3">
        <v>3.472222222222222E-3</v>
      </c>
      <c r="X2411" t="s">
        <v>5070</v>
      </c>
      <c r="Y2411">
        <v>22</v>
      </c>
      <c r="Z2411">
        <v>0</v>
      </c>
      <c r="AA2411" t="s">
        <v>49</v>
      </c>
      <c r="AB2411">
        <v>0</v>
      </c>
      <c r="AC2411" t="s">
        <v>49</v>
      </c>
      <c r="AD2411">
        <v>0</v>
      </c>
      <c r="AE2411">
        <v>-1</v>
      </c>
      <c r="AF2411" t="s">
        <v>50</v>
      </c>
      <c r="AG2411" t="s">
        <v>118</v>
      </c>
    </row>
    <row r="2412" spans="1:33" x14ac:dyDescent="0.35">
      <c r="A2412" s="1">
        <v>44831.488888888889</v>
      </c>
      <c r="B2412">
        <v>6821793</v>
      </c>
      <c r="C2412" t="s">
        <v>5071</v>
      </c>
      <c r="D2412" t="s">
        <v>213</v>
      </c>
      <c r="E2412" s="2">
        <v>44536</v>
      </c>
      <c r="F2412" t="str">
        <f>"9780128232736"</f>
        <v>9780128232736</v>
      </c>
      <c r="G2412" t="str">
        <f>"9780128222577"</f>
        <v>9780128222577</v>
      </c>
      <c r="H2412" t="s">
        <v>66</v>
      </c>
      <c r="I2412">
        <v>571.64</v>
      </c>
      <c r="J2412" t="s">
        <v>5072</v>
      </c>
      <c r="K2412" t="s">
        <v>55</v>
      </c>
      <c r="N2412" t="s">
        <v>293</v>
      </c>
      <c r="P2412" t="s">
        <v>80</v>
      </c>
      <c r="Q2412" t="s">
        <v>47</v>
      </c>
      <c r="R2412" t="s">
        <v>44</v>
      </c>
      <c r="S2412">
        <v>2</v>
      </c>
      <c r="T2412">
        <v>90</v>
      </c>
      <c r="U2412" s="1">
        <v>44831.488888888889</v>
      </c>
      <c r="V2412" s="1">
        <v>44921.488888888889</v>
      </c>
      <c r="W2412" s="3">
        <v>0</v>
      </c>
      <c r="X2412" t="s">
        <v>49</v>
      </c>
      <c r="Y2412">
        <v>0</v>
      </c>
      <c r="Z2412">
        <v>1</v>
      </c>
      <c r="AA2412" t="s">
        <v>5073</v>
      </c>
      <c r="AB2412">
        <v>20</v>
      </c>
      <c r="AC2412" t="s">
        <v>49</v>
      </c>
      <c r="AD2412">
        <v>0</v>
      </c>
      <c r="AE2412">
        <v>-1</v>
      </c>
      <c r="AF2412" t="s">
        <v>63</v>
      </c>
      <c r="AG2412" t="s">
        <v>5017</v>
      </c>
    </row>
    <row r="2413" spans="1:33" x14ac:dyDescent="0.35">
      <c r="A2413" s="1">
        <v>44831.46875</v>
      </c>
      <c r="B2413">
        <v>6813656</v>
      </c>
      <c r="C2413" t="s">
        <v>5074</v>
      </c>
      <c r="D2413" t="s">
        <v>5075</v>
      </c>
      <c r="E2413" s="2">
        <v>44593</v>
      </c>
      <c r="F2413" t="str">
        <f>"9780593132890"</f>
        <v>9780593132890</v>
      </c>
      <c r="G2413" t="str">
        <f>"9780593132883"</f>
        <v>9780593132883</v>
      </c>
      <c r="H2413" t="s">
        <v>66</v>
      </c>
      <c r="I2413">
        <v>576.84</v>
      </c>
      <c r="K2413" t="s">
        <v>55</v>
      </c>
      <c r="N2413" t="s">
        <v>79</v>
      </c>
      <c r="P2413" t="s">
        <v>97</v>
      </c>
      <c r="Q2413" t="s">
        <v>47</v>
      </c>
      <c r="R2413" t="s">
        <v>44</v>
      </c>
      <c r="S2413">
        <v>0</v>
      </c>
      <c r="W2413" s="3">
        <v>9.6064814814814808E-4</v>
      </c>
      <c r="X2413" t="s">
        <v>5076</v>
      </c>
      <c r="Y2413">
        <v>5</v>
      </c>
      <c r="Z2413">
        <v>0</v>
      </c>
      <c r="AA2413" t="s">
        <v>49</v>
      </c>
      <c r="AB2413">
        <v>0</v>
      </c>
      <c r="AC2413" t="s">
        <v>49</v>
      </c>
      <c r="AD2413">
        <v>0</v>
      </c>
      <c r="AE2413">
        <v>-1</v>
      </c>
      <c r="AF2413" t="s">
        <v>50</v>
      </c>
      <c r="AG2413" t="s">
        <v>118</v>
      </c>
    </row>
    <row r="2414" spans="1:33" x14ac:dyDescent="0.35">
      <c r="A2414" s="1">
        <v>44831.433333333334</v>
      </c>
      <c r="B2414">
        <v>3338641</v>
      </c>
      <c r="C2414" t="s">
        <v>302</v>
      </c>
      <c r="D2414" t="s">
        <v>303</v>
      </c>
      <c r="E2414" s="2">
        <v>39143</v>
      </c>
      <c r="F2414" t="str">
        <f>"9780262282888"</f>
        <v>9780262282888</v>
      </c>
      <c r="G2414" t="str">
        <f>"9780262195577"</f>
        <v>9780262195577</v>
      </c>
      <c r="H2414" t="s">
        <v>304</v>
      </c>
      <c r="I2414" t="s">
        <v>305</v>
      </c>
      <c r="K2414" t="s">
        <v>44</v>
      </c>
      <c r="N2414" t="s">
        <v>45</v>
      </c>
      <c r="O2414" t="s">
        <v>46</v>
      </c>
      <c r="P2414" t="s">
        <v>45</v>
      </c>
      <c r="Q2414" t="s">
        <v>47</v>
      </c>
      <c r="R2414" t="s">
        <v>44</v>
      </c>
      <c r="S2414">
        <v>0</v>
      </c>
      <c r="W2414" s="3">
        <v>8.6805555555555551E-4</v>
      </c>
      <c r="X2414" t="s">
        <v>5077</v>
      </c>
      <c r="Y2414">
        <v>13</v>
      </c>
      <c r="Z2414">
        <v>0</v>
      </c>
      <c r="AA2414" t="s">
        <v>49</v>
      </c>
      <c r="AB2414">
        <v>0</v>
      </c>
      <c r="AC2414" t="s">
        <v>49</v>
      </c>
      <c r="AD2414">
        <v>0</v>
      </c>
      <c r="AE2414">
        <v>10173702</v>
      </c>
      <c r="AF2414" t="s">
        <v>50</v>
      </c>
      <c r="AG2414" t="s">
        <v>2289</v>
      </c>
    </row>
    <row r="2415" spans="1:33" x14ac:dyDescent="0.35">
      <c r="A2415" s="1">
        <v>44831.432638888888</v>
      </c>
      <c r="B2415">
        <v>796043</v>
      </c>
      <c r="C2415" t="s">
        <v>5078</v>
      </c>
      <c r="D2415" t="s">
        <v>125</v>
      </c>
      <c r="E2415" s="2">
        <v>40906</v>
      </c>
      <c r="F2415" t="str">
        <f>"9780199716975"</f>
        <v>9780199716975</v>
      </c>
      <c r="G2415" t="str">
        <f>"9780195326147"</f>
        <v>9780195326147</v>
      </c>
      <c r="H2415" t="s">
        <v>77</v>
      </c>
      <c r="I2415">
        <v>617.70420000000001</v>
      </c>
      <c r="J2415" t="s">
        <v>5079</v>
      </c>
      <c r="K2415" t="s">
        <v>44</v>
      </c>
      <c r="N2415" t="s">
        <v>45</v>
      </c>
      <c r="O2415" t="s">
        <v>46</v>
      </c>
      <c r="P2415" t="s">
        <v>45</v>
      </c>
      <c r="Q2415" t="s">
        <v>47</v>
      </c>
      <c r="R2415" t="s">
        <v>44</v>
      </c>
      <c r="S2415">
        <v>0</v>
      </c>
      <c r="W2415" s="3">
        <v>6.018518518518519E-4</v>
      </c>
      <c r="X2415" t="s">
        <v>5080</v>
      </c>
      <c r="Y2415">
        <v>22</v>
      </c>
      <c r="Z2415">
        <v>0</v>
      </c>
      <c r="AA2415" t="s">
        <v>49</v>
      </c>
      <c r="AB2415">
        <v>0</v>
      </c>
      <c r="AC2415" t="s">
        <v>49</v>
      </c>
      <c r="AD2415">
        <v>0</v>
      </c>
      <c r="AE2415">
        <v>10506527</v>
      </c>
      <c r="AF2415" t="s">
        <v>50</v>
      </c>
      <c r="AG2415" t="s">
        <v>1476</v>
      </c>
    </row>
    <row r="2416" spans="1:33" x14ac:dyDescent="0.35">
      <c r="A2416" s="1">
        <v>44831.432638888888</v>
      </c>
      <c r="B2416">
        <v>6865579</v>
      </c>
      <c r="C2416" t="s">
        <v>4985</v>
      </c>
      <c r="D2416" t="s">
        <v>4986</v>
      </c>
      <c r="E2416" s="2">
        <v>44580</v>
      </c>
      <c r="F2416" t="str">
        <f>"9783631870426"</f>
        <v>9783631870426</v>
      </c>
      <c r="G2416" t="str">
        <f>"9783631869871"</f>
        <v>9783631869871</v>
      </c>
      <c r="H2416" t="s">
        <v>90</v>
      </c>
      <c r="K2416" t="s">
        <v>55</v>
      </c>
      <c r="Q2416" t="s">
        <v>47</v>
      </c>
      <c r="R2416" t="s">
        <v>44</v>
      </c>
      <c r="S2416">
        <v>0</v>
      </c>
      <c r="W2416" s="3">
        <v>2.0833333333333335E-4</v>
      </c>
      <c r="X2416" t="s">
        <v>2546</v>
      </c>
      <c r="Y2416">
        <v>6</v>
      </c>
      <c r="Z2416">
        <v>0</v>
      </c>
      <c r="AA2416" t="s">
        <v>49</v>
      </c>
      <c r="AB2416">
        <v>0</v>
      </c>
      <c r="AC2416" t="s">
        <v>49</v>
      </c>
      <c r="AD2416">
        <v>0</v>
      </c>
      <c r="AE2416">
        <v>-1</v>
      </c>
      <c r="AF2416" t="s">
        <v>50</v>
      </c>
      <c r="AG2416" t="s">
        <v>1309</v>
      </c>
    </row>
    <row r="2417" spans="1:33" x14ac:dyDescent="0.35">
      <c r="A2417" s="1">
        <v>44831.431944444441</v>
      </c>
      <c r="B2417">
        <v>6677517</v>
      </c>
      <c r="C2417" t="s">
        <v>5081</v>
      </c>
      <c r="D2417" t="s">
        <v>336</v>
      </c>
      <c r="E2417" s="2">
        <v>44453</v>
      </c>
      <c r="F2417" t="str">
        <f>"9781649031938"</f>
        <v>9781649031938</v>
      </c>
      <c r="G2417" t="str">
        <f>"9781649030849"</f>
        <v>9781649030849</v>
      </c>
      <c r="H2417" t="s">
        <v>483</v>
      </c>
      <c r="I2417">
        <v>720.92</v>
      </c>
      <c r="J2417" t="s">
        <v>5082</v>
      </c>
      <c r="K2417" t="s">
        <v>55</v>
      </c>
      <c r="Q2417" t="s">
        <v>47</v>
      </c>
      <c r="R2417" t="s">
        <v>44</v>
      </c>
      <c r="S2417">
        <v>0</v>
      </c>
      <c r="W2417" s="3">
        <v>3.5763888888888894E-3</v>
      </c>
      <c r="X2417" t="s">
        <v>5083</v>
      </c>
      <c r="Y2417">
        <v>22</v>
      </c>
      <c r="Z2417">
        <v>0</v>
      </c>
      <c r="AA2417" t="s">
        <v>49</v>
      </c>
      <c r="AB2417">
        <v>0</v>
      </c>
      <c r="AC2417" t="s">
        <v>49</v>
      </c>
      <c r="AD2417">
        <v>0</v>
      </c>
      <c r="AE2417">
        <v>-1</v>
      </c>
      <c r="AF2417" t="s">
        <v>50</v>
      </c>
      <c r="AG2417" t="s">
        <v>4622</v>
      </c>
    </row>
    <row r="2418" spans="1:33" x14ac:dyDescent="0.35">
      <c r="A2418" s="1">
        <v>44831.431944444441</v>
      </c>
      <c r="B2418">
        <v>1982567</v>
      </c>
      <c r="C2418" t="s">
        <v>5084</v>
      </c>
      <c r="D2418" t="s">
        <v>443</v>
      </c>
      <c r="E2418" s="2">
        <v>39694</v>
      </c>
      <c r="F2418" t="str">
        <f>"9780520942226"</f>
        <v>9780520942226</v>
      </c>
      <c r="G2418" t="str">
        <f>"9780520257191"</f>
        <v>9780520257191</v>
      </c>
      <c r="H2418" t="s">
        <v>66</v>
      </c>
      <c r="I2418">
        <v>577</v>
      </c>
      <c r="J2418" t="s">
        <v>5085</v>
      </c>
      <c r="K2418" t="s">
        <v>44</v>
      </c>
      <c r="N2418" t="s">
        <v>45</v>
      </c>
      <c r="O2418" t="s">
        <v>46</v>
      </c>
      <c r="P2418" t="s">
        <v>177</v>
      </c>
      <c r="Q2418" t="s">
        <v>47</v>
      </c>
      <c r="R2418" t="s">
        <v>55</v>
      </c>
      <c r="S2418">
        <v>0</v>
      </c>
      <c r="W2418" s="3">
        <v>9.2592592592592588E-5</v>
      </c>
      <c r="X2418" t="s">
        <v>5086</v>
      </c>
      <c r="Y2418">
        <v>2</v>
      </c>
      <c r="Z2418">
        <v>0</v>
      </c>
      <c r="AA2418" t="s">
        <v>49</v>
      </c>
      <c r="AB2418">
        <v>0</v>
      </c>
      <c r="AC2418" t="s">
        <v>49</v>
      </c>
      <c r="AD2418">
        <v>0</v>
      </c>
      <c r="AE2418">
        <v>10675810</v>
      </c>
      <c r="AF2418" t="s">
        <v>50</v>
      </c>
      <c r="AG2418" t="s">
        <v>2144</v>
      </c>
    </row>
    <row r="2419" spans="1:33" x14ac:dyDescent="0.35">
      <c r="A2419" s="1">
        <v>44831.431250000001</v>
      </c>
      <c r="B2419">
        <v>6403571</v>
      </c>
      <c r="C2419" t="s">
        <v>5087</v>
      </c>
      <c r="D2419" t="s">
        <v>105</v>
      </c>
      <c r="E2419" s="2">
        <v>44155</v>
      </c>
      <c r="F2419" t="str">
        <f>"9783030618957"</f>
        <v>9783030618957</v>
      </c>
      <c r="G2419" t="str">
        <f>"9783030618940"</f>
        <v>9783030618940</v>
      </c>
      <c r="H2419" t="s">
        <v>5088</v>
      </c>
      <c r="I2419">
        <v>363.73939999999999</v>
      </c>
      <c r="J2419" t="s">
        <v>5089</v>
      </c>
      <c r="K2419" t="s">
        <v>55</v>
      </c>
      <c r="Q2419" t="s">
        <v>47</v>
      </c>
      <c r="R2419" t="s">
        <v>44</v>
      </c>
      <c r="S2419">
        <v>0</v>
      </c>
      <c r="W2419" s="3">
        <v>1.0416666666666667E-4</v>
      </c>
      <c r="X2419" t="s">
        <v>5090</v>
      </c>
      <c r="Y2419">
        <v>2</v>
      </c>
      <c r="Z2419">
        <v>0</v>
      </c>
      <c r="AA2419" t="s">
        <v>49</v>
      </c>
      <c r="AB2419">
        <v>0</v>
      </c>
      <c r="AC2419" t="s">
        <v>49</v>
      </c>
      <c r="AD2419">
        <v>0</v>
      </c>
      <c r="AE2419">
        <v>-1</v>
      </c>
      <c r="AF2419" t="s">
        <v>50</v>
      </c>
      <c r="AG2419" t="s">
        <v>2144</v>
      </c>
    </row>
    <row r="2420" spans="1:33" x14ac:dyDescent="0.35">
      <c r="A2420" s="1">
        <v>44831.408333333333</v>
      </c>
      <c r="B2420">
        <v>6855774</v>
      </c>
      <c r="C2420" t="s">
        <v>5091</v>
      </c>
      <c r="D2420" t="s">
        <v>5092</v>
      </c>
      <c r="E2420" s="2">
        <v>44620</v>
      </c>
      <c r="F2420" t="str">
        <f>"9780826363725"</f>
        <v>9780826363725</v>
      </c>
      <c r="G2420" t="str">
        <f>"9780826363718"</f>
        <v>9780826363718</v>
      </c>
      <c r="H2420" t="s">
        <v>4954</v>
      </c>
      <c r="I2420">
        <v>610.91999999999996</v>
      </c>
      <c r="J2420" t="s">
        <v>5093</v>
      </c>
      <c r="K2420" t="s">
        <v>55</v>
      </c>
      <c r="N2420" t="s">
        <v>79</v>
      </c>
      <c r="P2420" t="s">
        <v>950</v>
      </c>
      <c r="Q2420" t="s">
        <v>47</v>
      </c>
      <c r="R2420" t="s">
        <v>55</v>
      </c>
      <c r="S2420">
        <v>0</v>
      </c>
      <c r="W2420" s="3">
        <v>1.8518518518518518E-4</v>
      </c>
      <c r="X2420" t="s">
        <v>5094</v>
      </c>
      <c r="Y2420">
        <v>4</v>
      </c>
      <c r="Z2420">
        <v>0</v>
      </c>
      <c r="AA2420" t="s">
        <v>49</v>
      </c>
      <c r="AB2420">
        <v>0</v>
      </c>
      <c r="AC2420" t="s">
        <v>49</v>
      </c>
      <c r="AD2420">
        <v>0</v>
      </c>
      <c r="AE2420">
        <v>-1</v>
      </c>
      <c r="AF2420" t="s">
        <v>50</v>
      </c>
      <c r="AG2420" t="s">
        <v>1476</v>
      </c>
    </row>
    <row r="2421" spans="1:33" x14ac:dyDescent="0.35">
      <c r="A2421" s="1">
        <v>44831.40347222222</v>
      </c>
      <c r="B2421">
        <v>3338641</v>
      </c>
      <c r="C2421" t="s">
        <v>302</v>
      </c>
      <c r="D2421" t="s">
        <v>303</v>
      </c>
      <c r="E2421" s="2">
        <v>39143</v>
      </c>
      <c r="F2421" t="str">
        <f>"9780262282888"</f>
        <v>9780262282888</v>
      </c>
      <c r="G2421" t="str">
        <f>"9780262195577"</f>
        <v>9780262195577</v>
      </c>
      <c r="H2421" t="s">
        <v>304</v>
      </c>
      <c r="I2421" t="s">
        <v>305</v>
      </c>
      <c r="K2421" t="s">
        <v>44</v>
      </c>
      <c r="N2421" t="s">
        <v>45</v>
      </c>
      <c r="O2421" t="s">
        <v>46</v>
      </c>
      <c r="P2421" t="s">
        <v>45</v>
      </c>
      <c r="Q2421" t="s">
        <v>47</v>
      </c>
      <c r="R2421" t="s">
        <v>44</v>
      </c>
      <c r="S2421">
        <v>0</v>
      </c>
      <c r="W2421" s="3">
        <v>7.7546296296296304E-4</v>
      </c>
      <c r="X2421" t="s">
        <v>5095</v>
      </c>
      <c r="Y2421">
        <v>6</v>
      </c>
      <c r="Z2421">
        <v>3</v>
      </c>
      <c r="AA2421" t="s">
        <v>5096</v>
      </c>
      <c r="AB2421">
        <v>40</v>
      </c>
      <c r="AC2421" t="s">
        <v>49</v>
      </c>
      <c r="AD2421">
        <v>0</v>
      </c>
      <c r="AE2421">
        <v>10173702</v>
      </c>
      <c r="AF2421" t="s">
        <v>50</v>
      </c>
      <c r="AG2421" t="s">
        <v>2289</v>
      </c>
    </row>
    <row r="2422" spans="1:33" x14ac:dyDescent="0.35">
      <c r="A2422" s="1">
        <v>44831.401388888888</v>
      </c>
      <c r="B2422">
        <v>3338641</v>
      </c>
      <c r="C2422" t="s">
        <v>302</v>
      </c>
      <c r="D2422" t="s">
        <v>303</v>
      </c>
      <c r="E2422" s="2">
        <v>39143</v>
      </c>
      <c r="F2422" t="str">
        <f>"9780262282888"</f>
        <v>9780262282888</v>
      </c>
      <c r="G2422" t="str">
        <f>"9780262195577"</f>
        <v>9780262195577</v>
      </c>
      <c r="H2422" t="s">
        <v>304</v>
      </c>
      <c r="I2422" t="s">
        <v>305</v>
      </c>
      <c r="K2422" t="s">
        <v>44</v>
      </c>
      <c r="N2422" t="s">
        <v>45</v>
      </c>
      <c r="O2422" t="s">
        <v>46</v>
      </c>
      <c r="P2422" t="s">
        <v>45</v>
      </c>
      <c r="Q2422" t="s">
        <v>47</v>
      </c>
      <c r="R2422" t="s">
        <v>44</v>
      </c>
      <c r="S2422">
        <v>0</v>
      </c>
      <c r="W2422" s="3">
        <v>2.0486111111111113E-3</v>
      </c>
      <c r="X2422" t="s">
        <v>5097</v>
      </c>
      <c r="Y2422">
        <v>11</v>
      </c>
      <c r="Z2422">
        <v>0</v>
      </c>
      <c r="AA2422" t="s">
        <v>49</v>
      </c>
      <c r="AB2422">
        <v>0</v>
      </c>
      <c r="AC2422" t="s">
        <v>49</v>
      </c>
      <c r="AD2422">
        <v>0</v>
      </c>
      <c r="AE2422">
        <v>10173702</v>
      </c>
      <c r="AF2422" t="s">
        <v>50</v>
      </c>
      <c r="AG2422" t="s">
        <v>82</v>
      </c>
    </row>
    <row r="2423" spans="1:33" x14ac:dyDescent="0.35">
      <c r="A2423" s="1">
        <v>44831.396527777775</v>
      </c>
      <c r="B2423">
        <v>7075855</v>
      </c>
      <c r="C2423" t="s">
        <v>4453</v>
      </c>
      <c r="D2423" t="s">
        <v>105</v>
      </c>
      <c r="E2423" s="2">
        <v>44792</v>
      </c>
      <c r="F2423" t="str">
        <f>"9783030992613"</f>
        <v>9783030992613</v>
      </c>
      <c r="G2423" t="str">
        <f>"9783030992606"</f>
        <v>9783030992606</v>
      </c>
      <c r="H2423" t="s">
        <v>171</v>
      </c>
      <c r="I2423">
        <v>428.00709999999998</v>
      </c>
      <c r="J2423" t="s">
        <v>4454</v>
      </c>
      <c r="K2423" t="s">
        <v>55</v>
      </c>
      <c r="N2423" t="s">
        <v>79</v>
      </c>
      <c r="P2423" t="s">
        <v>80</v>
      </c>
      <c r="Q2423" t="s">
        <v>47</v>
      </c>
      <c r="R2423" t="s">
        <v>44</v>
      </c>
      <c r="S2423">
        <v>0</v>
      </c>
      <c r="W2423" s="3">
        <v>8.3333333333333339E-4</v>
      </c>
      <c r="X2423" t="s">
        <v>5098</v>
      </c>
      <c r="Y2423">
        <v>5</v>
      </c>
      <c r="Z2423">
        <v>0</v>
      </c>
      <c r="AA2423" t="s">
        <v>49</v>
      </c>
      <c r="AB2423">
        <v>0</v>
      </c>
      <c r="AC2423" t="s">
        <v>49</v>
      </c>
      <c r="AD2423">
        <v>0</v>
      </c>
      <c r="AE2423">
        <v>-1</v>
      </c>
      <c r="AF2423" t="s">
        <v>50</v>
      </c>
      <c r="AG2423" t="s">
        <v>5017</v>
      </c>
    </row>
    <row r="2424" spans="1:33" x14ac:dyDescent="0.35">
      <c r="A2424" s="1">
        <v>44831.394444444442</v>
      </c>
      <c r="B2424">
        <v>7018078</v>
      </c>
      <c r="C2424" t="s">
        <v>5099</v>
      </c>
      <c r="D2424" t="s">
        <v>76</v>
      </c>
      <c r="E2424" s="2">
        <v>44774</v>
      </c>
      <c r="F2424" t="str">
        <f>"9781000636284"</f>
        <v>9781000636284</v>
      </c>
      <c r="G2424" t="str">
        <f>"9780367820695"</f>
        <v>9780367820695</v>
      </c>
      <c r="H2424" t="s">
        <v>1046</v>
      </c>
      <c r="I2424">
        <v>302.23</v>
      </c>
      <c r="J2424" t="s">
        <v>5100</v>
      </c>
      <c r="K2424" t="s">
        <v>55</v>
      </c>
      <c r="N2424" t="s">
        <v>79</v>
      </c>
      <c r="P2424" t="s">
        <v>80</v>
      </c>
      <c r="Q2424" t="s">
        <v>47</v>
      </c>
      <c r="R2424" t="s">
        <v>44</v>
      </c>
      <c r="S2424">
        <v>0</v>
      </c>
      <c r="W2424" s="3">
        <v>1.4814814814814814E-3</v>
      </c>
      <c r="X2424" t="s">
        <v>5101</v>
      </c>
      <c r="Y2424">
        <v>11</v>
      </c>
      <c r="Z2424">
        <v>0</v>
      </c>
      <c r="AA2424" t="s">
        <v>49</v>
      </c>
      <c r="AB2424">
        <v>0</v>
      </c>
      <c r="AC2424" t="s">
        <v>49</v>
      </c>
      <c r="AD2424">
        <v>0</v>
      </c>
      <c r="AE2424">
        <v>-1</v>
      </c>
      <c r="AF2424" t="s">
        <v>50</v>
      </c>
      <c r="AG2424" t="s">
        <v>5017</v>
      </c>
    </row>
    <row r="2425" spans="1:33" x14ac:dyDescent="0.35">
      <c r="A2425" s="1">
        <v>44831.362500000003</v>
      </c>
      <c r="B2425">
        <v>367052</v>
      </c>
      <c r="C2425" t="s">
        <v>1489</v>
      </c>
      <c r="D2425" t="s">
        <v>502</v>
      </c>
      <c r="E2425" s="2">
        <v>39737</v>
      </c>
      <c r="F2425" t="str">
        <f>"9780511436314"</f>
        <v>9780511436314</v>
      </c>
      <c r="G2425" t="str">
        <f>"9780521830447"</f>
        <v>9780521830447</v>
      </c>
      <c r="H2425" t="s">
        <v>712</v>
      </c>
      <c r="I2425" t="s">
        <v>1490</v>
      </c>
      <c r="J2425" t="s">
        <v>1491</v>
      </c>
      <c r="K2425" t="s">
        <v>44</v>
      </c>
      <c r="N2425" t="s">
        <v>45</v>
      </c>
      <c r="O2425" t="s">
        <v>46</v>
      </c>
      <c r="P2425" t="s">
        <v>45</v>
      </c>
      <c r="Q2425" t="s">
        <v>47</v>
      </c>
      <c r="R2425" t="s">
        <v>44</v>
      </c>
      <c r="S2425">
        <v>0</v>
      </c>
      <c r="W2425" s="3">
        <v>3.4722222222222222E-5</v>
      </c>
      <c r="X2425" t="s">
        <v>196</v>
      </c>
      <c r="Y2425">
        <v>2</v>
      </c>
      <c r="Z2425">
        <v>0</v>
      </c>
      <c r="AA2425" t="s">
        <v>49</v>
      </c>
      <c r="AB2425">
        <v>0</v>
      </c>
      <c r="AC2425" t="s">
        <v>49</v>
      </c>
      <c r="AD2425">
        <v>0</v>
      </c>
      <c r="AE2425">
        <v>10257525</v>
      </c>
      <c r="AF2425" t="s">
        <v>50</v>
      </c>
      <c r="AG2425" t="s">
        <v>1476</v>
      </c>
    </row>
    <row r="2426" spans="1:33" x14ac:dyDescent="0.35">
      <c r="A2426" s="1">
        <v>44831.362500000003</v>
      </c>
      <c r="B2426">
        <v>367052</v>
      </c>
      <c r="C2426" t="s">
        <v>1489</v>
      </c>
      <c r="D2426" t="s">
        <v>502</v>
      </c>
      <c r="E2426" s="2">
        <v>39737</v>
      </c>
      <c r="F2426" t="str">
        <f>"9780511436314"</f>
        <v>9780511436314</v>
      </c>
      <c r="G2426" t="str">
        <f>"9780521830447"</f>
        <v>9780521830447</v>
      </c>
      <c r="H2426" t="s">
        <v>712</v>
      </c>
      <c r="I2426" t="s">
        <v>1490</v>
      </c>
      <c r="J2426" t="s">
        <v>1491</v>
      </c>
      <c r="K2426" t="s">
        <v>44</v>
      </c>
      <c r="N2426" t="s">
        <v>45</v>
      </c>
      <c r="O2426" t="s">
        <v>46</v>
      </c>
      <c r="P2426" t="s">
        <v>45</v>
      </c>
      <c r="Q2426" t="s">
        <v>47</v>
      </c>
      <c r="R2426" t="s">
        <v>44</v>
      </c>
      <c r="S2426">
        <v>0</v>
      </c>
      <c r="W2426" s="3">
        <v>1.6203703703703703E-4</v>
      </c>
      <c r="X2426" t="s">
        <v>1283</v>
      </c>
      <c r="Y2426">
        <v>3</v>
      </c>
      <c r="Z2426">
        <v>0</v>
      </c>
      <c r="AA2426" t="s">
        <v>49</v>
      </c>
      <c r="AB2426">
        <v>0</v>
      </c>
      <c r="AC2426" t="s">
        <v>49</v>
      </c>
      <c r="AD2426">
        <v>0</v>
      </c>
      <c r="AE2426">
        <v>10257525</v>
      </c>
      <c r="AF2426" t="s">
        <v>50</v>
      </c>
      <c r="AG2426" t="s">
        <v>1476</v>
      </c>
    </row>
    <row r="2427" spans="1:33" x14ac:dyDescent="0.35">
      <c r="A2427" s="1">
        <v>44831.361805555556</v>
      </c>
      <c r="B2427">
        <v>6526734</v>
      </c>
      <c r="C2427" t="s">
        <v>1485</v>
      </c>
      <c r="D2427" t="s">
        <v>1486</v>
      </c>
      <c r="E2427" s="2">
        <v>41479</v>
      </c>
      <c r="F2427" t="str">
        <f>"9781626370586"</f>
        <v>9781626370586</v>
      </c>
      <c r="G2427" t="str">
        <f>"9781588269096"</f>
        <v>9781588269096</v>
      </c>
      <c r="H2427" t="s">
        <v>1046</v>
      </c>
      <c r="I2427">
        <v>305.42095599999999</v>
      </c>
      <c r="J2427" t="s">
        <v>1487</v>
      </c>
      <c r="K2427" t="s">
        <v>44</v>
      </c>
      <c r="N2427" t="s">
        <v>45</v>
      </c>
      <c r="O2427" t="s">
        <v>46</v>
      </c>
      <c r="P2427" t="s">
        <v>45</v>
      </c>
      <c r="Q2427" t="s">
        <v>47</v>
      </c>
      <c r="R2427" t="s">
        <v>44</v>
      </c>
      <c r="S2427">
        <v>0</v>
      </c>
      <c r="W2427" s="3">
        <v>1.273148148148148E-4</v>
      </c>
      <c r="X2427" t="s">
        <v>196</v>
      </c>
      <c r="Y2427">
        <v>2</v>
      </c>
      <c r="Z2427">
        <v>0</v>
      </c>
      <c r="AA2427" t="s">
        <v>49</v>
      </c>
      <c r="AB2427">
        <v>0</v>
      </c>
      <c r="AC2427" t="s">
        <v>49</v>
      </c>
      <c r="AD2427">
        <v>0</v>
      </c>
      <c r="AE2427">
        <v>-1</v>
      </c>
      <c r="AF2427" t="s">
        <v>50</v>
      </c>
      <c r="AG2427" t="s">
        <v>1476</v>
      </c>
    </row>
    <row r="2428" spans="1:33" x14ac:dyDescent="0.35">
      <c r="A2428" s="1">
        <v>44831.144444444442</v>
      </c>
      <c r="B2428">
        <v>6380826</v>
      </c>
      <c r="C2428" t="s">
        <v>5102</v>
      </c>
      <c r="D2428" t="s">
        <v>614</v>
      </c>
      <c r="E2428" s="2">
        <v>44125</v>
      </c>
      <c r="F2428" t="str">
        <f>"9789811565564"</f>
        <v>9789811565564</v>
      </c>
      <c r="G2428" t="str">
        <f>"9789811565557"</f>
        <v>9789811565557</v>
      </c>
      <c r="H2428" t="s">
        <v>77</v>
      </c>
      <c r="I2428">
        <v>616.5</v>
      </c>
      <c r="J2428" t="s">
        <v>5103</v>
      </c>
      <c r="K2428" t="s">
        <v>55</v>
      </c>
      <c r="Q2428" t="s">
        <v>47</v>
      </c>
      <c r="R2428" t="s">
        <v>44</v>
      </c>
      <c r="S2428">
        <v>0</v>
      </c>
      <c r="W2428" s="3">
        <v>3.7152777777777774E-3</v>
      </c>
      <c r="X2428" t="s">
        <v>5104</v>
      </c>
      <c r="Y2428">
        <v>36</v>
      </c>
      <c r="Z2428">
        <v>0</v>
      </c>
      <c r="AA2428" t="s">
        <v>49</v>
      </c>
      <c r="AB2428">
        <v>0</v>
      </c>
      <c r="AC2428" t="s">
        <v>49</v>
      </c>
      <c r="AD2428">
        <v>0</v>
      </c>
      <c r="AE2428">
        <v>-1</v>
      </c>
      <c r="AF2428" t="s">
        <v>50</v>
      </c>
      <c r="AG2428" t="s">
        <v>4564</v>
      </c>
    </row>
    <row r="2429" spans="1:33" x14ac:dyDescent="0.35">
      <c r="A2429" s="1">
        <v>44831.051388888889</v>
      </c>
      <c r="B2429">
        <v>1119449</v>
      </c>
      <c r="C2429" t="s">
        <v>5105</v>
      </c>
      <c r="D2429" t="s">
        <v>59</v>
      </c>
      <c r="E2429" s="2">
        <v>41316</v>
      </c>
      <c r="F2429" t="str">
        <f>"9781118482230"</f>
        <v>9781118482230</v>
      </c>
      <c r="G2429" t="str">
        <f>"9781118094594"</f>
        <v>9781118094594</v>
      </c>
      <c r="H2429" t="s">
        <v>244</v>
      </c>
      <c r="I2429">
        <v>152.4</v>
      </c>
      <c r="J2429" t="s">
        <v>5106</v>
      </c>
      <c r="K2429" t="s">
        <v>44</v>
      </c>
      <c r="N2429" t="s">
        <v>45</v>
      </c>
      <c r="O2429" t="s">
        <v>46</v>
      </c>
      <c r="P2429" t="s">
        <v>45</v>
      </c>
      <c r="Q2429" t="s">
        <v>47</v>
      </c>
      <c r="R2429" t="s">
        <v>44</v>
      </c>
      <c r="S2429">
        <v>0</v>
      </c>
      <c r="W2429" s="3">
        <v>3.0902777777777782E-3</v>
      </c>
      <c r="X2429" t="s">
        <v>196</v>
      </c>
      <c r="Y2429">
        <v>2</v>
      </c>
      <c r="Z2429">
        <v>0</v>
      </c>
      <c r="AA2429" t="s">
        <v>49</v>
      </c>
      <c r="AB2429">
        <v>0</v>
      </c>
      <c r="AC2429" t="s">
        <v>49</v>
      </c>
      <c r="AD2429">
        <v>0</v>
      </c>
      <c r="AE2429">
        <v>10653565</v>
      </c>
      <c r="AF2429" t="s">
        <v>50</v>
      </c>
      <c r="AG2429" t="s">
        <v>118</v>
      </c>
    </row>
    <row r="2430" spans="1:33" x14ac:dyDescent="0.35">
      <c r="A2430" s="1">
        <v>44831.034722222219</v>
      </c>
      <c r="B2430">
        <v>5043170</v>
      </c>
      <c r="C2430" t="s">
        <v>4664</v>
      </c>
      <c r="D2430" t="s">
        <v>213</v>
      </c>
      <c r="E2430" s="2">
        <v>42991</v>
      </c>
      <c r="F2430" t="str">
        <f>"9780444637925"</f>
        <v>9780444637925</v>
      </c>
      <c r="G2430" t="str">
        <f>"9780444640383"</f>
        <v>9780444640383</v>
      </c>
      <c r="H2430" t="s">
        <v>1112</v>
      </c>
      <c r="I2430">
        <v>660.072</v>
      </c>
      <c r="J2430" t="s">
        <v>4665</v>
      </c>
      <c r="K2430" t="s">
        <v>55</v>
      </c>
      <c r="N2430" t="s">
        <v>79</v>
      </c>
      <c r="P2430" t="s">
        <v>80</v>
      </c>
      <c r="Q2430" t="s">
        <v>47</v>
      </c>
      <c r="R2430" t="s">
        <v>44</v>
      </c>
      <c r="S2430">
        <v>1</v>
      </c>
      <c r="T2430">
        <v>90</v>
      </c>
      <c r="U2430" s="1">
        <v>44831.034722222219</v>
      </c>
      <c r="V2430" s="1">
        <v>44921.034722222219</v>
      </c>
      <c r="W2430" s="3">
        <v>0</v>
      </c>
      <c r="X2430" t="s">
        <v>49</v>
      </c>
      <c r="Y2430">
        <v>0</v>
      </c>
      <c r="Z2430">
        <v>0</v>
      </c>
      <c r="AA2430" t="s">
        <v>49</v>
      </c>
      <c r="AB2430">
        <v>0</v>
      </c>
      <c r="AC2430" t="s">
        <v>49</v>
      </c>
      <c r="AD2430">
        <v>0</v>
      </c>
      <c r="AE2430">
        <v>11438547</v>
      </c>
      <c r="AF2430" t="s">
        <v>63</v>
      </c>
      <c r="AG2430" t="s">
        <v>118</v>
      </c>
    </row>
    <row r="2431" spans="1:33" x14ac:dyDescent="0.35">
      <c r="A2431" s="1">
        <v>44830.979861111111</v>
      </c>
      <c r="B2431">
        <v>1186203</v>
      </c>
      <c r="C2431" t="s">
        <v>4688</v>
      </c>
      <c r="D2431" t="s">
        <v>465</v>
      </c>
      <c r="E2431" s="2">
        <v>37091</v>
      </c>
      <c r="F2431" t="str">
        <f>"9781847552228"</f>
        <v>9781847552228</v>
      </c>
      <c r="G2431" t="str">
        <f>"9780854046058"</f>
        <v>9780854046058</v>
      </c>
      <c r="H2431" t="s">
        <v>546</v>
      </c>
      <c r="I2431">
        <v>621.31241999999997</v>
      </c>
      <c r="J2431" t="s">
        <v>4689</v>
      </c>
      <c r="K2431" t="s">
        <v>44</v>
      </c>
      <c r="N2431" t="s">
        <v>45</v>
      </c>
      <c r="O2431" t="s">
        <v>46</v>
      </c>
      <c r="P2431" t="s">
        <v>45</v>
      </c>
      <c r="Q2431" t="s">
        <v>47</v>
      </c>
      <c r="R2431" t="s">
        <v>44</v>
      </c>
      <c r="S2431">
        <v>0</v>
      </c>
      <c r="W2431" s="3">
        <v>4.8148148148148152E-3</v>
      </c>
      <c r="X2431" t="s">
        <v>5107</v>
      </c>
      <c r="Y2431">
        <v>21</v>
      </c>
      <c r="Z2431">
        <v>1</v>
      </c>
      <c r="AA2431" t="s">
        <v>4123</v>
      </c>
      <c r="AB2431">
        <v>1</v>
      </c>
      <c r="AC2431" t="s">
        <v>49</v>
      </c>
      <c r="AD2431">
        <v>0</v>
      </c>
      <c r="AE2431">
        <v>10626380</v>
      </c>
      <c r="AF2431" t="s">
        <v>50</v>
      </c>
      <c r="AG2431" t="s">
        <v>1355</v>
      </c>
    </row>
    <row r="2432" spans="1:33" x14ac:dyDescent="0.35">
      <c r="A2432" s="1">
        <v>44830.881249999999</v>
      </c>
      <c r="B2432">
        <v>534208</v>
      </c>
      <c r="C2432" t="s">
        <v>5108</v>
      </c>
      <c r="D2432" t="s">
        <v>76</v>
      </c>
      <c r="E2432" s="2">
        <v>40368</v>
      </c>
      <c r="F2432" t="str">
        <f>"9780203852958"</f>
        <v>9780203852958</v>
      </c>
      <c r="G2432" t="str">
        <f>"9780415492621"</f>
        <v>9780415492621</v>
      </c>
      <c r="H2432" t="s">
        <v>900</v>
      </c>
      <c r="I2432" t="s">
        <v>5109</v>
      </c>
      <c r="J2432" t="s">
        <v>5110</v>
      </c>
      <c r="K2432" t="s">
        <v>44</v>
      </c>
      <c r="N2432" t="s">
        <v>45</v>
      </c>
      <c r="O2432" t="s">
        <v>46</v>
      </c>
      <c r="P2432" t="s">
        <v>45</v>
      </c>
      <c r="Q2432" t="s">
        <v>47</v>
      </c>
      <c r="R2432" t="s">
        <v>44</v>
      </c>
      <c r="S2432">
        <v>0</v>
      </c>
      <c r="W2432" s="3">
        <v>4.2407407407407401E-2</v>
      </c>
      <c r="X2432" t="s">
        <v>5111</v>
      </c>
      <c r="Y2432">
        <v>68</v>
      </c>
      <c r="Z2432">
        <v>0</v>
      </c>
      <c r="AA2432" t="s">
        <v>49</v>
      </c>
      <c r="AB2432">
        <v>0</v>
      </c>
      <c r="AC2432" t="s">
        <v>49</v>
      </c>
      <c r="AD2432">
        <v>0</v>
      </c>
      <c r="AE2432">
        <v>10394332</v>
      </c>
      <c r="AF2432" t="s">
        <v>50</v>
      </c>
      <c r="AG2432" t="s">
        <v>118</v>
      </c>
    </row>
    <row r="2433" spans="1:33" x14ac:dyDescent="0.35">
      <c r="A2433" s="1">
        <v>44830.799305555556</v>
      </c>
      <c r="B2433">
        <v>1629166</v>
      </c>
      <c r="C2433" t="s">
        <v>5112</v>
      </c>
      <c r="D2433" t="s">
        <v>59</v>
      </c>
      <c r="E2433" s="2">
        <v>41680</v>
      </c>
      <c r="F2433" t="str">
        <f>"9781118727010"</f>
        <v>9781118727010</v>
      </c>
      <c r="G2433" t="str">
        <f>"9781118492987"</f>
        <v>9781118492987</v>
      </c>
      <c r="H2433" t="s">
        <v>133</v>
      </c>
      <c r="I2433" t="s">
        <v>5113</v>
      </c>
      <c r="J2433" t="s">
        <v>5114</v>
      </c>
      <c r="K2433" t="s">
        <v>44</v>
      </c>
      <c r="N2433" t="s">
        <v>45</v>
      </c>
      <c r="O2433" t="s">
        <v>46</v>
      </c>
      <c r="P2433" t="s">
        <v>45</v>
      </c>
      <c r="Q2433" t="s">
        <v>47</v>
      </c>
      <c r="R2433" t="s">
        <v>44</v>
      </c>
      <c r="S2433">
        <v>0</v>
      </c>
      <c r="W2433" s="3">
        <v>1.7361111111111112E-4</v>
      </c>
      <c r="X2433" t="s">
        <v>5115</v>
      </c>
      <c r="Y2433">
        <v>4</v>
      </c>
      <c r="Z2433">
        <v>0</v>
      </c>
      <c r="AA2433" t="s">
        <v>49</v>
      </c>
      <c r="AB2433">
        <v>0</v>
      </c>
      <c r="AC2433" t="s">
        <v>49</v>
      </c>
      <c r="AD2433">
        <v>0</v>
      </c>
      <c r="AE2433">
        <v>10837607</v>
      </c>
      <c r="AF2433" t="s">
        <v>50</v>
      </c>
      <c r="AG2433" t="s">
        <v>1691</v>
      </c>
    </row>
    <row r="2434" spans="1:33" x14ac:dyDescent="0.35">
      <c r="A2434" s="1">
        <v>44830.793749999997</v>
      </c>
      <c r="B2434">
        <v>5596891</v>
      </c>
      <c r="C2434" t="s">
        <v>5116</v>
      </c>
      <c r="D2434" t="s">
        <v>3579</v>
      </c>
      <c r="E2434" s="2">
        <v>43452</v>
      </c>
      <c r="F2434" t="str">
        <f>"9781119118664"</f>
        <v>9781119118664</v>
      </c>
      <c r="G2434" t="str">
        <f>"9781119118640"</f>
        <v>9781119118640</v>
      </c>
      <c r="H2434" t="s">
        <v>5117</v>
      </c>
      <c r="I2434">
        <v>628.53200000000004</v>
      </c>
      <c r="J2434" t="s">
        <v>5118</v>
      </c>
      <c r="K2434" t="s">
        <v>44</v>
      </c>
      <c r="N2434" t="s">
        <v>45</v>
      </c>
      <c r="O2434" t="s">
        <v>46</v>
      </c>
      <c r="P2434" t="s">
        <v>45</v>
      </c>
      <c r="Q2434" t="s">
        <v>47</v>
      </c>
      <c r="R2434" t="s">
        <v>44</v>
      </c>
      <c r="S2434">
        <v>0</v>
      </c>
      <c r="W2434" s="3">
        <v>3.9351851851851852E-4</v>
      </c>
      <c r="X2434" t="s">
        <v>2249</v>
      </c>
      <c r="Y2434">
        <v>6</v>
      </c>
      <c r="Z2434">
        <v>0</v>
      </c>
      <c r="AA2434" t="s">
        <v>49</v>
      </c>
      <c r="AB2434">
        <v>0</v>
      </c>
      <c r="AC2434" t="s">
        <v>49</v>
      </c>
      <c r="AD2434">
        <v>0</v>
      </c>
      <c r="AE2434">
        <v>-1</v>
      </c>
      <c r="AF2434" t="s">
        <v>50</v>
      </c>
      <c r="AG2434" t="s">
        <v>1355</v>
      </c>
    </row>
    <row r="2435" spans="1:33" x14ac:dyDescent="0.35">
      <c r="A2435" s="1">
        <v>44830.791666666664</v>
      </c>
      <c r="B2435">
        <v>957290</v>
      </c>
      <c r="C2435" t="s">
        <v>4280</v>
      </c>
      <c r="D2435" t="s">
        <v>76</v>
      </c>
      <c r="E2435" s="2">
        <v>40941</v>
      </c>
      <c r="F2435" t="str">
        <f>"9780203127711"</f>
        <v>9780203127711</v>
      </c>
      <c r="G2435" t="str">
        <f>"9780415895347"</f>
        <v>9780415895347</v>
      </c>
      <c r="H2435" t="s">
        <v>1046</v>
      </c>
      <c r="I2435">
        <v>302.23099999999999</v>
      </c>
      <c r="J2435" t="s">
        <v>4281</v>
      </c>
      <c r="K2435" t="s">
        <v>44</v>
      </c>
      <c r="N2435" t="s">
        <v>45</v>
      </c>
      <c r="O2435" t="s">
        <v>46</v>
      </c>
      <c r="P2435" t="s">
        <v>45</v>
      </c>
      <c r="Q2435" t="s">
        <v>47</v>
      </c>
      <c r="R2435" t="s">
        <v>44</v>
      </c>
      <c r="S2435">
        <v>0</v>
      </c>
      <c r="W2435" s="3">
        <v>1.230324074074074E-2</v>
      </c>
      <c r="X2435" t="s">
        <v>5119</v>
      </c>
      <c r="Y2435">
        <v>10</v>
      </c>
      <c r="Z2435">
        <v>0</v>
      </c>
      <c r="AA2435" t="s">
        <v>49</v>
      </c>
      <c r="AB2435">
        <v>0</v>
      </c>
      <c r="AC2435" t="s">
        <v>49</v>
      </c>
      <c r="AD2435">
        <v>0</v>
      </c>
      <c r="AE2435">
        <v>10535074</v>
      </c>
      <c r="AF2435" t="s">
        <v>50</v>
      </c>
      <c r="AG2435" t="s">
        <v>2128</v>
      </c>
    </row>
    <row r="2436" spans="1:33" x14ac:dyDescent="0.35">
      <c r="A2436" s="1">
        <v>44830.772916666669</v>
      </c>
      <c r="B2436">
        <v>6380889</v>
      </c>
      <c r="C2436" t="s">
        <v>5042</v>
      </c>
      <c r="D2436" t="s">
        <v>105</v>
      </c>
      <c r="E2436" s="2">
        <v>44124</v>
      </c>
      <c r="F2436" t="str">
        <f>"9783030530693"</f>
        <v>9783030530693</v>
      </c>
      <c r="G2436" t="str">
        <f>"9783030530686"</f>
        <v>9783030530686</v>
      </c>
      <c r="H2436" t="s">
        <v>5043</v>
      </c>
      <c r="I2436">
        <v>541.34820000000002</v>
      </c>
      <c r="J2436" t="s">
        <v>5044</v>
      </c>
      <c r="K2436" t="s">
        <v>55</v>
      </c>
      <c r="Q2436" t="s">
        <v>47</v>
      </c>
      <c r="R2436" t="s">
        <v>44</v>
      </c>
      <c r="S2436">
        <v>0</v>
      </c>
      <c r="W2436" s="3">
        <v>3.8541666666666668E-3</v>
      </c>
      <c r="X2436" t="s">
        <v>5120</v>
      </c>
      <c r="Y2436">
        <v>4</v>
      </c>
      <c r="Z2436">
        <v>0</v>
      </c>
      <c r="AA2436" t="s">
        <v>49</v>
      </c>
      <c r="AB2436">
        <v>0</v>
      </c>
      <c r="AC2436" t="s">
        <v>49</v>
      </c>
      <c r="AD2436">
        <v>0</v>
      </c>
      <c r="AE2436">
        <v>-1</v>
      </c>
      <c r="AF2436" t="s">
        <v>50</v>
      </c>
      <c r="AG2436" t="s">
        <v>300</v>
      </c>
    </row>
    <row r="2437" spans="1:33" x14ac:dyDescent="0.35">
      <c r="A2437" s="1">
        <v>44830.755555555559</v>
      </c>
      <c r="B2437">
        <v>232251</v>
      </c>
      <c r="C2437" t="s">
        <v>5121</v>
      </c>
      <c r="D2437" t="s">
        <v>844</v>
      </c>
      <c r="E2437" s="2">
        <v>37622</v>
      </c>
      <c r="F2437" t="str">
        <f>"9781845445126"</f>
        <v>9781845445126</v>
      </c>
      <c r="G2437" t="str">
        <f>"9780861768134"</f>
        <v>9780861768134</v>
      </c>
      <c r="H2437" t="s">
        <v>208</v>
      </c>
      <c r="I2437">
        <v>629.89200000000005</v>
      </c>
      <c r="J2437" t="s">
        <v>5122</v>
      </c>
      <c r="K2437" t="s">
        <v>44</v>
      </c>
      <c r="N2437" t="s">
        <v>45</v>
      </c>
      <c r="O2437" t="s">
        <v>46</v>
      </c>
      <c r="P2437" t="s">
        <v>45</v>
      </c>
      <c r="Q2437" t="s">
        <v>47</v>
      </c>
      <c r="R2437" t="s">
        <v>44</v>
      </c>
      <c r="S2437">
        <v>0</v>
      </c>
      <c r="W2437" s="3">
        <v>2.4305555555555556E-3</v>
      </c>
      <c r="X2437" t="s">
        <v>5123</v>
      </c>
      <c r="Y2437">
        <v>19</v>
      </c>
      <c r="Z2437">
        <v>0</v>
      </c>
      <c r="AA2437" t="s">
        <v>49</v>
      </c>
      <c r="AB2437">
        <v>0</v>
      </c>
      <c r="AC2437" t="s">
        <v>49</v>
      </c>
      <c r="AD2437">
        <v>0</v>
      </c>
      <c r="AE2437">
        <v>10052816</v>
      </c>
      <c r="AF2437" t="s">
        <v>50</v>
      </c>
      <c r="AG2437" t="s">
        <v>5124</v>
      </c>
    </row>
    <row r="2438" spans="1:33" x14ac:dyDescent="0.35">
      <c r="A2438" s="1">
        <v>44830.751388888886</v>
      </c>
      <c r="B2438">
        <v>6380889</v>
      </c>
      <c r="C2438" t="s">
        <v>5042</v>
      </c>
      <c r="D2438" t="s">
        <v>105</v>
      </c>
      <c r="E2438" s="2">
        <v>44124</v>
      </c>
      <c r="F2438" t="str">
        <f>"9783030530693"</f>
        <v>9783030530693</v>
      </c>
      <c r="G2438" t="str">
        <f>"9783030530686"</f>
        <v>9783030530686</v>
      </c>
      <c r="H2438" t="s">
        <v>5043</v>
      </c>
      <c r="I2438">
        <v>541.34820000000002</v>
      </c>
      <c r="J2438" t="s">
        <v>5044</v>
      </c>
      <c r="K2438" t="s">
        <v>55</v>
      </c>
      <c r="Q2438" t="s">
        <v>47</v>
      </c>
      <c r="R2438" t="s">
        <v>44</v>
      </c>
      <c r="S2438">
        <v>0</v>
      </c>
      <c r="W2438" s="3">
        <v>6.4004629629629628E-3</v>
      </c>
      <c r="X2438" t="s">
        <v>5125</v>
      </c>
      <c r="Y2438">
        <v>9</v>
      </c>
      <c r="Z2438">
        <v>0</v>
      </c>
      <c r="AA2438" t="s">
        <v>49</v>
      </c>
      <c r="AB2438">
        <v>0</v>
      </c>
      <c r="AC2438" t="s">
        <v>49</v>
      </c>
      <c r="AD2438">
        <v>0</v>
      </c>
      <c r="AE2438">
        <v>-1</v>
      </c>
      <c r="AF2438" t="s">
        <v>63</v>
      </c>
      <c r="AG2438" t="s">
        <v>5126</v>
      </c>
    </row>
    <row r="2439" spans="1:33" x14ac:dyDescent="0.35">
      <c r="A2439" s="1">
        <v>44830.731249999997</v>
      </c>
      <c r="B2439">
        <v>6640011</v>
      </c>
      <c r="C2439" t="s">
        <v>5127</v>
      </c>
      <c r="D2439" t="s">
        <v>213</v>
      </c>
      <c r="E2439" s="2">
        <v>44365</v>
      </c>
      <c r="F2439" t="str">
        <f>"9780323901246"</f>
        <v>9780323901246</v>
      </c>
      <c r="G2439" t="str">
        <f>"9780323898638"</f>
        <v>9780323898638</v>
      </c>
      <c r="H2439" t="s">
        <v>233</v>
      </c>
      <c r="I2439">
        <v>629.4742</v>
      </c>
      <c r="J2439" t="s">
        <v>5128</v>
      </c>
      <c r="K2439" t="s">
        <v>55</v>
      </c>
      <c r="N2439" t="s">
        <v>293</v>
      </c>
      <c r="P2439" t="s">
        <v>80</v>
      </c>
      <c r="Q2439" t="s">
        <v>47</v>
      </c>
      <c r="R2439" t="s">
        <v>44</v>
      </c>
      <c r="S2439">
        <v>1</v>
      </c>
      <c r="T2439">
        <v>1</v>
      </c>
      <c r="U2439" s="1">
        <v>44830.731249999997</v>
      </c>
      <c r="V2439" s="1">
        <v>44831.731249999997</v>
      </c>
      <c r="W2439" s="3">
        <v>0</v>
      </c>
      <c r="X2439" t="s">
        <v>49</v>
      </c>
      <c r="Y2439">
        <v>0</v>
      </c>
      <c r="Z2439">
        <v>0</v>
      </c>
      <c r="AA2439" t="s">
        <v>49</v>
      </c>
      <c r="AB2439">
        <v>0</v>
      </c>
      <c r="AC2439" t="s">
        <v>49</v>
      </c>
      <c r="AD2439">
        <v>0</v>
      </c>
      <c r="AE2439">
        <v>-1</v>
      </c>
      <c r="AF2439" t="s">
        <v>63</v>
      </c>
      <c r="AG2439" t="s">
        <v>118</v>
      </c>
    </row>
    <row r="2440" spans="1:33" x14ac:dyDescent="0.35">
      <c r="A2440" s="1">
        <v>44830.695138888892</v>
      </c>
      <c r="B2440">
        <v>6843030</v>
      </c>
      <c r="C2440" t="s">
        <v>5129</v>
      </c>
      <c r="D2440" t="s">
        <v>352</v>
      </c>
      <c r="E2440" s="2">
        <v>44672</v>
      </c>
      <c r="F2440" t="str">
        <f>"9781501367168"</f>
        <v>9781501367168</v>
      </c>
      <c r="G2440" t="str">
        <f>"9781501367144"</f>
        <v>9781501367144</v>
      </c>
      <c r="H2440" t="s">
        <v>1046</v>
      </c>
      <c r="I2440">
        <v>391.63</v>
      </c>
      <c r="J2440" t="s">
        <v>5130</v>
      </c>
      <c r="K2440" t="s">
        <v>55</v>
      </c>
      <c r="Q2440" t="s">
        <v>47</v>
      </c>
      <c r="R2440" t="s">
        <v>44</v>
      </c>
      <c r="S2440">
        <v>0</v>
      </c>
      <c r="W2440" s="3">
        <v>2.5462962962962961E-4</v>
      </c>
      <c r="X2440" t="s">
        <v>5131</v>
      </c>
      <c r="Y2440">
        <v>5</v>
      </c>
      <c r="Z2440">
        <v>0</v>
      </c>
      <c r="AA2440" t="s">
        <v>49</v>
      </c>
      <c r="AB2440">
        <v>0</v>
      </c>
      <c r="AC2440" t="s">
        <v>49</v>
      </c>
      <c r="AD2440">
        <v>0</v>
      </c>
      <c r="AE2440">
        <v>-1</v>
      </c>
      <c r="AF2440" t="s">
        <v>50</v>
      </c>
      <c r="AG2440" t="s">
        <v>118</v>
      </c>
    </row>
    <row r="2441" spans="1:33" x14ac:dyDescent="0.35">
      <c r="A2441" s="1">
        <v>44830.677083333336</v>
      </c>
      <c r="B2441">
        <v>5892679</v>
      </c>
      <c r="C2441" t="s">
        <v>5132</v>
      </c>
      <c r="D2441" t="s">
        <v>5133</v>
      </c>
      <c r="E2441" s="2">
        <v>43760</v>
      </c>
      <c r="F2441" t="str">
        <f>"9781631597619"</f>
        <v>9781631597619</v>
      </c>
      <c r="G2441" t="str">
        <f>"9781592338993"</f>
        <v>9781592338993</v>
      </c>
      <c r="H2441" t="s">
        <v>5134</v>
      </c>
      <c r="I2441">
        <v>641.56309999999996</v>
      </c>
      <c r="J2441" t="s">
        <v>5135</v>
      </c>
      <c r="K2441" t="s">
        <v>55</v>
      </c>
      <c r="Q2441" t="s">
        <v>47</v>
      </c>
      <c r="R2441" t="s">
        <v>44</v>
      </c>
      <c r="S2441">
        <v>0</v>
      </c>
      <c r="W2441" s="3">
        <v>5.4398148148148144E-4</v>
      </c>
      <c r="X2441" t="s">
        <v>5136</v>
      </c>
      <c r="Y2441">
        <v>8</v>
      </c>
      <c r="Z2441">
        <v>0</v>
      </c>
      <c r="AA2441" t="s">
        <v>49</v>
      </c>
      <c r="AB2441">
        <v>0</v>
      </c>
      <c r="AC2441" t="s">
        <v>49</v>
      </c>
      <c r="AD2441">
        <v>0</v>
      </c>
      <c r="AE2441">
        <v>-1</v>
      </c>
      <c r="AF2441" t="s">
        <v>50</v>
      </c>
      <c r="AG2441" t="s">
        <v>1355</v>
      </c>
    </row>
    <row r="2442" spans="1:33" x14ac:dyDescent="0.35">
      <c r="A2442" s="1">
        <v>44830.675000000003</v>
      </c>
      <c r="B2442">
        <v>5829217</v>
      </c>
      <c r="C2442" t="s">
        <v>626</v>
      </c>
      <c r="D2442" t="s">
        <v>627</v>
      </c>
      <c r="E2442" s="2">
        <v>43259</v>
      </c>
      <c r="F2442" t="str">
        <f>"9781496395139"</f>
        <v>9781496395139</v>
      </c>
      <c r="G2442" t="str">
        <f>"9781496335418"</f>
        <v>9781496335418</v>
      </c>
      <c r="H2442" t="s">
        <v>77</v>
      </c>
      <c r="I2442" t="s">
        <v>628</v>
      </c>
      <c r="J2442" t="s">
        <v>629</v>
      </c>
      <c r="K2442" t="s">
        <v>44</v>
      </c>
      <c r="N2442" t="s">
        <v>45</v>
      </c>
      <c r="O2442" t="s">
        <v>46</v>
      </c>
      <c r="P2442" t="s">
        <v>45</v>
      </c>
      <c r="Q2442" t="s">
        <v>47</v>
      </c>
      <c r="R2442" t="s">
        <v>44</v>
      </c>
      <c r="S2442">
        <v>0</v>
      </c>
      <c r="W2442" s="3">
        <v>1.3310185185185187E-2</v>
      </c>
      <c r="X2442" t="s">
        <v>5137</v>
      </c>
      <c r="Y2442">
        <v>27</v>
      </c>
      <c r="Z2442">
        <v>0</v>
      </c>
      <c r="AA2442" t="s">
        <v>49</v>
      </c>
      <c r="AB2442">
        <v>0</v>
      </c>
      <c r="AC2442" t="s">
        <v>49</v>
      </c>
      <c r="AD2442">
        <v>0</v>
      </c>
      <c r="AE2442">
        <v>-1</v>
      </c>
      <c r="AF2442" t="s">
        <v>50</v>
      </c>
      <c r="AG2442" t="s">
        <v>630</v>
      </c>
    </row>
    <row r="2443" spans="1:33" x14ac:dyDescent="0.35">
      <c r="A2443" s="1">
        <v>44830.668055555558</v>
      </c>
      <c r="B2443">
        <v>5612918</v>
      </c>
      <c r="C2443" t="s">
        <v>5138</v>
      </c>
      <c r="D2443" t="s">
        <v>59</v>
      </c>
      <c r="E2443" s="2">
        <v>43433</v>
      </c>
      <c r="F2443" t="str">
        <f>"9781119128649"</f>
        <v>9781119128649</v>
      </c>
      <c r="G2443" t="str">
        <f>"9781119128618"</f>
        <v>9781119128618</v>
      </c>
      <c r="H2443" t="s">
        <v>542</v>
      </c>
      <c r="I2443">
        <v>621.38224000000002</v>
      </c>
      <c r="J2443" t="s">
        <v>5139</v>
      </c>
      <c r="K2443" t="s">
        <v>44</v>
      </c>
      <c r="N2443" t="s">
        <v>45</v>
      </c>
      <c r="O2443" t="s">
        <v>46</v>
      </c>
      <c r="P2443" t="s">
        <v>45</v>
      </c>
      <c r="Q2443" t="s">
        <v>47</v>
      </c>
      <c r="R2443" t="s">
        <v>44</v>
      </c>
      <c r="S2443">
        <v>0</v>
      </c>
      <c r="W2443" s="3">
        <v>8.1018518518518516E-5</v>
      </c>
      <c r="X2443" t="s">
        <v>121</v>
      </c>
      <c r="Y2443">
        <v>1</v>
      </c>
      <c r="Z2443">
        <v>0</v>
      </c>
      <c r="AA2443" t="s">
        <v>49</v>
      </c>
      <c r="AB2443">
        <v>0</v>
      </c>
      <c r="AC2443" t="s">
        <v>49</v>
      </c>
      <c r="AD2443">
        <v>0</v>
      </c>
      <c r="AE2443">
        <v>-1</v>
      </c>
      <c r="AF2443" t="s">
        <v>50</v>
      </c>
      <c r="AG2443" t="s">
        <v>5140</v>
      </c>
    </row>
    <row r="2444" spans="1:33" x14ac:dyDescent="0.35">
      <c r="A2444" s="1">
        <v>44830.664583333331</v>
      </c>
      <c r="B2444">
        <v>818198</v>
      </c>
      <c r="C2444" t="s">
        <v>5141</v>
      </c>
      <c r="D2444" t="s">
        <v>5142</v>
      </c>
      <c r="E2444" s="2">
        <v>41002</v>
      </c>
      <c r="F2444" t="str">
        <f>"9781118237427"</f>
        <v>9781118237427</v>
      </c>
      <c r="G2444" t="str">
        <f>"9781118099414"</f>
        <v>9781118099414</v>
      </c>
      <c r="H2444" t="s">
        <v>2355</v>
      </c>
      <c r="I2444" t="s">
        <v>5143</v>
      </c>
      <c r="J2444" t="s">
        <v>5144</v>
      </c>
      <c r="K2444" t="s">
        <v>44</v>
      </c>
      <c r="N2444" t="s">
        <v>45</v>
      </c>
      <c r="O2444" t="s">
        <v>46</v>
      </c>
      <c r="P2444" t="s">
        <v>45</v>
      </c>
      <c r="Q2444" t="s">
        <v>47</v>
      </c>
      <c r="R2444" t="s">
        <v>44</v>
      </c>
      <c r="S2444">
        <v>2</v>
      </c>
      <c r="W2444" s="3">
        <v>0</v>
      </c>
      <c r="X2444" t="s">
        <v>49</v>
      </c>
      <c r="Y2444">
        <v>0</v>
      </c>
      <c r="Z2444">
        <v>0</v>
      </c>
      <c r="AA2444" t="s">
        <v>49</v>
      </c>
      <c r="AB2444">
        <v>0</v>
      </c>
      <c r="AC2444" t="s">
        <v>49</v>
      </c>
      <c r="AD2444">
        <v>0</v>
      </c>
      <c r="AE2444">
        <v>10546611</v>
      </c>
      <c r="AF2444" t="s">
        <v>63</v>
      </c>
      <c r="AG2444" t="s">
        <v>118</v>
      </c>
    </row>
    <row r="2445" spans="1:33" x14ac:dyDescent="0.35">
      <c r="A2445" s="1">
        <v>44830.636111111111</v>
      </c>
      <c r="B2445">
        <v>5596835</v>
      </c>
      <c r="C2445" t="s">
        <v>5145</v>
      </c>
      <c r="D2445" t="s">
        <v>2125</v>
      </c>
      <c r="E2445" s="2">
        <v>43425</v>
      </c>
      <c r="F2445" t="str">
        <f>"9780429778209"</f>
        <v>9780429778209</v>
      </c>
      <c r="G2445" t="str">
        <f>"9781138362291"</f>
        <v>9781138362291</v>
      </c>
      <c r="H2445" t="s">
        <v>60</v>
      </c>
      <c r="K2445" t="s">
        <v>55</v>
      </c>
      <c r="Q2445" t="s">
        <v>47</v>
      </c>
      <c r="R2445" t="s">
        <v>44</v>
      </c>
      <c r="S2445">
        <v>0</v>
      </c>
      <c r="W2445" s="3">
        <v>2.9629629629629628E-3</v>
      </c>
      <c r="X2445" t="s">
        <v>1283</v>
      </c>
      <c r="Y2445">
        <v>3</v>
      </c>
      <c r="Z2445">
        <v>0</v>
      </c>
      <c r="AA2445" t="s">
        <v>49</v>
      </c>
      <c r="AB2445">
        <v>0</v>
      </c>
      <c r="AC2445" t="s">
        <v>49</v>
      </c>
      <c r="AD2445">
        <v>0</v>
      </c>
      <c r="AE2445">
        <v>-1</v>
      </c>
      <c r="AF2445" t="s">
        <v>50</v>
      </c>
      <c r="AG2445" t="s">
        <v>1355</v>
      </c>
    </row>
    <row r="2446" spans="1:33" x14ac:dyDescent="0.35">
      <c r="A2446" s="1">
        <v>44830.61041666667</v>
      </c>
      <c r="B2446">
        <v>5612918</v>
      </c>
      <c r="C2446" t="s">
        <v>5138</v>
      </c>
      <c r="D2446" t="s">
        <v>59</v>
      </c>
      <c r="E2446" s="2">
        <v>43433</v>
      </c>
      <c r="F2446" t="str">
        <f>"9781119128649"</f>
        <v>9781119128649</v>
      </c>
      <c r="G2446" t="str">
        <f>"9781119128618"</f>
        <v>9781119128618</v>
      </c>
      <c r="H2446" t="s">
        <v>542</v>
      </c>
      <c r="I2446">
        <v>621.38224000000002</v>
      </c>
      <c r="J2446" t="s">
        <v>5139</v>
      </c>
      <c r="K2446" t="s">
        <v>44</v>
      </c>
      <c r="N2446" t="s">
        <v>45</v>
      </c>
      <c r="O2446" t="s">
        <v>46</v>
      </c>
      <c r="P2446" t="s">
        <v>45</v>
      </c>
      <c r="Q2446" t="s">
        <v>47</v>
      </c>
      <c r="R2446" t="s">
        <v>44</v>
      </c>
      <c r="S2446">
        <v>0</v>
      </c>
      <c r="W2446" s="3">
        <v>1.9560185185185184E-3</v>
      </c>
      <c r="X2446" t="s">
        <v>5146</v>
      </c>
      <c r="Y2446">
        <v>11</v>
      </c>
      <c r="Z2446">
        <v>0</v>
      </c>
      <c r="AA2446" t="s">
        <v>49</v>
      </c>
      <c r="AB2446">
        <v>0</v>
      </c>
      <c r="AC2446" t="s">
        <v>49</v>
      </c>
      <c r="AD2446">
        <v>0</v>
      </c>
      <c r="AE2446">
        <v>-1</v>
      </c>
      <c r="AF2446" t="s">
        <v>50</v>
      </c>
      <c r="AG2446" t="s">
        <v>5140</v>
      </c>
    </row>
    <row r="2447" spans="1:33" x14ac:dyDescent="0.35">
      <c r="A2447" s="1">
        <v>44830.606249999997</v>
      </c>
      <c r="B2447">
        <v>6787192</v>
      </c>
      <c r="C2447" t="s">
        <v>3653</v>
      </c>
      <c r="D2447" t="s">
        <v>76</v>
      </c>
      <c r="E2447" s="2">
        <v>44526</v>
      </c>
      <c r="F2447" t="str">
        <f>"9781000459364"</f>
        <v>9781000459364</v>
      </c>
      <c r="G2447" t="str">
        <f>"9780367428709"</f>
        <v>9780367428709</v>
      </c>
      <c r="H2447" t="s">
        <v>900</v>
      </c>
      <c r="I2447">
        <v>330.95400000000001</v>
      </c>
      <c r="J2447" t="s">
        <v>3654</v>
      </c>
      <c r="K2447" t="s">
        <v>55</v>
      </c>
      <c r="Q2447" t="s">
        <v>47</v>
      </c>
      <c r="R2447" t="s">
        <v>44</v>
      </c>
      <c r="S2447">
        <v>0</v>
      </c>
      <c r="W2447" s="3">
        <v>9.6064814814814808E-4</v>
      </c>
      <c r="X2447" t="s">
        <v>5147</v>
      </c>
      <c r="Y2447">
        <v>9</v>
      </c>
      <c r="Z2447">
        <v>0</v>
      </c>
      <c r="AA2447" t="s">
        <v>49</v>
      </c>
      <c r="AB2447">
        <v>0</v>
      </c>
      <c r="AC2447" t="s">
        <v>49</v>
      </c>
      <c r="AD2447">
        <v>0</v>
      </c>
      <c r="AE2447">
        <v>-1</v>
      </c>
      <c r="AF2447" t="s">
        <v>50</v>
      </c>
      <c r="AG2447" t="s">
        <v>118</v>
      </c>
    </row>
    <row r="2448" spans="1:33" x14ac:dyDescent="0.35">
      <c r="A2448" s="1">
        <v>44830.582638888889</v>
      </c>
      <c r="B2448">
        <v>6527949</v>
      </c>
      <c r="C2448" t="s">
        <v>5148</v>
      </c>
      <c r="D2448" t="s">
        <v>170</v>
      </c>
      <c r="E2448" s="2">
        <v>44740</v>
      </c>
      <c r="F2448" t="str">
        <f>"9781462922642"</f>
        <v>9781462922642</v>
      </c>
      <c r="G2448" t="str">
        <f>"9780804852586"</f>
        <v>9780804852586</v>
      </c>
      <c r="H2448" t="s">
        <v>171</v>
      </c>
      <c r="I2448">
        <v>492.782421</v>
      </c>
      <c r="J2448" t="s">
        <v>5149</v>
      </c>
      <c r="K2448" t="s">
        <v>55</v>
      </c>
      <c r="Q2448" t="s">
        <v>47</v>
      </c>
      <c r="R2448" t="s">
        <v>44</v>
      </c>
      <c r="S2448">
        <v>0</v>
      </c>
      <c r="W2448" s="3">
        <v>2.5000000000000001E-3</v>
      </c>
      <c r="X2448" t="s">
        <v>5150</v>
      </c>
      <c r="Y2448">
        <v>30</v>
      </c>
      <c r="Z2448">
        <v>0</v>
      </c>
      <c r="AA2448" t="s">
        <v>49</v>
      </c>
      <c r="AB2448">
        <v>0</v>
      </c>
      <c r="AC2448" t="s">
        <v>49</v>
      </c>
      <c r="AD2448">
        <v>0</v>
      </c>
      <c r="AE2448">
        <v>-1</v>
      </c>
      <c r="AF2448" t="s">
        <v>50</v>
      </c>
      <c r="AG2448" t="s">
        <v>118</v>
      </c>
    </row>
    <row r="2449" spans="1:33" x14ac:dyDescent="0.35">
      <c r="A2449" s="1">
        <v>44830.515972222223</v>
      </c>
      <c r="B2449">
        <v>469749</v>
      </c>
      <c r="C2449" t="s">
        <v>2784</v>
      </c>
      <c r="D2449" t="s">
        <v>1458</v>
      </c>
      <c r="E2449" s="2">
        <v>39693</v>
      </c>
      <c r="F2449" t="str">
        <f>"9780470282069"</f>
        <v>9780470282069</v>
      </c>
      <c r="G2449" t="str">
        <f>"9780470105252"</f>
        <v>9780470105252</v>
      </c>
      <c r="H2449" t="s">
        <v>1112</v>
      </c>
      <c r="I2449">
        <v>660.28319999999997</v>
      </c>
      <c r="J2449" t="s">
        <v>2785</v>
      </c>
      <c r="K2449" t="s">
        <v>44</v>
      </c>
      <c r="N2449" t="s">
        <v>45</v>
      </c>
      <c r="O2449" t="s">
        <v>46</v>
      </c>
      <c r="P2449" t="s">
        <v>45</v>
      </c>
      <c r="Q2449" t="s">
        <v>47</v>
      </c>
      <c r="R2449" t="s">
        <v>44</v>
      </c>
      <c r="S2449">
        <v>0</v>
      </c>
      <c r="W2449" s="3">
        <v>3.7037037037037035E-4</v>
      </c>
      <c r="X2449" t="s">
        <v>196</v>
      </c>
      <c r="Y2449">
        <v>2</v>
      </c>
      <c r="Z2449">
        <v>0</v>
      </c>
      <c r="AA2449" t="s">
        <v>49</v>
      </c>
      <c r="AB2449">
        <v>0</v>
      </c>
      <c r="AC2449" t="s">
        <v>49</v>
      </c>
      <c r="AD2449">
        <v>0</v>
      </c>
      <c r="AE2449">
        <v>10296771</v>
      </c>
      <c r="AF2449" t="s">
        <v>50</v>
      </c>
      <c r="AG2449" t="s">
        <v>1355</v>
      </c>
    </row>
    <row r="2450" spans="1:33" x14ac:dyDescent="0.35">
      <c r="A2450" s="1">
        <v>44830.499305555553</v>
      </c>
      <c r="B2450">
        <v>1895341</v>
      </c>
      <c r="C2450" t="s">
        <v>4704</v>
      </c>
      <c r="D2450" t="s">
        <v>59</v>
      </c>
      <c r="E2450" s="2">
        <v>42121</v>
      </c>
      <c r="F2450" t="str">
        <f>"9781119059998"</f>
        <v>9781119059998</v>
      </c>
      <c r="G2450" t="str">
        <f>"9781119059721"</f>
        <v>9781119059721</v>
      </c>
      <c r="H2450" t="s">
        <v>60</v>
      </c>
      <c r="I2450" t="s">
        <v>4705</v>
      </c>
      <c r="J2450" t="s">
        <v>4706</v>
      </c>
      <c r="K2450" t="s">
        <v>44</v>
      </c>
      <c r="N2450" t="s">
        <v>45</v>
      </c>
      <c r="O2450" t="s">
        <v>46</v>
      </c>
      <c r="P2450" t="s">
        <v>45</v>
      </c>
      <c r="Q2450" t="s">
        <v>47</v>
      </c>
      <c r="R2450" t="s">
        <v>44</v>
      </c>
      <c r="S2450">
        <v>0</v>
      </c>
      <c r="W2450" s="3">
        <v>3.6689814814814814E-3</v>
      </c>
      <c r="X2450" t="s">
        <v>5151</v>
      </c>
      <c r="Y2450">
        <v>11</v>
      </c>
      <c r="Z2450">
        <v>0</v>
      </c>
      <c r="AA2450" t="s">
        <v>49</v>
      </c>
      <c r="AB2450">
        <v>0</v>
      </c>
      <c r="AC2450" t="s">
        <v>49</v>
      </c>
      <c r="AD2450">
        <v>0</v>
      </c>
      <c r="AE2450">
        <v>11052385</v>
      </c>
      <c r="AF2450" t="s">
        <v>50</v>
      </c>
      <c r="AG2450" t="s">
        <v>1355</v>
      </c>
    </row>
    <row r="2451" spans="1:33" x14ac:dyDescent="0.35">
      <c r="A2451" s="1">
        <v>44830.498611111114</v>
      </c>
      <c r="B2451">
        <v>1185557</v>
      </c>
      <c r="C2451" t="s">
        <v>4982</v>
      </c>
      <c r="D2451" t="s">
        <v>465</v>
      </c>
      <c r="E2451" s="2">
        <v>39541</v>
      </c>
      <c r="F2451" t="str">
        <f>"9781847558305"</f>
        <v>9781847558305</v>
      </c>
      <c r="G2451" t="str">
        <f>"9780854041244"</f>
        <v>9780854041244</v>
      </c>
      <c r="H2451" t="s">
        <v>1112</v>
      </c>
      <c r="I2451">
        <v>668.2</v>
      </c>
      <c r="J2451" t="s">
        <v>4983</v>
      </c>
      <c r="K2451" t="s">
        <v>44</v>
      </c>
      <c r="N2451" t="s">
        <v>45</v>
      </c>
      <c r="O2451" t="s">
        <v>46</v>
      </c>
      <c r="P2451" t="s">
        <v>45</v>
      </c>
      <c r="Q2451" t="s">
        <v>47</v>
      </c>
      <c r="R2451" t="s">
        <v>44</v>
      </c>
      <c r="S2451">
        <v>0</v>
      </c>
      <c r="W2451" s="3">
        <v>6.030092592592593E-3</v>
      </c>
      <c r="X2451" t="s">
        <v>5152</v>
      </c>
      <c r="Y2451">
        <v>5</v>
      </c>
      <c r="Z2451">
        <v>0</v>
      </c>
      <c r="AA2451" t="s">
        <v>49</v>
      </c>
      <c r="AB2451">
        <v>0</v>
      </c>
      <c r="AC2451" t="s">
        <v>49</v>
      </c>
      <c r="AD2451">
        <v>0</v>
      </c>
      <c r="AE2451">
        <v>10618769</v>
      </c>
      <c r="AF2451" t="s">
        <v>50</v>
      </c>
      <c r="AG2451" t="s">
        <v>1355</v>
      </c>
    </row>
    <row r="2452" spans="1:33" x14ac:dyDescent="0.35">
      <c r="A2452" s="1">
        <v>44830.491666666669</v>
      </c>
      <c r="B2452">
        <v>6509827</v>
      </c>
      <c r="C2452" t="s">
        <v>5153</v>
      </c>
      <c r="D2452" t="s">
        <v>59</v>
      </c>
      <c r="E2452" s="2">
        <v>44251</v>
      </c>
      <c r="F2452" t="str">
        <f>"9781119716044"</f>
        <v>9781119716044</v>
      </c>
      <c r="G2452" t="str">
        <f>"9781119716020"</f>
        <v>9781119716020</v>
      </c>
      <c r="H2452" t="s">
        <v>138</v>
      </c>
      <c r="I2452">
        <v>6.7</v>
      </c>
      <c r="J2452" t="s">
        <v>5154</v>
      </c>
      <c r="K2452" t="s">
        <v>55</v>
      </c>
      <c r="Q2452" t="s">
        <v>47</v>
      </c>
      <c r="R2452" t="s">
        <v>44</v>
      </c>
      <c r="S2452">
        <v>0</v>
      </c>
      <c r="W2452" s="3">
        <v>1.0590277777777777E-2</v>
      </c>
      <c r="X2452" t="s">
        <v>5155</v>
      </c>
      <c r="Y2452">
        <v>16</v>
      </c>
      <c r="Z2452">
        <v>0</v>
      </c>
      <c r="AA2452" t="s">
        <v>49</v>
      </c>
      <c r="AB2452">
        <v>0</v>
      </c>
      <c r="AC2452" t="s">
        <v>49</v>
      </c>
      <c r="AD2452">
        <v>0</v>
      </c>
      <c r="AE2452">
        <v>-1</v>
      </c>
      <c r="AF2452" t="s">
        <v>63</v>
      </c>
      <c r="AG2452" t="s">
        <v>118</v>
      </c>
    </row>
    <row r="2453" spans="1:33" x14ac:dyDescent="0.35">
      <c r="A2453" s="1">
        <v>44830.475694444445</v>
      </c>
      <c r="B2453">
        <v>5495893</v>
      </c>
      <c r="C2453" t="s">
        <v>5156</v>
      </c>
      <c r="D2453" t="s">
        <v>76</v>
      </c>
      <c r="E2453" s="2">
        <v>43332</v>
      </c>
      <c r="F2453" t="str">
        <f>"9780429955402"</f>
        <v>9780429955402</v>
      </c>
      <c r="G2453" t="str">
        <f>"9781444179637"</f>
        <v>9781444179637</v>
      </c>
      <c r="H2453" t="s">
        <v>77</v>
      </c>
      <c r="I2453">
        <v>615.84199999999998</v>
      </c>
      <c r="J2453" t="s">
        <v>5157</v>
      </c>
      <c r="K2453" t="s">
        <v>55</v>
      </c>
      <c r="N2453" t="s">
        <v>79</v>
      </c>
      <c r="P2453" t="s">
        <v>97</v>
      </c>
      <c r="Q2453" t="s">
        <v>47</v>
      </c>
      <c r="R2453" t="s">
        <v>44</v>
      </c>
      <c r="S2453">
        <v>0</v>
      </c>
      <c r="W2453" s="3">
        <v>6.9444444444444444E-5</v>
      </c>
      <c r="X2453" t="s">
        <v>121</v>
      </c>
      <c r="Y2453">
        <v>1</v>
      </c>
      <c r="Z2453">
        <v>0</v>
      </c>
      <c r="AA2453" t="s">
        <v>49</v>
      </c>
      <c r="AB2453">
        <v>0</v>
      </c>
      <c r="AC2453" t="s">
        <v>49</v>
      </c>
      <c r="AD2453">
        <v>0</v>
      </c>
      <c r="AE2453">
        <v>-1</v>
      </c>
      <c r="AF2453" t="s">
        <v>50</v>
      </c>
      <c r="AG2453" t="s">
        <v>630</v>
      </c>
    </row>
    <row r="2454" spans="1:33" x14ac:dyDescent="0.35">
      <c r="A2454" s="1">
        <v>44830.425000000003</v>
      </c>
      <c r="B2454">
        <v>5789412</v>
      </c>
      <c r="C2454" t="s">
        <v>5158</v>
      </c>
      <c r="D2454" t="s">
        <v>105</v>
      </c>
      <c r="E2454" s="2">
        <v>43629</v>
      </c>
      <c r="F2454" t="str">
        <f>"9783030207519"</f>
        <v>9783030207519</v>
      </c>
      <c r="G2454" t="str">
        <f>"9783030207502"</f>
        <v>9783030207502</v>
      </c>
      <c r="H2454" t="s">
        <v>233</v>
      </c>
      <c r="I2454">
        <v>629.89200000000005</v>
      </c>
      <c r="J2454" t="s">
        <v>234</v>
      </c>
      <c r="K2454" t="s">
        <v>55</v>
      </c>
      <c r="Q2454" t="s">
        <v>47</v>
      </c>
      <c r="R2454" t="s">
        <v>44</v>
      </c>
      <c r="S2454">
        <v>0</v>
      </c>
      <c r="W2454" s="3">
        <v>3.7962962962962963E-3</v>
      </c>
      <c r="X2454" t="s">
        <v>5159</v>
      </c>
      <c r="Y2454">
        <v>16</v>
      </c>
      <c r="Z2454">
        <v>0</v>
      </c>
      <c r="AA2454" t="s">
        <v>49</v>
      </c>
      <c r="AB2454">
        <v>0</v>
      </c>
      <c r="AC2454" t="s">
        <v>49</v>
      </c>
      <c r="AD2454">
        <v>0</v>
      </c>
      <c r="AE2454">
        <v>-1</v>
      </c>
      <c r="AF2454" t="s">
        <v>50</v>
      </c>
      <c r="AG2454" t="s">
        <v>5126</v>
      </c>
    </row>
    <row r="2455" spans="1:33" x14ac:dyDescent="0.35">
      <c r="A2455" s="1">
        <v>44830.420138888891</v>
      </c>
      <c r="B2455">
        <v>6789239</v>
      </c>
      <c r="C2455" t="s">
        <v>5160</v>
      </c>
      <c r="D2455" t="s">
        <v>76</v>
      </c>
      <c r="E2455" s="2">
        <v>44530</v>
      </c>
      <c r="F2455" t="str">
        <f>"9781000489460"</f>
        <v>9781000489460</v>
      </c>
      <c r="G2455" t="str">
        <f>"9781032052298"</f>
        <v>9781032052298</v>
      </c>
      <c r="H2455" t="s">
        <v>1046</v>
      </c>
      <c r="I2455">
        <v>301.01</v>
      </c>
      <c r="J2455" t="s">
        <v>5161</v>
      </c>
      <c r="K2455" t="s">
        <v>55</v>
      </c>
      <c r="Q2455" t="s">
        <v>47</v>
      </c>
      <c r="R2455" t="s">
        <v>44</v>
      </c>
      <c r="S2455">
        <v>0</v>
      </c>
      <c r="W2455" s="3">
        <v>2.9282407407407412E-3</v>
      </c>
      <c r="X2455" t="s">
        <v>5162</v>
      </c>
      <c r="Y2455">
        <v>34</v>
      </c>
      <c r="Z2455">
        <v>0</v>
      </c>
      <c r="AA2455" t="s">
        <v>49</v>
      </c>
      <c r="AB2455">
        <v>0</v>
      </c>
      <c r="AC2455" t="s">
        <v>49</v>
      </c>
      <c r="AD2455">
        <v>0</v>
      </c>
      <c r="AE2455">
        <v>-1</v>
      </c>
      <c r="AF2455" t="s">
        <v>50</v>
      </c>
      <c r="AG2455" t="s">
        <v>1355</v>
      </c>
    </row>
    <row r="2456" spans="1:33" x14ac:dyDescent="0.35">
      <c r="A2456" s="1">
        <v>44830.338194444441</v>
      </c>
      <c r="B2456">
        <v>5517269</v>
      </c>
      <c r="C2456" t="s">
        <v>5163</v>
      </c>
      <c r="D2456" t="s">
        <v>266</v>
      </c>
      <c r="E2456" s="2">
        <v>43364</v>
      </c>
      <c r="F2456" t="str">
        <f>"9780857013279"</f>
        <v>9780857013279</v>
      </c>
      <c r="G2456" t="str">
        <f>"9781848193697"</f>
        <v>9781848193697</v>
      </c>
      <c r="H2456" t="s">
        <v>77</v>
      </c>
      <c r="I2456">
        <v>616.81060000000002</v>
      </c>
      <c r="J2456" t="s">
        <v>5164</v>
      </c>
      <c r="K2456" t="s">
        <v>55</v>
      </c>
      <c r="N2456" t="s">
        <v>293</v>
      </c>
      <c r="P2456" t="s">
        <v>80</v>
      </c>
      <c r="Q2456" t="s">
        <v>47</v>
      </c>
      <c r="R2456" t="s">
        <v>44</v>
      </c>
      <c r="S2456">
        <v>0</v>
      </c>
      <c r="W2456" s="3">
        <v>1.1203703703703704E-2</v>
      </c>
      <c r="X2456" t="s">
        <v>5165</v>
      </c>
      <c r="Y2456">
        <v>5</v>
      </c>
      <c r="Z2456">
        <v>0</v>
      </c>
      <c r="AA2456" t="s">
        <v>49</v>
      </c>
      <c r="AB2456">
        <v>0</v>
      </c>
      <c r="AC2456" t="s">
        <v>49</v>
      </c>
      <c r="AD2456">
        <v>0</v>
      </c>
      <c r="AE2456">
        <v>-1</v>
      </c>
      <c r="AF2456" t="s">
        <v>63</v>
      </c>
      <c r="AG2456" t="s">
        <v>118</v>
      </c>
    </row>
    <row r="2457" spans="1:33" x14ac:dyDescent="0.35">
      <c r="A2457" s="1">
        <v>44830.134722222225</v>
      </c>
      <c r="B2457">
        <v>5371683</v>
      </c>
      <c r="C2457" t="s">
        <v>5166</v>
      </c>
      <c r="D2457" t="s">
        <v>141</v>
      </c>
      <c r="E2457" s="2">
        <v>43214</v>
      </c>
      <c r="F2457" t="str">
        <f>"9781788830713"</f>
        <v>9781788830713</v>
      </c>
      <c r="G2457" t="str">
        <f>"9781788835725"</f>
        <v>9781788835725</v>
      </c>
      <c r="H2457" t="s">
        <v>106</v>
      </c>
      <c r="I2457">
        <v>6.31</v>
      </c>
      <c r="J2457" t="s">
        <v>5167</v>
      </c>
      <c r="K2457" t="s">
        <v>44</v>
      </c>
      <c r="N2457" t="s">
        <v>45</v>
      </c>
      <c r="O2457" t="s">
        <v>46</v>
      </c>
      <c r="P2457" t="s">
        <v>177</v>
      </c>
      <c r="Q2457" t="s">
        <v>47</v>
      </c>
      <c r="R2457" t="s">
        <v>55</v>
      </c>
      <c r="S2457">
        <v>0</v>
      </c>
      <c r="W2457" s="3">
        <v>4.1493055555555554E-2</v>
      </c>
      <c r="X2457" t="s">
        <v>5168</v>
      </c>
      <c r="Y2457">
        <v>10</v>
      </c>
      <c r="Z2457">
        <v>0</v>
      </c>
      <c r="AA2457" t="s">
        <v>49</v>
      </c>
      <c r="AB2457">
        <v>0</v>
      </c>
      <c r="AC2457" t="s">
        <v>49</v>
      </c>
      <c r="AD2457">
        <v>0</v>
      </c>
      <c r="AE2457">
        <v>11551888</v>
      </c>
      <c r="AF2457" t="s">
        <v>50</v>
      </c>
      <c r="AG2457" t="s">
        <v>5169</v>
      </c>
    </row>
    <row r="2458" spans="1:33" x14ac:dyDescent="0.35">
      <c r="A2458" s="1">
        <v>44830.077777777777</v>
      </c>
      <c r="B2458">
        <v>957290</v>
      </c>
      <c r="C2458" t="s">
        <v>4280</v>
      </c>
      <c r="D2458" t="s">
        <v>76</v>
      </c>
      <c r="E2458" s="2">
        <v>40941</v>
      </c>
      <c r="F2458" t="str">
        <f>"9780203127711"</f>
        <v>9780203127711</v>
      </c>
      <c r="G2458" t="str">
        <f>"9780415895347"</f>
        <v>9780415895347</v>
      </c>
      <c r="H2458" t="s">
        <v>1046</v>
      </c>
      <c r="I2458">
        <v>302.23099999999999</v>
      </c>
      <c r="J2458" t="s">
        <v>4281</v>
      </c>
      <c r="K2458" t="s">
        <v>44</v>
      </c>
      <c r="N2458" t="s">
        <v>45</v>
      </c>
      <c r="O2458" t="s">
        <v>46</v>
      </c>
      <c r="P2458" t="s">
        <v>45</v>
      </c>
      <c r="Q2458" t="s">
        <v>47</v>
      </c>
      <c r="R2458" t="s">
        <v>44</v>
      </c>
      <c r="S2458">
        <v>0</v>
      </c>
      <c r="W2458" s="3">
        <v>3.9467592592592592E-3</v>
      </c>
      <c r="X2458" t="s">
        <v>5170</v>
      </c>
      <c r="Y2458">
        <v>8</v>
      </c>
      <c r="Z2458">
        <v>0</v>
      </c>
      <c r="AA2458" t="s">
        <v>49</v>
      </c>
      <c r="AB2458">
        <v>0</v>
      </c>
      <c r="AC2458" t="s">
        <v>5171</v>
      </c>
      <c r="AD2458">
        <v>3</v>
      </c>
      <c r="AE2458">
        <v>10535074</v>
      </c>
      <c r="AF2458" t="s">
        <v>50</v>
      </c>
      <c r="AG2458" t="s">
        <v>118</v>
      </c>
    </row>
    <row r="2459" spans="1:33" x14ac:dyDescent="0.35">
      <c r="A2459" s="1">
        <v>44830.017361111109</v>
      </c>
      <c r="B2459">
        <v>957290</v>
      </c>
      <c r="C2459" t="s">
        <v>4280</v>
      </c>
      <c r="D2459" t="s">
        <v>76</v>
      </c>
      <c r="E2459" s="2">
        <v>40941</v>
      </c>
      <c r="F2459" t="str">
        <f>"9780203127711"</f>
        <v>9780203127711</v>
      </c>
      <c r="G2459" t="str">
        <f>"9780415895347"</f>
        <v>9780415895347</v>
      </c>
      <c r="H2459" t="s">
        <v>1046</v>
      </c>
      <c r="I2459">
        <v>302.23099999999999</v>
      </c>
      <c r="J2459" t="s">
        <v>4281</v>
      </c>
      <c r="K2459" t="s">
        <v>44</v>
      </c>
      <c r="N2459" t="s">
        <v>45</v>
      </c>
      <c r="O2459" t="s">
        <v>46</v>
      </c>
      <c r="P2459" t="s">
        <v>45</v>
      </c>
      <c r="Q2459" t="s">
        <v>47</v>
      </c>
      <c r="R2459" t="s">
        <v>44</v>
      </c>
      <c r="S2459">
        <v>0</v>
      </c>
      <c r="W2459" s="3">
        <v>0</v>
      </c>
      <c r="X2459" t="s">
        <v>49</v>
      </c>
      <c r="Y2459">
        <v>0</v>
      </c>
      <c r="Z2459">
        <v>1</v>
      </c>
      <c r="AA2459" t="s">
        <v>4897</v>
      </c>
      <c r="AB2459">
        <v>20</v>
      </c>
      <c r="AC2459" t="s">
        <v>49</v>
      </c>
      <c r="AD2459">
        <v>0</v>
      </c>
      <c r="AE2459">
        <v>10535074</v>
      </c>
      <c r="AF2459" t="s">
        <v>50</v>
      </c>
      <c r="AG2459" t="s">
        <v>5172</v>
      </c>
    </row>
    <row r="2460" spans="1:33" x14ac:dyDescent="0.35">
      <c r="A2460" s="1">
        <v>44830.007638888892</v>
      </c>
      <c r="B2460">
        <v>6946268</v>
      </c>
      <c r="C2460" t="s">
        <v>333</v>
      </c>
      <c r="D2460" t="s">
        <v>213</v>
      </c>
      <c r="E2460" s="2">
        <v>44658</v>
      </c>
      <c r="F2460" t="str">
        <f>"9780323859875"</f>
        <v>9780323859875</v>
      </c>
      <c r="G2460" t="str">
        <f>"9780128244708"</f>
        <v>9780128244708</v>
      </c>
      <c r="H2460" t="s">
        <v>261</v>
      </c>
      <c r="I2460">
        <v>628.16200000000003</v>
      </c>
      <c r="J2460" t="s">
        <v>334</v>
      </c>
      <c r="K2460" t="s">
        <v>55</v>
      </c>
      <c r="N2460" t="s">
        <v>79</v>
      </c>
      <c r="P2460" t="s">
        <v>80</v>
      </c>
      <c r="Q2460" t="s">
        <v>47</v>
      </c>
      <c r="R2460" t="s">
        <v>44</v>
      </c>
      <c r="S2460">
        <v>0</v>
      </c>
      <c r="W2460" s="3">
        <v>1.1574074074074073E-5</v>
      </c>
      <c r="X2460" t="s">
        <v>49</v>
      </c>
      <c r="Y2460">
        <v>0</v>
      </c>
      <c r="Z2460">
        <v>3</v>
      </c>
      <c r="AA2460" t="s">
        <v>5173</v>
      </c>
      <c r="AB2460">
        <v>92</v>
      </c>
      <c r="AC2460" t="s">
        <v>49</v>
      </c>
      <c r="AD2460">
        <v>0</v>
      </c>
      <c r="AE2460">
        <v>-1</v>
      </c>
      <c r="AF2460" t="s">
        <v>63</v>
      </c>
      <c r="AG2460" t="s">
        <v>5126</v>
      </c>
    </row>
    <row r="2461" spans="1:33" x14ac:dyDescent="0.35">
      <c r="A2461" s="1">
        <v>44830.001388888886</v>
      </c>
      <c r="B2461">
        <v>6821793</v>
      </c>
      <c r="C2461" t="s">
        <v>5071</v>
      </c>
      <c r="D2461" t="s">
        <v>213</v>
      </c>
      <c r="E2461" s="2">
        <v>44536</v>
      </c>
      <c r="F2461" t="str">
        <f>"9780128232736"</f>
        <v>9780128232736</v>
      </c>
      <c r="G2461" t="str">
        <f>"9780128222577"</f>
        <v>9780128222577</v>
      </c>
      <c r="H2461" t="s">
        <v>66</v>
      </c>
      <c r="I2461">
        <v>571.64</v>
      </c>
      <c r="J2461" t="s">
        <v>5072</v>
      </c>
      <c r="K2461" t="s">
        <v>55</v>
      </c>
      <c r="Q2461" t="s">
        <v>47</v>
      </c>
      <c r="R2461" t="s">
        <v>44</v>
      </c>
      <c r="S2461">
        <v>0</v>
      </c>
      <c r="W2461" s="3">
        <v>0</v>
      </c>
      <c r="X2461" t="s">
        <v>49</v>
      </c>
      <c r="Y2461">
        <v>0</v>
      </c>
      <c r="Z2461">
        <v>0</v>
      </c>
      <c r="AA2461" t="s">
        <v>49</v>
      </c>
      <c r="AB2461">
        <v>0</v>
      </c>
      <c r="AC2461" t="s">
        <v>49</v>
      </c>
      <c r="AD2461">
        <v>0</v>
      </c>
      <c r="AE2461">
        <v>-1</v>
      </c>
      <c r="AF2461" t="s">
        <v>63</v>
      </c>
      <c r="AG2461" t="s">
        <v>5126</v>
      </c>
    </row>
    <row r="2462" spans="1:33" x14ac:dyDescent="0.35">
      <c r="A2462" s="1">
        <v>44829.995138888888</v>
      </c>
      <c r="B2462">
        <v>5612918</v>
      </c>
      <c r="C2462" t="s">
        <v>5138</v>
      </c>
      <c r="D2462" t="s">
        <v>59</v>
      </c>
      <c r="E2462" s="2">
        <v>43433</v>
      </c>
      <c r="F2462" t="str">
        <f>"9781119128649"</f>
        <v>9781119128649</v>
      </c>
      <c r="G2462" t="str">
        <f>"9781119128618"</f>
        <v>9781119128618</v>
      </c>
      <c r="H2462" t="s">
        <v>542</v>
      </c>
      <c r="I2462">
        <v>621.38224000000002</v>
      </c>
      <c r="J2462" t="s">
        <v>5139</v>
      </c>
      <c r="K2462" t="s">
        <v>44</v>
      </c>
      <c r="N2462" t="s">
        <v>45</v>
      </c>
      <c r="O2462" t="s">
        <v>46</v>
      </c>
      <c r="P2462" t="s">
        <v>45</v>
      </c>
      <c r="Q2462" t="s">
        <v>47</v>
      </c>
      <c r="R2462" t="s">
        <v>44</v>
      </c>
      <c r="S2462">
        <v>0</v>
      </c>
      <c r="W2462" s="3">
        <v>2.476851851851852E-2</v>
      </c>
      <c r="X2462" t="s">
        <v>5174</v>
      </c>
      <c r="Y2462">
        <v>15</v>
      </c>
      <c r="Z2462">
        <v>0</v>
      </c>
      <c r="AA2462" t="s">
        <v>49</v>
      </c>
      <c r="AB2462">
        <v>0</v>
      </c>
      <c r="AC2462" t="s">
        <v>49</v>
      </c>
      <c r="AD2462">
        <v>0</v>
      </c>
      <c r="AE2462">
        <v>-1</v>
      </c>
      <c r="AF2462" t="s">
        <v>50</v>
      </c>
      <c r="AG2462" t="s">
        <v>5140</v>
      </c>
    </row>
    <row r="2463" spans="1:33" x14ac:dyDescent="0.35">
      <c r="A2463" s="1">
        <v>44829.945833333331</v>
      </c>
      <c r="B2463">
        <v>5741632</v>
      </c>
      <c r="C2463" t="s">
        <v>5175</v>
      </c>
      <c r="D2463" t="s">
        <v>105</v>
      </c>
      <c r="E2463" s="2">
        <v>43557</v>
      </c>
      <c r="F2463" t="str">
        <f>"9783030037741"</f>
        <v>9783030037741</v>
      </c>
      <c r="G2463" t="str">
        <f>"9783030037734"</f>
        <v>9783030037734</v>
      </c>
      <c r="H2463" t="s">
        <v>90</v>
      </c>
      <c r="I2463">
        <v>378.10091749269998</v>
      </c>
      <c r="J2463" t="s">
        <v>5176</v>
      </c>
      <c r="K2463" t="s">
        <v>55</v>
      </c>
      <c r="Q2463" t="s">
        <v>47</v>
      </c>
      <c r="R2463" t="s">
        <v>44</v>
      </c>
      <c r="S2463">
        <v>0</v>
      </c>
      <c r="W2463" s="3">
        <v>7.951388888888888E-3</v>
      </c>
      <c r="X2463" t="s">
        <v>5177</v>
      </c>
      <c r="Y2463">
        <v>11</v>
      </c>
      <c r="Z2463">
        <v>0</v>
      </c>
      <c r="AA2463" t="s">
        <v>49</v>
      </c>
      <c r="AB2463">
        <v>0</v>
      </c>
      <c r="AC2463" t="s">
        <v>49</v>
      </c>
      <c r="AD2463">
        <v>0</v>
      </c>
      <c r="AE2463">
        <v>-1</v>
      </c>
      <c r="AF2463" t="s">
        <v>63</v>
      </c>
      <c r="AG2463" t="s">
        <v>118</v>
      </c>
    </row>
    <row r="2464" spans="1:33" x14ac:dyDescent="0.35">
      <c r="A2464" s="1">
        <v>44829.926388888889</v>
      </c>
      <c r="B2464">
        <v>646757</v>
      </c>
      <c r="C2464" t="s">
        <v>5178</v>
      </c>
      <c r="D2464" t="s">
        <v>53</v>
      </c>
      <c r="E2464" s="2">
        <v>39089</v>
      </c>
      <c r="F2464" t="str">
        <f>"9781400837458"</f>
        <v>9781400837458</v>
      </c>
      <c r="G2464" t="str">
        <f>"9780691129334"</f>
        <v>9780691129334</v>
      </c>
      <c r="H2464" t="s">
        <v>162</v>
      </c>
      <c r="I2464">
        <v>297.77</v>
      </c>
      <c r="J2464" t="s">
        <v>5179</v>
      </c>
      <c r="K2464" t="s">
        <v>44</v>
      </c>
      <c r="N2464" t="s">
        <v>45</v>
      </c>
      <c r="O2464" t="s">
        <v>46</v>
      </c>
      <c r="P2464" t="s">
        <v>45</v>
      </c>
      <c r="Q2464" t="s">
        <v>47</v>
      </c>
      <c r="R2464" t="s">
        <v>44</v>
      </c>
      <c r="S2464">
        <v>0</v>
      </c>
      <c r="W2464" s="3">
        <v>2.8506944444444442E-2</v>
      </c>
      <c r="X2464" t="s">
        <v>5180</v>
      </c>
      <c r="Y2464">
        <v>15</v>
      </c>
      <c r="Z2464">
        <v>0</v>
      </c>
      <c r="AA2464" t="s">
        <v>49</v>
      </c>
      <c r="AB2464">
        <v>0</v>
      </c>
      <c r="AC2464" t="s">
        <v>49</v>
      </c>
      <c r="AD2464">
        <v>0</v>
      </c>
      <c r="AE2464">
        <v>10442043</v>
      </c>
      <c r="AF2464" t="s">
        <v>63</v>
      </c>
      <c r="AG2464" t="s">
        <v>118</v>
      </c>
    </row>
    <row r="2465" spans="1:33" x14ac:dyDescent="0.35">
      <c r="A2465" s="1">
        <v>44829.924305555556</v>
      </c>
      <c r="B2465">
        <v>5612918</v>
      </c>
      <c r="C2465" t="s">
        <v>5138</v>
      </c>
      <c r="D2465" t="s">
        <v>59</v>
      </c>
      <c r="E2465" s="2">
        <v>43433</v>
      </c>
      <c r="F2465" t="str">
        <f>"9781119128649"</f>
        <v>9781119128649</v>
      </c>
      <c r="G2465" t="str">
        <f>"9781119128618"</f>
        <v>9781119128618</v>
      </c>
      <c r="H2465" t="s">
        <v>542</v>
      </c>
      <c r="I2465">
        <v>621.38224000000002</v>
      </c>
      <c r="J2465" t="s">
        <v>5139</v>
      </c>
      <c r="K2465" t="s">
        <v>44</v>
      </c>
      <c r="N2465" t="s">
        <v>45</v>
      </c>
      <c r="O2465" t="s">
        <v>46</v>
      </c>
      <c r="P2465" t="s">
        <v>45</v>
      </c>
      <c r="Q2465" t="s">
        <v>47</v>
      </c>
      <c r="R2465" t="s">
        <v>44</v>
      </c>
      <c r="S2465">
        <v>0</v>
      </c>
      <c r="W2465" s="3">
        <v>3.0393518518518518E-2</v>
      </c>
      <c r="X2465" t="s">
        <v>5181</v>
      </c>
      <c r="Y2465">
        <v>66</v>
      </c>
      <c r="Z2465">
        <v>0</v>
      </c>
      <c r="AA2465" t="s">
        <v>49</v>
      </c>
      <c r="AB2465">
        <v>0</v>
      </c>
      <c r="AC2465" t="s">
        <v>49</v>
      </c>
      <c r="AD2465">
        <v>0</v>
      </c>
      <c r="AE2465">
        <v>-1</v>
      </c>
      <c r="AF2465" t="s">
        <v>50</v>
      </c>
      <c r="AG2465" t="s">
        <v>5140</v>
      </c>
    </row>
    <row r="2466" spans="1:33" x14ac:dyDescent="0.35">
      <c r="A2466" s="1">
        <v>44829.918055555558</v>
      </c>
      <c r="B2466">
        <v>1407974</v>
      </c>
      <c r="C2466" t="s">
        <v>5182</v>
      </c>
      <c r="D2466" t="s">
        <v>76</v>
      </c>
      <c r="E2466" s="2">
        <v>41622</v>
      </c>
      <c r="F2466" t="str">
        <f>"9781466511569"</f>
        <v>9781466511569</v>
      </c>
      <c r="G2466" t="str">
        <f>"9781466511545"</f>
        <v>9781466511545</v>
      </c>
      <c r="H2466" t="s">
        <v>419</v>
      </c>
      <c r="I2466">
        <v>351.54910000000001</v>
      </c>
      <c r="J2466" t="s">
        <v>5183</v>
      </c>
      <c r="K2466" t="s">
        <v>44</v>
      </c>
      <c r="N2466" t="s">
        <v>45</v>
      </c>
      <c r="O2466" t="s">
        <v>46</v>
      </c>
      <c r="P2466" t="s">
        <v>45</v>
      </c>
      <c r="Q2466" t="s">
        <v>47</v>
      </c>
      <c r="R2466" t="s">
        <v>44</v>
      </c>
      <c r="S2466">
        <v>0</v>
      </c>
      <c r="W2466" s="3">
        <v>5.2083333333333333E-4</v>
      </c>
      <c r="X2466" t="s">
        <v>5184</v>
      </c>
      <c r="Y2466">
        <v>9</v>
      </c>
      <c r="Z2466">
        <v>0</v>
      </c>
      <c r="AA2466" t="s">
        <v>49</v>
      </c>
      <c r="AB2466">
        <v>0</v>
      </c>
      <c r="AC2466" t="s">
        <v>49</v>
      </c>
      <c r="AD2466">
        <v>0</v>
      </c>
      <c r="AE2466">
        <v>10811757</v>
      </c>
      <c r="AF2466" t="s">
        <v>50</v>
      </c>
      <c r="AG2466" t="s">
        <v>5040</v>
      </c>
    </row>
    <row r="2467" spans="1:33" x14ac:dyDescent="0.35">
      <c r="A2467" s="1">
        <v>44829.915277777778</v>
      </c>
      <c r="B2467">
        <v>5830059</v>
      </c>
      <c r="C2467" t="s">
        <v>5185</v>
      </c>
      <c r="D2467" t="s">
        <v>1922</v>
      </c>
      <c r="E2467" s="2">
        <v>43434</v>
      </c>
      <c r="F2467" t="str">
        <f>"9781786735232"</f>
        <v>9781786735232</v>
      </c>
      <c r="G2467" t="str">
        <f>"9781788311984"</f>
        <v>9781788311984</v>
      </c>
      <c r="H2467" t="s">
        <v>1939</v>
      </c>
      <c r="I2467">
        <v>305.42095490999998</v>
      </c>
      <c r="J2467" t="s">
        <v>5186</v>
      </c>
      <c r="K2467" t="s">
        <v>44</v>
      </c>
      <c r="N2467" t="s">
        <v>45</v>
      </c>
      <c r="O2467" t="s">
        <v>46</v>
      </c>
      <c r="P2467" t="s">
        <v>45</v>
      </c>
      <c r="Q2467" t="s">
        <v>47</v>
      </c>
      <c r="R2467" t="s">
        <v>44</v>
      </c>
      <c r="S2467">
        <v>0</v>
      </c>
      <c r="W2467" s="3">
        <v>4.7037037037037037E-2</v>
      </c>
      <c r="X2467" t="s">
        <v>5187</v>
      </c>
      <c r="Y2467">
        <v>20</v>
      </c>
      <c r="Z2467">
        <v>0</v>
      </c>
      <c r="AA2467" t="s">
        <v>49</v>
      </c>
      <c r="AB2467">
        <v>0</v>
      </c>
      <c r="AC2467" t="s">
        <v>49</v>
      </c>
      <c r="AD2467">
        <v>0</v>
      </c>
      <c r="AE2467">
        <v>-1</v>
      </c>
      <c r="AF2467" t="s">
        <v>50</v>
      </c>
      <c r="AG2467" t="s">
        <v>5040</v>
      </c>
    </row>
    <row r="2468" spans="1:33" x14ac:dyDescent="0.35">
      <c r="A2468" s="1">
        <v>44829.913194444445</v>
      </c>
      <c r="B2468">
        <v>6821605</v>
      </c>
      <c r="C2468" t="s">
        <v>5188</v>
      </c>
      <c r="D2468" t="s">
        <v>59</v>
      </c>
      <c r="E2468" s="2">
        <v>44558</v>
      </c>
      <c r="F2468" t="str">
        <f>"9783527830046"</f>
        <v>9783527830046</v>
      </c>
      <c r="G2468" t="str">
        <f>"9783527348589"</f>
        <v>9783527348589</v>
      </c>
      <c r="H2468" t="s">
        <v>542</v>
      </c>
      <c r="I2468">
        <v>621.31241999999997</v>
      </c>
      <c r="J2468" t="s">
        <v>5189</v>
      </c>
      <c r="K2468" t="s">
        <v>55</v>
      </c>
      <c r="Q2468" t="s">
        <v>47</v>
      </c>
      <c r="R2468" t="s">
        <v>44</v>
      </c>
      <c r="S2468">
        <v>0</v>
      </c>
      <c r="W2468" s="3">
        <v>4.0509259259259258E-4</v>
      </c>
      <c r="X2468" t="s">
        <v>5190</v>
      </c>
      <c r="Y2468">
        <v>8</v>
      </c>
      <c r="Z2468">
        <v>0</v>
      </c>
      <c r="AA2468" t="s">
        <v>49</v>
      </c>
      <c r="AB2468">
        <v>0</v>
      </c>
      <c r="AC2468" t="s">
        <v>49</v>
      </c>
      <c r="AD2468">
        <v>0</v>
      </c>
      <c r="AE2468">
        <v>-1</v>
      </c>
      <c r="AF2468" t="s">
        <v>50</v>
      </c>
      <c r="AG2468" t="s">
        <v>1355</v>
      </c>
    </row>
    <row r="2469" spans="1:33" x14ac:dyDescent="0.35">
      <c r="A2469" s="1">
        <v>44829.912499999999</v>
      </c>
      <c r="B2469">
        <v>5829217</v>
      </c>
      <c r="C2469" t="s">
        <v>626</v>
      </c>
      <c r="D2469" t="s">
        <v>627</v>
      </c>
      <c r="E2469" s="2">
        <v>43259</v>
      </c>
      <c r="F2469" t="str">
        <f>"9781496395139"</f>
        <v>9781496395139</v>
      </c>
      <c r="G2469" t="str">
        <f>"9781496335418"</f>
        <v>9781496335418</v>
      </c>
      <c r="H2469" t="s">
        <v>77</v>
      </c>
      <c r="I2469" t="s">
        <v>628</v>
      </c>
      <c r="J2469" t="s">
        <v>629</v>
      </c>
      <c r="K2469" t="s">
        <v>44</v>
      </c>
      <c r="N2469" t="s">
        <v>45</v>
      </c>
      <c r="O2469" t="s">
        <v>46</v>
      </c>
      <c r="P2469" t="s">
        <v>45</v>
      </c>
      <c r="Q2469" t="s">
        <v>47</v>
      </c>
      <c r="R2469" t="s">
        <v>44</v>
      </c>
      <c r="S2469">
        <v>0</v>
      </c>
      <c r="W2469" s="3">
        <v>2.9456018518518517E-2</v>
      </c>
      <c r="X2469" t="s">
        <v>5191</v>
      </c>
      <c r="Y2469">
        <v>33</v>
      </c>
      <c r="Z2469">
        <v>0</v>
      </c>
      <c r="AA2469" t="s">
        <v>49</v>
      </c>
      <c r="AB2469">
        <v>0</v>
      </c>
      <c r="AC2469" t="s">
        <v>49</v>
      </c>
      <c r="AD2469">
        <v>0</v>
      </c>
      <c r="AE2469">
        <v>-1</v>
      </c>
      <c r="AF2469" t="s">
        <v>50</v>
      </c>
      <c r="AG2469" t="s">
        <v>630</v>
      </c>
    </row>
    <row r="2470" spans="1:33" x14ac:dyDescent="0.35">
      <c r="A2470" s="1">
        <v>44829.911805555559</v>
      </c>
      <c r="B2470">
        <v>6177492</v>
      </c>
      <c r="C2470" t="s">
        <v>5192</v>
      </c>
      <c r="D2470" t="s">
        <v>59</v>
      </c>
      <c r="E2470" s="2">
        <v>43978</v>
      </c>
      <c r="F2470" t="str">
        <f>"9781119714736"</f>
        <v>9781119714736</v>
      </c>
      <c r="G2470" t="str">
        <f>"9781119661191"</f>
        <v>9781119661191</v>
      </c>
      <c r="H2470" t="s">
        <v>5193</v>
      </c>
      <c r="I2470">
        <v>621.31242399999996</v>
      </c>
      <c r="J2470" t="s">
        <v>5194</v>
      </c>
      <c r="K2470" t="s">
        <v>55</v>
      </c>
      <c r="N2470" t="s">
        <v>45</v>
      </c>
      <c r="O2470" t="s">
        <v>46</v>
      </c>
      <c r="P2470" t="s">
        <v>45</v>
      </c>
      <c r="Q2470" t="s">
        <v>47</v>
      </c>
      <c r="R2470" t="s">
        <v>44</v>
      </c>
      <c r="S2470">
        <v>0</v>
      </c>
      <c r="W2470" s="3">
        <v>7.6388888888888893E-4</v>
      </c>
      <c r="X2470" t="s">
        <v>5195</v>
      </c>
      <c r="Y2470">
        <v>8</v>
      </c>
      <c r="Z2470">
        <v>1</v>
      </c>
      <c r="AA2470" t="s">
        <v>1346</v>
      </c>
      <c r="AB2470">
        <v>4</v>
      </c>
      <c r="AC2470" t="s">
        <v>49</v>
      </c>
      <c r="AD2470">
        <v>0</v>
      </c>
      <c r="AE2470">
        <v>-1</v>
      </c>
      <c r="AF2470" t="s">
        <v>50</v>
      </c>
      <c r="AG2470" t="s">
        <v>1355</v>
      </c>
    </row>
    <row r="2471" spans="1:33" x14ac:dyDescent="0.35">
      <c r="A2471" s="1">
        <v>44829.900694444441</v>
      </c>
      <c r="B2471">
        <v>3411989</v>
      </c>
      <c r="C2471" t="s">
        <v>5196</v>
      </c>
      <c r="D2471" t="s">
        <v>5197</v>
      </c>
      <c r="E2471" s="2">
        <v>36861</v>
      </c>
      <c r="F2471" t="str">
        <f>"9780774852470"</f>
        <v>9780774852470</v>
      </c>
      <c r="G2471" t="str">
        <f>"9780774808019"</f>
        <v>9780774808019</v>
      </c>
      <c r="H2471" t="s">
        <v>419</v>
      </c>
      <c r="I2471">
        <v>321.8</v>
      </c>
      <c r="J2471" t="s">
        <v>5198</v>
      </c>
      <c r="K2471" t="s">
        <v>44</v>
      </c>
      <c r="N2471" t="s">
        <v>45</v>
      </c>
      <c r="O2471" t="s">
        <v>46</v>
      </c>
      <c r="P2471" t="s">
        <v>45</v>
      </c>
      <c r="Q2471" t="s">
        <v>47</v>
      </c>
      <c r="R2471" t="s">
        <v>44</v>
      </c>
      <c r="S2471">
        <v>0</v>
      </c>
      <c r="W2471" s="3">
        <v>6.5972222222222213E-4</v>
      </c>
      <c r="X2471" t="s">
        <v>5199</v>
      </c>
      <c r="Y2471">
        <v>10</v>
      </c>
      <c r="Z2471">
        <v>0</v>
      </c>
      <c r="AA2471" t="s">
        <v>49</v>
      </c>
      <c r="AB2471">
        <v>0</v>
      </c>
      <c r="AC2471" t="s">
        <v>49</v>
      </c>
      <c r="AD2471">
        <v>0</v>
      </c>
      <c r="AE2471">
        <v>10056000</v>
      </c>
      <c r="AF2471" t="s">
        <v>50</v>
      </c>
      <c r="AG2471" t="s">
        <v>5126</v>
      </c>
    </row>
    <row r="2472" spans="1:33" x14ac:dyDescent="0.35">
      <c r="A2472" s="1">
        <v>44829.898611111108</v>
      </c>
      <c r="B2472">
        <v>433497</v>
      </c>
      <c r="C2472" t="s">
        <v>5200</v>
      </c>
      <c r="D2472" t="s">
        <v>5201</v>
      </c>
      <c r="E2472" s="2">
        <v>39173</v>
      </c>
      <c r="F2472" t="str">
        <f>"9789812619280"</f>
        <v>9789812619280</v>
      </c>
      <c r="G2472" t="str">
        <f>"9789812612786"</f>
        <v>9789812612786</v>
      </c>
      <c r="H2472" t="s">
        <v>162</v>
      </c>
      <c r="I2472">
        <v>297</v>
      </c>
      <c r="J2472" t="s">
        <v>5202</v>
      </c>
      <c r="K2472" t="s">
        <v>44</v>
      </c>
      <c r="N2472" t="s">
        <v>45</v>
      </c>
      <c r="O2472" t="s">
        <v>46</v>
      </c>
      <c r="P2472" t="s">
        <v>45</v>
      </c>
      <c r="Q2472" t="s">
        <v>47</v>
      </c>
      <c r="R2472" t="s">
        <v>44</v>
      </c>
      <c r="S2472">
        <v>0</v>
      </c>
      <c r="W2472" s="3">
        <v>1.1342592592592591E-3</v>
      </c>
      <c r="X2472" t="s">
        <v>5203</v>
      </c>
      <c r="Y2472">
        <v>6</v>
      </c>
      <c r="Z2472">
        <v>0</v>
      </c>
      <c r="AA2472" t="s">
        <v>49</v>
      </c>
      <c r="AB2472">
        <v>0</v>
      </c>
      <c r="AC2472" t="s">
        <v>49</v>
      </c>
      <c r="AD2472">
        <v>0</v>
      </c>
      <c r="AE2472">
        <v>10515528</v>
      </c>
      <c r="AF2472" t="s">
        <v>50</v>
      </c>
      <c r="AG2472" t="s">
        <v>5126</v>
      </c>
    </row>
    <row r="2473" spans="1:33" x14ac:dyDescent="0.35">
      <c r="A2473" s="1">
        <v>44829.894444444442</v>
      </c>
      <c r="B2473">
        <v>5829217</v>
      </c>
      <c r="C2473" t="s">
        <v>626</v>
      </c>
      <c r="D2473" t="s">
        <v>627</v>
      </c>
      <c r="E2473" s="2">
        <v>43259</v>
      </c>
      <c r="F2473" t="str">
        <f>"9781496395139"</f>
        <v>9781496395139</v>
      </c>
      <c r="G2473" t="str">
        <f>"9781496335418"</f>
        <v>9781496335418</v>
      </c>
      <c r="H2473" t="s">
        <v>77</v>
      </c>
      <c r="I2473" t="s">
        <v>628</v>
      </c>
      <c r="J2473" t="s">
        <v>629</v>
      </c>
      <c r="K2473" t="s">
        <v>44</v>
      </c>
      <c r="N2473" t="s">
        <v>45</v>
      </c>
      <c r="O2473" t="s">
        <v>46</v>
      </c>
      <c r="P2473" t="s">
        <v>45</v>
      </c>
      <c r="Q2473" t="s">
        <v>47</v>
      </c>
      <c r="R2473" t="s">
        <v>44</v>
      </c>
      <c r="S2473">
        <v>0</v>
      </c>
      <c r="W2473" s="3">
        <v>4.6874999999999998E-3</v>
      </c>
      <c r="X2473" t="s">
        <v>5204</v>
      </c>
      <c r="Y2473">
        <v>19</v>
      </c>
      <c r="Z2473">
        <v>0</v>
      </c>
      <c r="AA2473" t="s">
        <v>49</v>
      </c>
      <c r="AB2473">
        <v>0</v>
      </c>
      <c r="AC2473" t="s">
        <v>49</v>
      </c>
      <c r="AD2473">
        <v>0</v>
      </c>
      <c r="AE2473">
        <v>-1</v>
      </c>
      <c r="AF2473" t="s">
        <v>50</v>
      </c>
      <c r="AG2473" t="s">
        <v>630</v>
      </c>
    </row>
    <row r="2474" spans="1:33" x14ac:dyDescent="0.35">
      <c r="A2474" s="1">
        <v>44829.864583333336</v>
      </c>
      <c r="B2474">
        <v>3060951</v>
      </c>
      <c r="C2474" t="s">
        <v>5205</v>
      </c>
      <c r="D2474" t="s">
        <v>76</v>
      </c>
      <c r="E2474" s="2">
        <v>40351</v>
      </c>
      <c r="F2474" t="str">
        <f>"9780203814109"</f>
        <v>9780203814109</v>
      </c>
      <c r="G2474" t="str">
        <f>"9780415483209"</f>
        <v>9780415483209</v>
      </c>
      <c r="H2474" t="s">
        <v>667</v>
      </c>
      <c r="I2474">
        <v>954.90420919999997</v>
      </c>
      <c r="J2474" t="s">
        <v>5206</v>
      </c>
      <c r="K2474" t="s">
        <v>44</v>
      </c>
      <c r="N2474" t="s">
        <v>45</v>
      </c>
      <c r="O2474" t="s">
        <v>46</v>
      </c>
      <c r="P2474" t="s">
        <v>45</v>
      </c>
      <c r="Q2474" t="s">
        <v>47</v>
      </c>
      <c r="R2474" t="s">
        <v>44</v>
      </c>
      <c r="S2474">
        <v>0</v>
      </c>
      <c r="W2474" s="3">
        <v>4.1203703703703706E-3</v>
      </c>
      <c r="X2474" t="s">
        <v>5207</v>
      </c>
      <c r="Y2474">
        <v>21</v>
      </c>
      <c r="Z2474">
        <v>0</v>
      </c>
      <c r="AA2474" t="s">
        <v>49</v>
      </c>
      <c r="AB2474">
        <v>0</v>
      </c>
      <c r="AC2474" t="s">
        <v>49</v>
      </c>
      <c r="AD2474">
        <v>0</v>
      </c>
      <c r="AE2474">
        <v>10542484</v>
      </c>
      <c r="AF2474" t="s">
        <v>50</v>
      </c>
      <c r="AG2474" t="s">
        <v>5040</v>
      </c>
    </row>
    <row r="2475" spans="1:33" x14ac:dyDescent="0.35">
      <c r="A2475" s="1">
        <v>44829.818749999999</v>
      </c>
      <c r="B2475">
        <v>293132</v>
      </c>
      <c r="C2475" t="s">
        <v>5208</v>
      </c>
      <c r="D2475" t="s">
        <v>59</v>
      </c>
      <c r="E2475" s="2">
        <v>38936</v>
      </c>
      <c r="F2475" t="str">
        <f>"9781405178488"</f>
        <v>9781405178488</v>
      </c>
      <c r="G2475" t="str">
        <f>"9781405121743"</f>
        <v>9781405121743</v>
      </c>
      <c r="H2475" t="s">
        <v>162</v>
      </c>
      <c r="I2475">
        <v>297.20904999999999</v>
      </c>
      <c r="J2475" t="s">
        <v>5209</v>
      </c>
      <c r="K2475" t="s">
        <v>44</v>
      </c>
      <c r="N2475" t="s">
        <v>45</v>
      </c>
      <c r="O2475" t="s">
        <v>46</v>
      </c>
      <c r="P2475" t="s">
        <v>45</v>
      </c>
      <c r="Q2475" t="s">
        <v>47</v>
      </c>
      <c r="R2475" t="s">
        <v>44</v>
      </c>
      <c r="S2475">
        <v>0</v>
      </c>
      <c r="W2475" s="3">
        <v>6.7129629629629625E-4</v>
      </c>
      <c r="X2475" t="s">
        <v>5210</v>
      </c>
      <c r="Y2475">
        <v>13</v>
      </c>
      <c r="Z2475">
        <v>0</v>
      </c>
      <c r="AA2475" t="s">
        <v>49</v>
      </c>
      <c r="AB2475">
        <v>0</v>
      </c>
      <c r="AC2475" t="s">
        <v>49</v>
      </c>
      <c r="AD2475">
        <v>0</v>
      </c>
      <c r="AE2475">
        <v>10171469</v>
      </c>
      <c r="AF2475" t="s">
        <v>50</v>
      </c>
      <c r="AG2475" t="s">
        <v>118</v>
      </c>
    </row>
    <row r="2476" spans="1:33" x14ac:dyDescent="0.35">
      <c r="A2476" s="1">
        <v>44829.818055555559</v>
      </c>
      <c r="B2476">
        <v>1407974</v>
      </c>
      <c r="C2476" t="s">
        <v>5182</v>
      </c>
      <c r="D2476" t="s">
        <v>76</v>
      </c>
      <c r="E2476" s="2">
        <v>41622</v>
      </c>
      <c r="F2476" t="str">
        <f>"9781466511569"</f>
        <v>9781466511569</v>
      </c>
      <c r="G2476" t="str">
        <f>"9781466511545"</f>
        <v>9781466511545</v>
      </c>
      <c r="H2476" t="s">
        <v>419</v>
      </c>
      <c r="I2476">
        <v>351.54910000000001</v>
      </c>
      <c r="J2476" t="s">
        <v>5183</v>
      </c>
      <c r="K2476" t="s">
        <v>44</v>
      </c>
      <c r="N2476" t="s">
        <v>45</v>
      </c>
      <c r="O2476" t="s">
        <v>46</v>
      </c>
      <c r="P2476" t="s">
        <v>45</v>
      </c>
      <c r="Q2476" t="s">
        <v>47</v>
      </c>
      <c r="R2476" t="s">
        <v>44</v>
      </c>
      <c r="S2476">
        <v>0</v>
      </c>
      <c r="W2476" s="3">
        <v>3.4722222222222222E-5</v>
      </c>
      <c r="X2476" t="s">
        <v>121</v>
      </c>
      <c r="Y2476">
        <v>1</v>
      </c>
      <c r="Z2476">
        <v>0</v>
      </c>
      <c r="AA2476" t="s">
        <v>49</v>
      </c>
      <c r="AB2476">
        <v>0</v>
      </c>
      <c r="AC2476" t="s">
        <v>49</v>
      </c>
      <c r="AD2476">
        <v>0</v>
      </c>
      <c r="AE2476">
        <v>10811757</v>
      </c>
      <c r="AF2476" t="s">
        <v>50</v>
      </c>
      <c r="AG2476" t="s">
        <v>5040</v>
      </c>
    </row>
    <row r="2477" spans="1:33" x14ac:dyDescent="0.35">
      <c r="A2477" s="1">
        <v>44829.813194444447</v>
      </c>
      <c r="B2477">
        <v>4462478</v>
      </c>
      <c r="C2477" t="s">
        <v>5211</v>
      </c>
      <c r="D2477" t="s">
        <v>507</v>
      </c>
      <c r="E2477" s="2">
        <v>41891</v>
      </c>
      <c r="F2477" t="str">
        <f>"9780748696826"</f>
        <v>9780748696826</v>
      </c>
      <c r="G2477" t="str">
        <f>"9780748696864"</f>
        <v>9780748696864</v>
      </c>
      <c r="H2477" t="s">
        <v>162</v>
      </c>
      <c r="I2477" t="s">
        <v>5212</v>
      </c>
      <c r="J2477" t="s">
        <v>5213</v>
      </c>
      <c r="K2477" t="s">
        <v>44</v>
      </c>
      <c r="N2477" t="s">
        <v>45</v>
      </c>
      <c r="O2477" t="s">
        <v>46</v>
      </c>
      <c r="P2477" t="s">
        <v>45</v>
      </c>
      <c r="Q2477" t="s">
        <v>47</v>
      </c>
      <c r="R2477" t="s">
        <v>44</v>
      </c>
      <c r="S2477">
        <v>0</v>
      </c>
      <c r="W2477" s="3">
        <v>1.6203703703703703E-4</v>
      </c>
      <c r="X2477" t="s">
        <v>5214</v>
      </c>
      <c r="Y2477">
        <v>3</v>
      </c>
      <c r="Z2477">
        <v>0</v>
      </c>
      <c r="AA2477" t="s">
        <v>49</v>
      </c>
      <c r="AB2477">
        <v>0</v>
      </c>
      <c r="AC2477" t="s">
        <v>49</v>
      </c>
      <c r="AD2477">
        <v>0</v>
      </c>
      <c r="AE2477">
        <v>11189891</v>
      </c>
      <c r="AF2477" t="s">
        <v>50</v>
      </c>
      <c r="AG2477" t="s">
        <v>118</v>
      </c>
    </row>
    <row r="2478" spans="1:33" x14ac:dyDescent="0.35">
      <c r="A2478" s="1">
        <v>44829.803472222222</v>
      </c>
      <c r="B2478">
        <v>6379843</v>
      </c>
      <c r="C2478" t="s">
        <v>5215</v>
      </c>
      <c r="D2478" t="s">
        <v>502</v>
      </c>
      <c r="E2478" s="2">
        <v>44126</v>
      </c>
      <c r="F2478" t="str">
        <f>"9781108534604"</f>
        <v>9781108534604</v>
      </c>
      <c r="G2478" t="str">
        <f>"9781108423472"</f>
        <v>9781108423472</v>
      </c>
      <c r="H2478" t="s">
        <v>5216</v>
      </c>
      <c r="I2478">
        <v>297.09620000000001</v>
      </c>
      <c r="J2478" t="s">
        <v>5217</v>
      </c>
      <c r="K2478" t="s">
        <v>55</v>
      </c>
      <c r="Q2478" t="s">
        <v>47</v>
      </c>
      <c r="R2478" t="s">
        <v>44</v>
      </c>
      <c r="S2478">
        <v>0</v>
      </c>
      <c r="W2478" s="3">
        <v>4.9074074074074072E-3</v>
      </c>
      <c r="X2478" t="s">
        <v>5218</v>
      </c>
      <c r="Y2478">
        <v>6</v>
      </c>
      <c r="Z2478">
        <v>0</v>
      </c>
      <c r="AA2478" t="s">
        <v>49</v>
      </c>
      <c r="AB2478">
        <v>0</v>
      </c>
      <c r="AC2478" t="s">
        <v>49</v>
      </c>
      <c r="AD2478">
        <v>0</v>
      </c>
      <c r="AE2478">
        <v>-1</v>
      </c>
      <c r="AF2478" t="s">
        <v>50</v>
      </c>
      <c r="AG2478" t="s">
        <v>5219</v>
      </c>
    </row>
    <row r="2479" spans="1:33" x14ac:dyDescent="0.35">
      <c r="A2479" s="1">
        <v>44829.801388888889</v>
      </c>
      <c r="B2479">
        <v>3030307</v>
      </c>
      <c r="C2479" t="s">
        <v>5220</v>
      </c>
      <c r="D2479" t="s">
        <v>53</v>
      </c>
      <c r="E2479" s="2">
        <v>35997</v>
      </c>
      <c r="F2479" t="str">
        <f>"9781400843916"</f>
        <v>9781400843916</v>
      </c>
      <c r="G2479" t="str">
        <f>"9780691016924"</f>
        <v>9780691016924</v>
      </c>
      <c r="H2479" t="s">
        <v>1046</v>
      </c>
      <c r="I2479" t="s">
        <v>5221</v>
      </c>
      <c r="J2479" t="s">
        <v>5222</v>
      </c>
      <c r="K2479" t="s">
        <v>44</v>
      </c>
      <c r="N2479" t="s">
        <v>45</v>
      </c>
      <c r="O2479" t="s">
        <v>46</v>
      </c>
      <c r="P2479" t="s">
        <v>45</v>
      </c>
      <c r="Q2479" t="s">
        <v>47</v>
      </c>
      <c r="R2479" t="s">
        <v>44</v>
      </c>
      <c r="S2479">
        <v>0</v>
      </c>
      <c r="W2479" s="3">
        <v>6.9444444444444444E-5</v>
      </c>
      <c r="X2479" t="s">
        <v>121</v>
      </c>
      <c r="Y2479">
        <v>1</v>
      </c>
      <c r="Z2479">
        <v>0</v>
      </c>
      <c r="AA2479" t="s">
        <v>49</v>
      </c>
      <c r="AB2479">
        <v>0</v>
      </c>
      <c r="AC2479" t="s">
        <v>49</v>
      </c>
      <c r="AD2479">
        <v>0</v>
      </c>
      <c r="AE2479">
        <v>10652018</v>
      </c>
      <c r="AF2479" t="s">
        <v>50</v>
      </c>
      <c r="AG2479" t="s">
        <v>118</v>
      </c>
    </row>
    <row r="2480" spans="1:33" x14ac:dyDescent="0.35">
      <c r="A2480" s="1">
        <v>44829.789583333331</v>
      </c>
      <c r="B2480">
        <v>744003</v>
      </c>
      <c r="C2480" t="s">
        <v>5223</v>
      </c>
      <c r="D2480" t="s">
        <v>132</v>
      </c>
      <c r="E2480" s="2">
        <v>40784</v>
      </c>
      <c r="F2480" t="str">
        <f>"9780804780704"</f>
        <v>9780804780704</v>
      </c>
      <c r="G2480" t="str">
        <f>"9780804775366"</f>
        <v>9780804775366</v>
      </c>
      <c r="H2480" t="s">
        <v>162</v>
      </c>
      <c r="I2480" t="s">
        <v>5224</v>
      </c>
      <c r="J2480" t="s">
        <v>5225</v>
      </c>
      <c r="K2480" t="s">
        <v>44</v>
      </c>
      <c r="N2480" t="s">
        <v>45</v>
      </c>
      <c r="O2480" t="s">
        <v>46</v>
      </c>
      <c r="P2480" t="s">
        <v>45</v>
      </c>
      <c r="Q2480" t="s">
        <v>47</v>
      </c>
      <c r="R2480" t="s">
        <v>44</v>
      </c>
      <c r="S2480">
        <v>0</v>
      </c>
      <c r="W2480" s="3">
        <v>1.1400462962962965E-2</v>
      </c>
      <c r="X2480" t="s">
        <v>5226</v>
      </c>
      <c r="Y2480">
        <v>12</v>
      </c>
      <c r="Z2480">
        <v>0</v>
      </c>
      <c r="AA2480" t="s">
        <v>49</v>
      </c>
      <c r="AB2480">
        <v>0</v>
      </c>
      <c r="AC2480" t="s">
        <v>49</v>
      </c>
      <c r="AD2480">
        <v>0</v>
      </c>
      <c r="AE2480">
        <v>10493937</v>
      </c>
      <c r="AF2480" t="s">
        <v>50</v>
      </c>
      <c r="AG2480" t="s">
        <v>118</v>
      </c>
    </row>
    <row r="2481" spans="1:33" x14ac:dyDescent="0.35">
      <c r="A2481" s="1">
        <v>44829.786805555559</v>
      </c>
      <c r="B2481">
        <v>310690</v>
      </c>
      <c r="C2481" t="s">
        <v>3233</v>
      </c>
      <c r="D2481" t="s">
        <v>2754</v>
      </c>
      <c r="E2481" s="2">
        <v>38412</v>
      </c>
      <c r="F2481" t="str">
        <f>"9780816696321"</f>
        <v>9780816696321</v>
      </c>
      <c r="G2481" t="str">
        <f>"9780816644100"</f>
        <v>9780816644100</v>
      </c>
      <c r="H2481" t="s">
        <v>3234</v>
      </c>
      <c r="I2481">
        <v>322.10956099999999</v>
      </c>
      <c r="J2481" t="s">
        <v>3235</v>
      </c>
      <c r="K2481" t="s">
        <v>44</v>
      </c>
      <c r="N2481" t="s">
        <v>45</v>
      </c>
      <c r="O2481" t="s">
        <v>46</v>
      </c>
      <c r="P2481" t="s">
        <v>45</v>
      </c>
      <c r="Q2481" t="s">
        <v>47</v>
      </c>
      <c r="R2481" t="s">
        <v>44</v>
      </c>
      <c r="S2481">
        <v>0</v>
      </c>
      <c r="W2481" s="3">
        <v>1.4849537037037036E-2</v>
      </c>
      <c r="X2481" t="s">
        <v>5227</v>
      </c>
      <c r="Y2481">
        <v>5</v>
      </c>
      <c r="Z2481">
        <v>0</v>
      </c>
      <c r="AA2481" t="s">
        <v>49</v>
      </c>
      <c r="AB2481">
        <v>0</v>
      </c>
      <c r="AC2481" t="s">
        <v>49</v>
      </c>
      <c r="AD2481">
        <v>0</v>
      </c>
      <c r="AE2481">
        <v>10151200</v>
      </c>
      <c r="AF2481" t="s">
        <v>50</v>
      </c>
      <c r="AG2481" t="s">
        <v>118</v>
      </c>
    </row>
    <row r="2482" spans="1:33" x14ac:dyDescent="0.35">
      <c r="A2482" s="1">
        <v>44829.775694444441</v>
      </c>
      <c r="B2482">
        <v>1407974</v>
      </c>
      <c r="C2482" t="s">
        <v>5182</v>
      </c>
      <c r="D2482" t="s">
        <v>76</v>
      </c>
      <c r="E2482" s="2">
        <v>41622</v>
      </c>
      <c r="F2482" t="str">
        <f>"9781466511569"</f>
        <v>9781466511569</v>
      </c>
      <c r="G2482" t="str">
        <f>"9781466511545"</f>
        <v>9781466511545</v>
      </c>
      <c r="H2482" t="s">
        <v>419</v>
      </c>
      <c r="I2482">
        <v>351.54910000000001</v>
      </c>
      <c r="J2482" t="s">
        <v>5183</v>
      </c>
      <c r="K2482" t="s">
        <v>44</v>
      </c>
      <c r="N2482" t="s">
        <v>45</v>
      </c>
      <c r="O2482" t="s">
        <v>46</v>
      </c>
      <c r="P2482" t="s">
        <v>45</v>
      </c>
      <c r="Q2482" t="s">
        <v>47</v>
      </c>
      <c r="R2482" t="s">
        <v>44</v>
      </c>
      <c r="S2482">
        <v>0</v>
      </c>
      <c r="W2482" s="3">
        <v>1.1111111111111111E-3</v>
      </c>
      <c r="X2482" t="s">
        <v>5228</v>
      </c>
      <c r="Y2482">
        <v>17</v>
      </c>
      <c r="Z2482">
        <v>0</v>
      </c>
      <c r="AA2482" t="s">
        <v>49</v>
      </c>
      <c r="AB2482">
        <v>0</v>
      </c>
      <c r="AC2482" t="s">
        <v>49</v>
      </c>
      <c r="AD2482">
        <v>0</v>
      </c>
      <c r="AE2482">
        <v>10811757</v>
      </c>
      <c r="AF2482" t="s">
        <v>50</v>
      </c>
      <c r="AG2482" t="s">
        <v>5040</v>
      </c>
    </row>
    <row r="2483" spans="1:33" x14ac:dyDescent="0.35">
      <c r="A2483" s="1">
        <v>44829.726388888892</v>
      </c>
      <c r="B2483">
        <v>3301849</v>
      </c>
      <c r="C2483" t="s">
        <v>5229</v>
      </c>
      <c r="D2483" t="s">
        <v>5230</v>
      </c>
      <c r="E2483" s="2">
        <v>40360</v>
      </c>
      <c r="F2483" t="str">
        <f>"9780817911461"</f>
        <v>9780817911461</v>
      </c>
      <c r="G2483" t="str">
        <f>"9780817911447"</f>
        <v>9780817911447</v>
      </c>
      <c r="H2483" t="s">
        <v>419</v>
      </c>
      <c r="I2483" t="s">
        <v>5231</v>
      </c>
      <c r="J2483" t="s">
        <v>5232</v>
      </c>
      <c r="K2483" t="s">
        <v>44</v>
      </c>
      <c r="N2483" t="s">
        <v>45</v>
      </c>
      <c r="O2483" t="s">
        <v>46</v>
      </c>
      <c r="P2483" t="s">
        <v>45</v>
      </c>
      <c r="Q2483" t="s">
        <v>47</v>
      </c>
      <c r="R2483" t="s">
        <v>44</v>
      </c>
      <c r="S2483">
        <v>0</v>
      </c>
      <c r="W2483" s="3">
        <v>1.2060185185185186E-2</v>
      </c>
      <c r="X2483" t="s">
        <v>5233</v>
      </c>
      <c r="Y2483">
        <v>28</v>
      </c>
      <c r="Z2483">
        <v>0</v>
      </c>
      <c r="AA2483" t="s">
        <v>49</v>
      </c>
      <c r="AB2483">
        <v>0</v>
      </c>
      <c r="AC2483" t="s">
        <v>49</v>
      </c>
      <c r="AD2483">
        <v>0</v>
      </c>
      <c r="AE2483">
        <v>10622902</v>
      </c>
      <c r="AF2483" t="s">
        <v>50</v>
      </c>
      <c r="AG2483" t="s">
        <v>118</v>
      </c>
    </row>
    <row r="2484" spans="1:33" x14ac:dyDescent="0.35">
      <c r="A2484" s="1">
        <v>44829.720138888886</v>
      </c>
      <c r="B2484">
        <v>3411989</v>
      </c>
      <c r="C2484" t="s">
        <v>5196</v>
      </c>
      <c r="D2484" t="s">
        <v>5197</v>
      </c>
      <c r="E2484" s="2">
        <v>36861</v>
      </c>
      <c r="F2484" t="str">
        <f>"9780774852470"</f>
        <v>9780774852470</v>
      </c>
      <c r="G2484" t="str">
        <f>"9780774808019"</f>
        <v>9780774808019</v>
      </c>
      <c r="H2484" t="s">
        <v>419</v>
      </c>
      <c r="I2484">
        <v>321.8</v>
      </c>
      <c r="J2484" t="s">
        <v>5198</v>
      </c>
      <c r="K2484" t="s">
        <v>44</v>
      </c>
      <c r="N2484" t="s">
        <v>45</v>
      </c>
      <c r="O2484" t="s">
        <v>46</v>
      </c>
      <c r="P2484" t="s">
        <v>45</v>
      </c>
      <c r="Q2484" t="s">
        <v>47</v>
      </c>
      <c r="R2484" t="s">
        <v>44</v>
      </c>
      <c r="S2484">
        <v>0</v>
      </c>
      <c r="W2484" s="3">
        <v>2.7037037037037037E-2</v>
      </c>
      <c r="X2484" t="s">
        <v>5234</v>
      </c>
      <c r="Y2484">
        <v>54</v>
      </c>
      <c r="Z2484">
        <v>0</v>
      </c>
      <c r="AA2484" t="s">
        <v>49</v>
      </c>
      <c r="AB2484">
        <v>0</v>
      </c>
      <c r="AC2484" t="s">
        <v>49</v>
      </c>
      <c r="AD2484">
        <v>0</v>
      </c>
      <c r="AE2484">
        <v>10056000</v>
      </c>
      <c r="AF2484" t="s">
        <v>50</v>
      </c>
      <c r="AG2484" t="s">
        <v>5126</v>
      </c>
    </row>
    <row r="2485" spans="1:33" x14ac:dyDescent="0.35">
      <c r="A2485" s="1">
        <v>44829.720138888886</v>
      </c>
      <c r="B2485">
        <v>1543757</v>
      </c>
      <c r="C2485" t="s">
        <v>5235</v>
      </c>
      <c r="D2485" t="s">
        <v>443</v>
      </c>
      <c r="E2485" s="2">
        <v>41615</v>
      </c>
      <c r="F2485" t="str">
        <f>"9780520957220"</f>
        <v>9780520957220</v>
      </c>
      <c r="G2485" t="str">
        <f>"9780520275010"</f>
        <v>9780520275010</v>
      </c>
      <c r="H2485" t="s">
        <v>1396</v>
      </c>
      <c r="I2485">
        <v>909.09767080999995</v>
      </c>
      <c r="J2485" t="s">
        <v>5236</v>
      </c>
      <c r="K2485" t="s">
        <v>44</v>
      </c>
      <c r="N2485" t="s">
        <v>45</v>
      </c>
      <c r="O2485" t="s">
        <v>46</v>
      </c>
      <c r="P2485" t="s">
        <v>177</v>
      </c>
      <c r="Q2485" t="s">
        <v>47</v>
      </c>
      <c r="R2485" t="s">
        <v>55</v>
      </c>
      <c r="S2485">
        <v>0</v>
      </c>
      <c r="W2485" s="3">
        <v>6.8287037037037025E-4</v>
      </c>
      <c r="X2485" t="s">
        <v>5237</v>
      </c>
      <c r="Y2485">
        <v>9</v>
      </c>
      <c r="Z2485">
        <v>0</v>
      </c>
      <c r="AA2485" t="s">
        <v>49</v>
      </c>
      <c r="AB2485">
        <v>0</v>
      </c>
      <c r="AC2485" t="s">
        <v>49</v>
      </c>
      <c r="AD2485">
        <v>0</v>
      </c>
      <c r="AE2485">
        <v>10797445</v>
      </c>
      <c r="AF2485" t="s">
        <v>63</v>
      </c>
      <c r="AG2485" t="s">
        <v>118</v>
      </c>
    </row>
    <row r="2486" spans="1:33" x14ac:dyDescent="0.35">
      <c r="A2486" s="1">
        <v>44829.714583333334</v>
      </c>
      <c r="B2486">
        <v>5165532</v>
      </c>
      <c r="C2486" t="s">
        <v>5238</v>
      </c>
      <c r="D2486" t="s">
        <v>125</v>
      </c>
      <c r="E2486" s="2">
        <v>42453</v>
      </c>
      <c r="F2486" t="str">
        <f>"9780191079177"</f>
        <v>9780191079177</v>
      </c>
      <c r="G2486" t="str">
        <f>"9780199697670"</f>
        <v>9780199697670</v>
      </c>
      <c r="H2486" t="s">
        <v>419</v>
      </c>
      <c r="I2486">
        <v>321.80937999999998</v>
      </c>
      <c r="J2486" t="s">
        <v>5239</v>
      </c>
      <c r="K2486" t="s">
        <v>44</v>
      </c>
      <c r="N2486" t="s">
        <v>45</v>
      </c>
      <c r="O2486" t="s">
        <v>46</v>
      </c>
      <c r="P2486" t="s">
        <v>45</v>
      </c>
      <c r="Q2486" t="s">
        <v>47</v>
      </c>
      <c r="R2486" t="s">
        <v>44</v>
      </c>
      <c r="S2486">
        <v>0</v>
      </c>
      <c r="W2486" s="3">
        <v>3.9814814814814817E-3</v>
      </c>
      <c r="X2486" t="s">
        <v>5240</v>
      </c>
      <c r="Y2486">
        <v>16</v>
      </c>
      <c r="Z2486">
        <v>0</v>
      </c>
      <c r="AA2486" t="s">
        <v>49</v>
      </c>
      <c r="AB2486">
        <v>0</v>
      </c>
      <c r="AC2486" t="s">
        <v>49</v>
      </c>
      <c r="AD2486">
        <v>0</v>
      </c>
      <c r="AE2486">
        <v>11505321</v>
      </c>
      <c r="AF2486" t="s">
        <v>50</v>
      </c>
      <c r="AG2486" t="s">
        <v>5126</v>
      </c>
    </row>
    <row r="2487" spans="1:33" x14ac:dyDescent="0.35">
      <c r="A2487" s="1">
        <v>44829.714583333334</v>
      </c>
      <c r="B2487">
        <v>908823</v>
      </c>
      <c r="C2487" t="s">
        <v>5241</v>
      </c>
      <c r="D2487" t="s">
        <v>666</v>
      </c>
      <c r="E2487" s="2">
        <v>40701</v>
      </c>
      <c r="F2487" t="str">
        <f>"9780231527460"</f>
        <v>9780231527460</v>
      </c>
      <c r="G2487" t="str">
        <f>"9780231150026"</f>
        <v>9780231150026</v>
      </c>
      <c r="H2487" t="s">
        <v>5242</v>
      </c>
      <c r="I2487">
        <v>297</v>
      </c>
      <c r="J2487" t="s">
        <v>5243</v>
      </c>
      <c r="K2487" t="s">
        <v>44</v>
      </c>
      <c r="N2487" t="s">
        <v>45</v>
      </c>
      <c r="O2487" t="s">
        <v>46</v>
      </c>
      <c r="P2487" t="s">
        <v>45</v>
      </c>
      <c r="Q2487" t="s">
        <v>47</v>
      </c>
      <c r="R2487" t="s">
        <v>44</v>
      </c>
      <c r="S2487">
        <v>0</v>
      </c>
      <c r="W2487" s="3">
        <v>2.8472222222222219E-3</v>
      </c>
      <c r="X2487" t="s">
        <v>5244</v>
      </c>
      <c r="Y2487">
        <v>13</v>
      </c>
      <c r="Z2487">
        <v>0</v>
      </c>
      <c r="AA2487" t="s">
        <v>49</v>
      </c>
      <c r="AB2487">
        <v>0</v>
      </c>
      <c r="AC2487" t="s">
        <v>49</v>
      </c>
      <c r="AD2487">
        <v>0</v>
      </c>
      <c r="AE2487">
        <v>10472006</v>
      </c>
      <c r="AF2487" t="s">
        <v>63</v>
      </c>
      <c r="AG2487" t="s">
        <v>118</v>
      </c>
    </row>
    <row r="2488" spans="1:33" x14ac:dyDescent="0.35">
      <c r="A2488" s="1">
        <v>44829.711805555555</v>
      </c>
      <c r="B2488">
        <v>3329115</v>
      </c>
      <c r="C2488" t="s">
        <v>5245</v>
      </c>
      <c r="D2488" t="s">
        <v>1486</v>
      </c>
      <c r="E2488" s="2">
        <v>40969</v>
      </c>
      <c r="F2488" t="str">
        <f>"9781626370777"</f>
        <v>9781626370777</v>
      </c>
      <c r="G2488" t="str">
        <f>"9781588268013"</f>
        <v>9781588268013</v>
      </c>
      <c r="H2488" t="s">
        <v>419</v>
      </c>
      <c r="I2488" t="s">
        <v>5246</v>
      </c>
      <c r="J2488" t="s">
        <v>5247</v>
      </c>
      <c r="K2488" t="s">
        <v>44</v>
      </c>
      <c r="N2488" t="s">
        <v>45</v>
      </c>
      <c r="O2488" t="s">
        <v>46</v>
      </c>
      <c r="P2488" t="s">
        <v>45</v>
      </c>
      <c r="Q2488" t="s">
        <v>47</v>
      </c>
      <c r="R2488" t="s">
        <v>44</v>
      </c>
      <c r="S2488">
        <v>0</v>
      </c>
      <c r="W2488" s="3">
        <v>1.0763888888888889E-3</v>
      </c>
      <c r="X2488" t="s">
        <v>5248</v>
      </c>
      <c r="Y2488">
        <v>7</v>
      </c>
      <c r="Z2488">
        <v>0</v>
      </c>
      <c r="AA2488" t="s">
        <v>49</v>
      </c>
      <c r="AB2488">
        <v>0</v>
      </c>
      <c r="AC2488" t="s">
        <v>49</v>
      </c>
      <c r="AD2488">
        <v>0</v>
      </c>
      <c r="AE2488">
        <v>10925639</v>
      </c>
      <c r="AF2488" t="s">
        <v>63</v>
      </c>
      <c r="AG2488" t="s">
        <v>118</v>
      </c>
    </row>
    <row r="2489" spans="1:33" x14ac:dyDescent="0.35">
      <c r="A2489" s="1">
        <v>44829.690972222219</v>
      </c>
      <c r="B2489">
        <v>5371683</v>
      </c>
      <c r="C2489" t="s">
        <v>5166</v>
      </c>
      <c r="D2489" t="s">
        <v>141</v>
      </c>
      <c r="E2489" s="2">
        <v>43214</v>
      </c>
      <c r="F2489" t="str">
        <f>"9781788830713"</f>
        <v>9781788830713</v>
      </c>
      <c r="G2489" t="str">
        <f>"9781788835725"</f>
        <v>9781788835725</v>
      </c>
      <c r="H2489" t="s">
        <v>106</v>
      </c>
      <c r="I2489">
        <v>6.31</v>
      </c>
      <c r="J2489" t="s">
        <v>5167</v>
      </c>
      <c r="K2489" t="s">
        <v>44</v>
      </c>
      <c r="N2489" t="s">
        <v>45</v>
      </c>
      <c r="O2489" t="s">
        <v>46</v>
      </c>
      <c r="P2489" t="s">
        <v>177</v>
      </c>
      <c r="Q2489" t="s">
        <v>47</v>
      </c>
      <c r="R2489" t="s">
        <v>55</v>
      </c>
      <c r="S2489">
        <v>0</v>
      </c>
      <c r="W2489" s="3">
        <v>1.8599537037037036E-2</v>
      </c>
      <c r="X2489" t="s">
        <v>5249</v>
      </c>
      <c r="Y2489">
        <v>67</v>
      </c>
      <c r="Z2489">
        <v>0</v>
      </c>
      <c r="AA2489" t="s">
        <v>49</v>
      </c>
      <c r="AB2489">
        <v>0</v>
      </c>
      <c r="AC2489" t="s">
        <v>49</v>
      </c>
      <c r="AD2489">
        <v>0</v>
      </c>
      <c r="AE2489">
        <v>11551888</v>
      </c>
      <c r="AF2489" t="s">
        <v>50</v>
      </c>
      <c r="AG2489" t="s">
        <v>5169</v>
      </c>
    </row>
    <row r="2490" spans="1:33" x14ac:dyDescent="0.35">
      <c r="A2490" s="1">
        <v>44829.688888888886</v>
      </c>
      <c r="B2490">
        <v>380687</v>
      </c>
      <c r="C2490" t="s">
        <v>5250</v>
      </c>
      <c r="D2490" t="s">
        <v>3134</v>
      </c>
      <c r="E2490" s="2">
        <v>38018</v>
      </c>
      <c r="F2490" t="str">
        <f>"9781781388457"</f>
        <v>9781781388457</v>
      </c>
      <c r="G2490" t="str">
        <f>"9780853238881"</f>
        <v>9780853238881</v>
      </c>
      <c r="H2490" t="s">
        <v>667</v>
      </c>
      <c r="I2490">
        <v>956.1</v>
      </c>
      <c r="K2490" t="s">
        <v>44</v>
      </c>
      <c r="N2490" t="s">
        <v>45</v>
      </c>
      <c r="O2490" t="s">
        <v>46</v>
      </c>
      <c r="P2490" t="s">
        <v>45</v>
      </c>
      <c r="Q2490" t="s">
        <v>47</v>
      </c>
      <c r="R2490" t="s">
        <v>44</v>
      </c>
      <c r="S2490">
        <v>0</v>
      </c>
      <c r="W2490" s="3">
        <v>2.3148148148148147E-5</v>
      </c>
      <c r="X2490" t="s">
        <v>121</v>
      </c>
      <c r="Y2490">
        <v>1</v>
      </c>
      <c r="Z2490">
        <v>0</v>
      </c>
      <c r="AA2490" t="s">
        <v>49</v>
      </c>
      <c r="AB2490">
        <v>0</v>
      </c>
      <c r="AC2490" t="s">
        <v>49</v>
      </c>
      <c r="AD2490">
        <v>0</v>
      </c>
      <c r="AE2490">
        <v>10369615</v>
      </c>
      <c r="AF2490" t="s">
        <v>63</v>
      </c>
      <c r="AG2490" t="s">
        <v>118</v>
      </c>
    </row>
    <row r="2491" spans="1:33" x14ac:dyDescent="0.35">
      <c r="A2491" s="1">
        <v>44829.688194444447</v>
      </c>
      <c r="B2491">
        <v>3407700</v>
      </c>
      <c r="C2491" t="s">
        <v>5251</v>
      </c>
      <c r="D2491" t="s">
        <v>645</v>
      </c>
      <c r="E2491" s="2">
        <v>38540</v>
      </c>
      <c r="F2491" t="str">
        <f>"9780791483169"</f>
        <v>9780791483169</v>
      </c>
      <c r="G2491" t="str">
        <f>"9780791464656"</f>
        <v>9780791464656</v>
      </c>
      <c r="H2491" t="s">
        <v>1046</v>
      </c>
      <c r="I2491" t="s">
        <v>5252</v>
      </c>
      <c r="J2491" t="s">
        <v>5253</v>
      </c>
      <c r="K2491" t="s">
        <v>44</v>
      </c>
      <c r="N2491" t="s">
        <v>45</v>
      </c>
      <c r="O2491" t="s">
        <v>46</v>
      </c>
      <c r="P2491" t="s">
        <v>45</v>
      </c>
      <c r="Q2491" t="s">
        <v>47</v>
      </c>
      <c r="R2491" t="s">
        <v>44</v>
      </c>
      <c r="S2491">
        <v>0</v>
      </c>
      <c r="W2491" s="3">
        <v>3.0092592592592595E-4</v>
      </c>
      <c r="X2491" t="s">
        <v>5254</v>
      </c>
      <c r="Y2491">
        <v>7</v>
      </c>
      <c r="Z2491">
        <v>0</v>
      </c>
      <c r="AA2491" t="s">
        <v>49</v>
      </c>
      <c r="AB2491">
        <v>0</v>
      </c>
      <c r="AC2491" t="s">
        <v>49</v>
      </c>
      <c r="AD2491">
        <v>0</v>
      </c>
      <c r="AE2491">
        <v>10579123</v>
      </c>
      <c r="AF2491" t="s">
        <v>63</v>
      </c>
      <c r="AG2491" t="s">
        <v>118</v>
      </c>
    </row>
    <row r="2492" spans="1:33" x14ac:dyDescent="0.35">
      <c r="A2492" s="1">
        <v>44829.678472222222</v>
      </c>
      <c r="B2492">
        <v>3329115</v>
      </c>
      <c r="C2492" t="s">
        <v>5245</v>
      </c>
      <c r="D2492" t="s">
        <v>1486</v>
      </c>
      <c r="E2492" s="2">
        <v>40969</v>
      </c>
      <c r="F2492" t="str">
        <f>"9781626370777"</f>
        <v>9781626370777</v>
      </c>
      <c r="G2492" t="str">
        <f>"9781588268013"</f>
        <v>9781588268013</v>
      </c>
      <c r="H2492" t="s">
        <v>419</v>
      </c>
      <c r="I2492" t="s">
        <v>5246</v>
      </c>
      <c r="J2492" t="s">
        <v>5247</v>
      </c>
      <c r="K2492" t="s">
        <v>44</v>
      </c>
      <c r="N2492" t="s">
        <v>45</v>
      </c>
      <c r="O2492" t="s">
        <v>46</v>
      </c>
      <c r="P2492" t="s">
        <v>45</v>
      </c>
      <c r="Q2492" t="s">
        <v>47</v>
      </c>
      <c r="R2492" t="s">
        <v>44</v>
      </c>
      <c r="S2492">
        <v>0</v>
      </c>
      <c r="W2492" s="3">
        <v>4.7453703703703704E-4</v>
      </c>
      <c r="X2492" t="s">
        <v>5255</v>
      </c>
      <c r="Y2492">
        <v>9</v>
      </c>
      <c r="Z2492">
        <v>0</v>
      </c>
      <c r="AA2492" t="s">
        <v>49</v>
      </c>
      <c r="AB2492">
        <v>0</v>
      </c>
      <c r="AC2492" t="s">
        <v>49</v>
      </c>
      <c r="AD2492">
        <v>0</v>
      </c>
      <c r="AE2492">
        <v>10925639</v>
      </c>
      <c r="AF2492" t="s">
        <v>63</v>
      </c>
      <c r="AG2492" t="s">
        <v>118</v>
      </c>
    </row>
    <row r="2493" spans="1:33" x14ac:dyDescent="0.35">
      <c r="A2493" s="1">
        <v>44829.677083333336</v>
      </c>
      <c r="B2493">
        <v>6351657</v>
      </c>
      <c r="C2493" t="s">
        <v>5256</v>
      </c>
      <c r="D2493" t="s">
        <v>76</v>
      </c>
      <c r="E2493" s="2">
        <v>44105</v>
      </c>
      <c r="F2493" t="str">
        <f>"9780429771705"</f>
        <v>9780429771705</v>
      </c>
      <c r="G2493" t="str">
        <f>"9781138366923"</f>
        <v>9781138366923</v>
      </c>
      <c r="H2493" t="s">
        <v>900</v>
      </c>
      <c r="I2493">
        <v>338.06400000000002</v>
      </c>
      <c r="J2493" t="s">
        <v>5257</v>
      </c>
      <c r="K2493" t="s">
        <v>55</v>
      </c>
      <c r="Q2493" t="s">
        <v>47</v>
      </c>
      <c r="R2493" t="s">
        <v>44</v>
      </c>
      <c r="S2493">
        <v>0</v>
      </c>
      <c r="W2493" s="3">
        <v>0</v>
      </c>
      <c r="X2493" t="s">
        <v>49</v>
      </c>
      <c r="Y2493">
        <v>0</v>
      </c>
      <c r="Z2493">
        <v>0</v>
      </c>
      <c r="AA2493" t="s">
        <v>49</v>
      </c>
      <c r="AB2493">
        <v>0</v>
      </c>
      <c r="AC2493" t="s">
        <v>49</v>
      </c>
      <c r="AD2493">
        <v>0</v>
      </c>
      <c r="AE2493">
        <v>-1</v>
      </c>
      <c r="AF2493" t="s">
        <v>63</v>
      </c>
      <c r="AG2493" t="s">
        <v>118</v>
      </c>
    </row>
    <row r="2494" spans="1:33" x14ac:dyDescent="0.35">
      <c r="A2494" s="1">
        <v>44829.675000000003</v>
      </c>
      <c r="B2494">
        <v>2095241</v>
      </c>
      <c r="C2494" t="s">
        <v>5258</v>
      </c>
      <c r="D2494" t="s">
        <v>424</v>
      </c>
      <c r="E2494" s="2">
        <v>41968</v>
      </c>
      <c r="F2494" t="str">
        <f>"9780810888883"</f>
        <v>9780810888883</v>
      </c>
      <c r="G2494" t="str">
        <f>"9780810888876"</f>
        <v>9780810888876</v>
      </c>
      <c r="H2494" t="s">
        <v>5259</v>
      </c>
      <c r="I2494">
        <v>909.81</v>
      </c>
      <c r="J2494" t="s">
        <v>5260</v>
      </c>
      <c r="K2494" t="s">
        <v>44</v>
      </c>
      <c r="N2494" t="s">
        <v>45</v>
      </c>
      <c r="O2494" t="s">
        <v>46</v>
      </c>
      <c r="P2494" t="s">
        <v>45</v>
      </c>
      <c r="Q2494" t="s">
        <v>47</v>
      </c>
      <c r="R2494" t="s">
        <v>44</v>
      </c>
      <c r="S2494">
        <v>0</v>
      </c>
      <c r="W2494" s="3">
        <v>1.7361111111111112E-4</v>
      </c>
      <c r="X2494" t="s">
        <v>3105</v>
      </c>
      <c r="Y2494">
        <v>3</v>
      </c>
      <c r="Z2494">
        <v>0</v>
      </c>
      <c r="AA2494" t="s">
        <v>49</v>
      </c>
      <c r="AB2494">
        <v>0</v>
      </c>
      <c r="AC2494" t="s">
        <v>49</v>
      </c>
      <c r="AD2494">
        <v>0</v>
      </c>
      <c r="AE2494">
        <v>11200402</v>
      </c>
      <c r="AF2494" t="s">
        <v>63</v>
      </c>
      <c r="AG2494" t="s">
        <v>118</v>
      </c>
    </row>
    <row r="2495" spans="1:33" x14ac:dyDescent="0.35">
      <c r="A2495" s="1">
        <v>44829.647222222222</v>
      </c>
      <c r="B2495">
        <v>6371935</v>
      </c>
      <c r="C2495" t="s">
        <v>5014</v>
      </c>
      <c r="D2495" t="s">
        <v>76</v>
      </c>
      <c r="E2495" s="2">
        <v>44152</v>
      </c>
      <c r="F2495" t="str">
        <f>"9781000227123"</f>
        <v>9781000227123</v>
      </c>
      <c r="G2495" t="str">
        <f>"9780367505158"</f>
        <v>9780367505158</v>
      </c>
      <c r="H2495" t="s">
        <v>133</v>
      </c>
      <c r="I2495">
        <v>338.09</v>
      </c>
      <c r="J2495" t="s">
        <v>5015</v>
      </c>
      <c r="K2495" t="s">
        <v>55</v>
      </c>
      <c r="Q2495" t="s">
        <v>47</v>
      </c>
      <c r="R2495" t="s">
        <v>44</v>
      </c>
      <c r="S2495">
        <v>0</v>
      </c>
      <c r="W2495" s="3">
        <v>1.0995370370370371E-2</v>
      </c>
      <c r="X2495" t="s">
        <v>5261</v>
      </c>
      <c r="Y2495">
        <v>14</v>
      </c>
      <c r="Z2495">
        <v>0</v>
      </c>
      <c r="AA2495" t="s">
        <v>49</v>
      </c>
      <c r="AB2495">
        <v>0</v>
      </c>
      <c r="AC2495" t="s">
        <v>49</v>
      </c>
      <c r="AD2495">
        <v>0</v>
      </c>
      <c r="AE2495">
        <v>-1</v>
      </c>
      <c r="AF2495" t="s">
        <v>63</v>
      </c>
      <c r="AG2495" t="s">
        <v>118</v>
      </c>
    </row>
    <row r="2496" spans="1:33" x14ac:dyDescent="0.35">
      <c r="A2496" s="1">
        <v>44829.631249999999</v>
      </c>
      <c r="B2496">
        <v>3036021</v>
      </c>
      <c r="C2496" t="s">
        <v>5262</v>
      </c>
      <c r="D2496" t="s">
        <v>1139</v>
      </c>
      <c r="E2496" s="2">
        <v>37621</v>
      </c>
      <c r="F2496" t="str">
        <f>"9780306480270"</f>
        <v>9780306480270</v>
      </c>
      <c r="G2496" t="str">
        <f>"9781402010637"</f>
        <v>9781402010637</v>
      </c>
      <c r="H2496" t="s">
        <v>233</v>
      </c>
      <c r="I2496">
        <v>629.41510000000005</v>
      </c>
      <c r="J2496" t="s">
        <v>1140</v>
      </c>
      <c r="K2496" t="s">
        <v>44</v>
      </c>
      <c r="N2496" t="s">
        <v>45</v>
      </c>
      <c r="O2496" t="s">
        <v>46</v>
      </c>
      <c r="P2496" t="s">
        <v>45</v>
      </c>
      <c r="Q2496" t="s">
        <v>47</v>
      </c>
      <c r="R2496" t="s">
        <v>44</v>
      </c>
      <c r="S2496">
        <v>0</v>
      </c>
      <c r="W2496" s="3">
        <v>1.0069444444444444E-3</v>
      </c>
      <c r="X2496" t="s">
        <v>5263</v>
      </c>
      <c r="Y2496">
        <v>7</v>
      </c>
      <c r="Z2496">
        <v>0</v>
      </c>
      <c r="AA2496" t="s">
        <v>49</v>
      </c>
      <c r="AB2496">
        <v>0</v>
      </c>
      <c r="AC2496" t="s">
        <v>49</v>
      </c>
      <c r="AD2496">
        <v>0</v>
      </c>
      <c r="AE2496">
        <v>10067531</v>
      </c>
      <c r="AF2496" t="s">
        <v>50</v>
      </c>
      <c r="AG2496" t="s">
        <v>118</v>
      </c>
    </row>
    <row r="2497" spans="1:33" x14ac:dyDescent="0.35">
      <c r="A2497" s="1">
        <v>44829.615277777775</v>
      </c>
      <c r="B2497">
        <v>380687</v>
      </c>
      <c r="C2497" t="s">
        <v>5250</v>
      </c>
      <c r="D2497" t="s">
        <v>3134</v>
      </c>
      <c r="E2497" s="2">
        <v>38018</v>
      </c>
      <c r="F2497" t="str">
        <f>"9781781388457"</f>
        <v>9781781388457</v>
      </c>
      <c r="G2497" t="str">
        <f>"9780853238881"</f>
        <v>9780853238881</v>
      </c>
      <c r="H2497" t="s">
        <v>667</v>
      </c>
      <c r="I2497">
        <v>956.1</v>
      </c>
      <c r="K2497" t="s">
        <v>44</v>
      </c>
      <c r="N2497" t="s">
        <v>45</v>
      </c>
      <c r="O2497" t="s">
        <v>46</v>
      </c>
      <c r="P2497" t="s">
        <v>45</v>
      </c>
      <c r="Q2497" t="s">
        <v>47</v>
      </c>
      <c r="R2497" t="s">
        <v>44</v>
      </c>
      <c r="S2497">
        <v>0</v>
      </c>
      <c r="W2497" s="3">
        <v>4.8796296296296303E-2</v>
      </c>
      <c r="X2497" t="s">
        <v>5264</v>
      </c>
      <c r="Y2497">
        <v>27</v>
      </c>
      <c r="Z2497">
        <v>0</v>
      </c>
      <c r="AA2497" t="s">
        <v>49</v>
      </c>
      <c r="AB2497">
        <v>0</v>
      </c>
      <c r="AC2497" t="s">
        <v>5265</v>
      </c>
      <c r="AD2497">
        <v>1</v>
      </c>
      <c r="AE2497">
        <v>10369615</v>
      </c>
      <c r="AF2497" t="s">
        <v>63</v>
      </c>
      <c r="AG2497" t="s">
        <v>118</v>
      </c>
    </row>
    <row r="2498" spans="1:33" x14ac:dyDescent="0.35">
      <c r="A2498" s="1">
        <v>44829.609722222223</v>
      </c>
      <c r="B2498">
        <v>3407700</v>
      </c>
      <c r="C2498" t="s">
        <v>5251</v>
      </c>
      <c r="D2498" t="s">
        <v>645</v>
      </c>
      <c r="E2498" s="2">
        <v>38540</v>
      </c>
      <c r="F2498" t="str">
        <f>"9780791483169"</f>
        <v>9780791483169</v>
      </c>
      <c r="G2498" t="str">
        <f>"9780791464656"</f>
        <v>9780791464656</v>
      </c>
      <c r="H2498" t="s">
        <v>1046</v>
      </c>
      <c r="I2498" t="s">
        <v>5252</v>
      </c>
      <c r="J2498" t="s">
        <v>5253</v>
      </c>
      <c r="K2498" t="s">
        <v>44</v>
      </c>
      <c r="N2498" t="s">
        <v>45</v>
      </c>
      <c r="O2498" t="s">
        <v>46</v>
      </c>
      <c r="P2498" t="s">
        <v>45</v>
      </c>
      <c r="Q2498" t="s">
        <v>47</v>
      </c>
      <c r="R2498" t="s">
        <v>44</v>
      </c>
      <c r="S2498">
        <v>0</v>
      </c>
      <c r="W2498" s="3">
        <v>2.1585648148148145E-2</v>
      </c>
      <c r="X2498" t="s">
        <v>5266</v>
      </c>
      <c r="Y2498">
        <v>15</v>
      </c>
      <c r="Z2498">
        <v>0</v>
      </c>
      <c r="AA2498" t="s">
        <v>49</v>
      </c>
      <c r="AB2498">
        <v>0</v>
      </c>
      <c r="AC2498" t="s">
        <v>5267</v>
      </c>
      <c r="AD2498">
        <v>2</v>
      </c>
      <c r="AE2498">
        <v>10579123</v>
      </c>
      <c r="AF2498" t="s">
        <v>63</v>
      </c>
      <c r="AG2498" t="s">
        <v>118</v>
      </c>
    </row>
    <row r="2499" spans="1:33" x14ac:dyDescent="0.35">
      <c r="A2499" s="1">
        <v>44829.609722222223</v>
      </c>
      <c r="B2499">
        <v>6690462</v>
      </c>
      <c r="C2499" t="s">
        <v>5268</v>
      </c>
      <c r="D2499" t="s">
        <v>502</v>
      </c>
      <c r="E2499" s="2">
        <v>43979</v>
      </c>
      <c r="F2499" t="str">
        <f>"9781108877800"</f>
        <v>9781108877800</v>
      </c>
      <c r="G2499" t="str">
        <f>"9781108836524"</f>
        <v>9781108836524</v>
      </c>
      <c r="H2499" t="s">
        <v>1046</v>
      </c>
      <c r="I2499">
        <v>305.48697099999998</v>
      </c>
      <c r="J2499" t="s">
        <v>5269</v>
      </c>
      <c r="K2499" t="s">
        <v>55</v>
      </c>
      <c r="Q2499" t="s">
        <v>47</v>
      </c>
      <c r="R2499" t="s">
        <v>44</v>
      </c>
      <c r="S2499">
        <v>0</v>
      </c>
      <c r="W2499" s="3">
        <v>5.6134259259259271E-3</v>
      </c>
      <c r="X2499" t="s">
        <v>320</v>
      </c>
      <c r="Y2499">
        <v>3</v>
      </c>
      <c r="Z2499">
        <v>0</v>
      </c>
      <c r="AA2499" t="s">
        <v>49</v>
      </c>
      <c r="AB2499">
        <v>0</v>
      </c>
      <c r="AC2499" t="s">
        <v>49</v>
      </c>
      <c r="AD2499">
        <v>0</v>
      </c>
      <c r="AE2499">
        <v>-1</v>
      </c>
      <c r="AF2499" t="s">
        <v>63</v>
      </c>
      <c r="AG2499" t="s">
        <v>118</v>
      </c>
    </row>
    <row r="2500" spans="1:33" x14ac:dyDescent="0.35">
      <c r="A2500" s="1">
        <v>44829.604166666664</v>
      </c>
      <c r="B2500">
        <v>6640011</v>
      </c>
      <c r="C2500" t="s">
        <v>5127</v>
      </c>
      <c r="D2500" t="s">
        <v>213</v>
      </c>
      <c r="E2500" s="2">
        <v>44365</v>
      </c>
      <c r="F2500" t="str">
        <f>"9780323901246"</f>
        <v>9780323901246</v>
      </c>
      <c r="G2500" t="str">
        <f>"9780323898638"</f>
        <v>9780323898638</v>
      </c>
      <c r="H2500" t="s">
        <v>233</v>
      </c>
      <c r="I2500">
        <v>629.4742</v>
      </c>
      <c r="J2500" t="s">
        <v>5128</v>
      </c>
      <c r="K2500" t="s">
        <v>55</v>
      </c>
      <c r="Q2500" t="s">
        <v>47</v>
      </c>
      <c r="R2500" t="s">
        <v>44</v>
      </c>
      <c r="S2500">
        <v>0</v>
      </c>
      <c r="W2500" s="3">
        <v>2.1527777777777778E-3</v>
      </c>
      <c r="X2500" t="s">
        <v>5270</v>
      </c>
      <c r="Y2500">
        <v>7</v>
      </c>
      <c r="Z2500">
        <v>0</v>
      </c>
      <c r="AA2500" t="s">
        <v>49</v>
      </c>
      <c r="AB2500">
        <v>0</v>
      </c>
      <c r="AC2500" t="s">
        <v>49</v>
      </c>
      <c r="AD2500">
        <v>0</v>
      </c>
      <c r="AE2500">
        <v>-1</v>
      </c>
      <c r="AF2500" t="s">
        <v>50</v>
      </c>
      <c r="AG2500" t="s">
        <v>118</v>
      </c>
    </row>
    <row r="2501" spans="1:33" x14ac:dyDescent="0.35">
      <c r="A2501" s="1">
        <v>44829.599999999999</v>
      </c>
      <c r="B2501">
        <v>536977</v>
      </c>
      <c r="C2501" t="s">
        <v>1900</v>
      </c>
      <c r="D2501" t="s">
        <v>507</v>
      </c>
      <c r="E2501" s="2">
        <v>40043</v>
      </c>
      <c r="F2501" t="str">
        <f>"9780748637942"</f>
        <v>9780748637942</v>
      </c>
      <c r="G2501" t="str">
        <f>"9780748637928"</f>
        <v>9780748637928</v>
      </c>
      <c r="H2501" t="s">
        <v>162</v>
      </c>
      <c r="I2501">
        <v>297</v>
      </c>
      <c r="J2501" t="s">
        <v>1901</v>
      </c>
      <c r="K2501" t="s">
        <v>44</v>
      </c>
      <c r="N2501" t="s">
        <v>45</v>
      </c>
      <c r="O2501" t="s">
        <v>46</v>
      </c>
      <c r="P2501" t="s">
        <v>45</v>
      </c>
      <c r="Q2501" t="s">
        <v>47</v>
      </c>
      <c r="R2501" t="s">
        <v>44</v>
      </c>
      <c r="S2501">
        <v>0</v>
      </c>
      <c r="W2501" s="3">
        <v>1.8055555555555557E-3</v>
      </c>
      <c r="X2501" t="s">
        <v>5271</v>
      </c>
      <c r="Y2501">
        <v>15</v>
      </c>
      <c r="Z2501">
        <v>0</v>
      </c>
      <c r="AA2501" t="s">
        <v>49</v>
      </c>
      <c r="AB2501">
        <v>0</v>
      </c>
      <c r="AC2501" t="s">
        <v>49</v>
      </c>
      <c r="AD2501">
        <v>0</v>
      </c>
      <c r="AE2501">
        <v>10391780</v>
      </c>
      <c r="AF2501" t="s">
        <v>50</v>
      </c>
      <c r="AG2501" t="s">
        <v>118</v>
      </c>
    </row>
    <row r="2502" spans="1:33" x14ac:dyDescent="0.35">
      <c r="A2502" s="1">
        <v>44829.542361111111</v>
      </c>
      <c r="B2502">
        <v>254249</v>
      </c>
      <c r="C2502" t="s">
        <v>5272</v>
      </c>
      <c r="D2502" t="s">
        <v>76</v>
      </c>
      <c r="E2502" s="2">
        <v>38491</v>
      </c>
      <c r="F2502" t="str">
        <f>"9780203086711"</f>
        <v>9780203086711</v>
      </c>
      <c r="G2502" t="str">
        <f>"9780415324953"</f>
        <v>9780415324953</v>
      </c>
      <c r="H2502" t="s">
        <v>498</v>
      </c>
      <c r="I2502">
        <v>103</v>
      </c>
      <c r="J2502" t="s">
        <v>5273</v>
      </c>
      <c r="K2502" t="s">
        <v>44</v>
      </c>
      <c r="N2502" t="s">
        <v>45</v>
      </c>
      <c r="O2502" t="s">
        <v>46</v>
      </c>
      <c r="P2502" t="s">
        <v>45</v>
      </c>
      <c r="Q2502" t="s">
        <v>47</v>
      </c>
      <c r="R2502" t="s">
        <v>44</v>
      </c>
      <c r="S2502">
        <v>0</v>
      </c>
      <c r="W2502" s="3">
        <v>1.2268518518518518E-3</v>
      </c>
      <c r="X2502" t="s">
        <v>5274</v>
      </c>
      <c r="Y2502">
        <v>9</v>
      </c>
      <c r="Z2502">
        <v>0</v>
      </c>
      <c r="AA2502" t="s">
        <v>49</v>
      </c>
      <c r="AB2502">
        <v>0</v>
      </c>
      <c r="AC2502" t="s">
        <v>49</v>
      </c>
      <c r="AD2502">
        <v>0</v>
      </c>
      <c r="AE2502">
        <v>10163010</v>
      </c>
      <c r="AF2502" t="s">
        <v>50</v>
      </c>
      <c r="AG2502" t="s">
        <v>118</v>
      </c>
    </row>
    <row r="2503" spans="1:33" x14ac:dyDescent="0.35">
      <c r="A2503" s="1">
        <v>44829.536805555559</v>
      </c>
      <c r="B2503">
        <v>6640011</v>
      </c>
      <c r="C2503" t="s">
        <v>5127</v>
      </c>
      <c r="D2503" t="s">
        <v>213</v>
      </c>
      <c r="E2503" s="2">
        <v>44365</v>
      </c>
      <c r="F2503" t="str">
        <f>"9780323901246"</f>
        <v>9780323901246</v>
      </c>
      <c r="G2503" t="str">
        <f>"9780323898638"</f>
        <v>9780323898638</v>
      </c>
      <c r="H2503" t="s">
        <v>233</v>
      </c>
      <c r="I2503">
        <v>629.4742</v>
      </c>
      <c r="J2503" t="s">
        <v>5128</v>
      </c>
      <c r="K2503" t="s">
        <v>55</v>
      </c>
      <c r="Q2503" t="s">
        <v>47</v>
      </c>
      <c r="R2503" t="s">
        <v>44</v>
      </c>
      <c r="S2503">
        <v>0</v>
      </c>
      <c r="W2503" s="3">
        <v>3.7500000000000003E-3</v>
      </c>
      <c r="X2503" t="s">
        <v>5275</v>
      </c>
      <c r="Y2503">
        <v>10</v>
      </c>
      <c r="Z2503">
        <v>0</v>
      </c>
      <c r="AA2503" t="s">
        <v>49</v>
      </c>
      <c r="AB2503">
        <v>0</v>
      </c>
      <c r="AC2503" t="s">
        <v>49</v>
      </c>
      <c r="AD2503">
        <v>0</v>
      </c>
      <c r="AE2503">
        <v>-1</v>
      </c>
      <c r="AF2503" t="s">
        <v>63</v>
      </c>
      <c r="AG2503" t="s">
        <v>118</v>
      </c>
    </row>
    <row r="2504" spans="1:33" x14ac:dyDescent="0.35">
      <c r="A2504" s="1">
        <v>44829.535416666666</v>
      </c>
      <c r="B2504">
        <v>1876331</v>
      </c>
      <c r="C2504" t="s">
        <v>418</v>
      </c>
      <c r="D2504" t="s">
        <v>53</v>
      </c>
      <c r="E2504" s="2">
        <v>42092</v>
      </c>
      <c r="F2504" t="str">
        <f>"9781400866427"</f>
        <v>9781400866427</v>
      </c>
      <c r="G2504" t="str">
        <f>"9780691164823"</f>
        <v>9780691164823</v>
      </c>
      <c r="H2504" t="s">
        <v>419</v>
      </c>
      <c r="I2504" t="s">
        <v>420</v>
      </c>
      <c r="J2504" t="s">
        <v>421</v>
      </c>
      <c r="K2504" t="s">
        <v>44</v>
      </c>
      <c r="N2504" t="s">
        <v>45</v>
      </c>
      <c r="O2504" t="s">
        <v>46</v>
      </c>
      <c r="P2504" t="s">
        <v>45</v>
      </c>
      <c r="Q2504" t="s">
        <v>47</v>
      </c>
      <c r="R2504" t="s">
        <v>44</v>
      </c>
      <c r="S2504">
        <v>0</v>
      </c>
      <c r="W2504" s="3">
        <v>3.8194444444444446E-4</v>
      </c>
      <c r="X2504" t="s">
        <v>5276</v>
      </c>
      <c r="Y2504">
        <v>8</v>
      </c>
      <c r="Z2504">
        <v>0</v>
      </c>
      <c r="AA2504" t="s">
        <v>49</v>
      </c>
      <c r="AB2504">
        <v>0</v>
      </c>
      <c r="AC2504" t="s">
        <v>49</v>
      </c>
      <c r="AD2504">
        <v>0</v>
      </c>
      <c r="AE2504">
        <v>11028404</v>
      </c>
      <c r="AF2504" t="s">
        <v>50</v>
      </c>
      <c r="AG2504" t="s">
        <v>118</v>
      </c>
    </row>
    <row r="2505" spans="1:33" x14ac:dyDescent="0.35">
      <c r="A2505" s="1">
        <v>44829.515277777777</v>
      </c>
      <c r="B2505">
        <v>431240</v>
      </c>
      <c r="C2505" t="s">
        <v>5277</v>
      </c>
      <c r="D2505" t="s">
        <v>125</v>
      </c>
      <c r="E2505" s="2">
        <v>36895</v>
      </c>
      <c r="F2505" t="str">
        <f>"9780195349900"</f>
        <v>9780195349900</v>
      </c>
      <c r="G2505" t="str">
        <f>"9780195139914"</f>
        <v>9780195139914</v>
      </c>
      <c r="H2505" t="s">
        <v>162</v>
      </c>
      <c r="I2505" t="s">
        <v>5278</v>
      </c>
      <c r="J2505" t="s">
        <v>5279</v>
      </c>
      <c r="K2505" t="s">
        <v>44</v>
      </c>
      <c r="N2505" t="s">
        <v>45</v>
      </c>
      <c r="O2505" t="s">
        <v>46</v>
      </c>
      <c r="P2505" t="s">
        <v>45</v>
      </c>
      <c r="Q2505" t="s">
        <v>47</v>
      </c>
      <c r="R2505" t="s">
        <v>44</v>
      </c>
      <c r="S2505">
        <v>0</v>
      </c>
      <c r="W2505" s="3">
        <v>1.832175925925926E-2</v>
      </c>
      <c r="X2505" t="s">
        <v>942</v>
      </c>
      <c r="Y2505">
        <v>5</v>
      </c>
      <c r="Z2505">
        <v>0</v>
      </c>
      <c r="AA2505" t="s">
        <v>49</v>
      </c>
      <c r="AB2505">
        <v>0</v>
      </c>
      <c r="AC2505" t="s">
        <v>49</v>
      </c>
      <c r="AD2505">
        <v>0</v>
      </c>
      <c r="AE2505">
        <v>10269139</v>
      </c>
      <c r="AF2505" t="s">
        <v>50</v>
      </c>
      <c r="AG2505" t="s">
        <v>118</v>
      </c>
    </row>
    <row r="2506" spans="1:33" x14ac:dyDescent="0.35">
      <c r="A2506" s="1">
        <v>44829.466666666667</v>
      </c>
      <c r="B2506">
        <v>6640011</v>
      </c>
      <c r="C2506" t="s">
        <v>5127</v>
      </c>
      <c r="D2506" t="s">
        <v>213</v>
      </c>
      <c r="E2506" s="2">
        <v>44365</v>
      </c>
      <c r="F2506" t="str">
        <f>"9780323901246"</f>
        <v>9780323901246</v>
      </c>
      <c r="G2506" t="str">
        <f>"9780323898638"</f>
        <v>9780323898638</v>
      </c>
      <c r="H2506" t="s">
        <v>233</v>
      </c>
      <c r="I2506">
        <v>629.4742</v>
      </c>
      <c r="J2506" t="s">
        <v>5128</v>
      </c>
      <c r="K2506" t="s">
        <v>55</v>
      </c>
      <c r="Q2506" t="s">
        <v>47</v>
      </c>
      <c r="R2506" t="s">
        <v>44</v>
      </c>
      <c r="S2506">
        <v>0</v>
      </c>
      <c r="W2506" s="3">
        <v>5.4398148148148144E-4</v>
      </c>
      <c r="X2506" t="s">
        <v>5280</v>
      </c>
      <c r="Y2506">
        <v>10</v>
      </c>
      <c r="Z2506">
        <v>0</v>
      </c>
      <c r="AA2506" t="s">
        <v>49</v>
      </c>
      <c r="AB2506">
        <v>0</v>
      </c>
      <c r="AC2506" t="s">
        <v>49</v>
      </c>
      <c r="AD2506">
        <v>0</v>
      </c>
      <c r="AE2506">
        <v>-1</v>
      </c>
      <c r="AF2506" t="s">
        <v>50</v>
      </c>
      <c r="AG2506" t="s">
        <v>5281</v>
      </c>
    </row>
    <row r="2507" spans="1:33" x14ac:dyDescent="0.35">
      <c r="A2507" s="1">
        <v>44829.465277777781</v>
      </c>
      <c r="B2507">
        <v>3111484</v>
      </c>
      <c r="C2507" t="s">
        <v>5282</v>
      </c>
      <c r="D2507" t="s">
        <v>738</v>
      </c>
      <c r="E2507" s="2">
        <v>22647</v>
      </c>
      <c r="F2507" t="str">
        <f>"9781600862632"</f>
        <v>9781600862632</v>
      </c>
      <c r="G2507" t="str">
        <f>"9781563478574"</f>
        <v>9781563478574</v>
      </c>
      <c r="H2507" t="s">
        <v>831</v>
      </c>
      <c r="J2507" t="s">
        <v>5283</v>
      </c>
      <c r="K2507" t="s">
        <v>44</v>
      </c>
      <c r="N2507" t="s">
        <v>45</v>
      </c>
      <c r="O2507" t="s">
        <v>46</v>
      </c>
      <c r="P2507" t="s">
        <v>45</v>
      </c>
      <c r="Q2507" t="s">
        <v>47</v>
      </c>
      <c r="R2507" t="s">
        <v>44</v>
      </c>
      <c r="S2507">
        <v>0</v>
      </c>
      <c r="W2507" s="3">
        <v>7.8703703703703705E-4</v>
      </c>
      <c r="X2507" t="s">
        <v>5284</v>
      </c>
      <c r="Y2507">
        <v>6</v>
      </c>
      <c r="Z2507">
        <v>0</v>
      </c>
      <c r="AA2507" t="s">
        <v>49</v>
      </c>
      <c r="AB2507">
        <v>0</v>
      </c>
      <c r="AC2507" t="s">
        <v>49</v>
      </c>
      <c r="AD2507">
        <v>0</v>
      </c>
      <c r="AE2507">
        <v>10516567</v>
      </c>
      <c r="AF2507" t="s">
        <v>50</v>
      </c>
      <c r="AG2507" t="s">
        <v>5281</v>
      </c>
    </row>
    <row r="2508" spans="1:33" x14ac:dyDescent="0.35">
      <c r="A2508" s="1">
        <v>44829.455555555556</v>
      </c>
      <c r="B2508">
        <v>4189569</v>
      </c>
      <c r="C2508" t="s">
        <v>5285</v>
      </c>
      <c r="D2508" t="s">
        <v>59</v>
      </c>
      <c r="E2508" s="2">
        <v>42408</v>
      </c>
      <c r="F2508" t="str">
        <f>"9781118957851"</f>
        <v>9781118957851</v>
      </c>
      <c r="G2508" t="str">
        <f>"9781118957875"</f>
        <v>9781118957875</v>
      </c>
      <c r="H2508" t="s">
        <v>1073</v>
      </c>
      <c r="I2508" t="s">
        <v>5286</v>
      </c>
      <c r="J2508" t="s">
        <v>5287</v>
      </c>
      <c r="K2508" t="s">
        <v>44</v>
      </c>
      <c r="N2508" t="s">
        <v>45</v>
      </c>
      <c r="O2508" t="s">
        <v>46</v>
      </c>
      <c r="P2508" t="s">
        <v>45</v>
      </c>
      <c r="Q2508" t="s">
        <v>47</v>
      </c>
      <c r="R2508" t="s">
        <v>44</v>
      </c>
      <c r="S2508">
        <v>0</v>
      </c>
      <c r="W2508" s="3">
        <v>0</v>
      </c>
      <c r="X2508" t="s">
        <v>49</v>
      </c>
      <c r="Y2508">
        <v>0</v>
      </c>
      <c r="Z2508">
        <v>0</v>
      </c>
      <c r="AA2508" t="s">
        <v>49</v>
      </c>
      <c r="AB2508">
        <v>0</v>
      </c>
      <c r="AC2508" t="s">
        <v>49</v>
      </c>
      <c r="AD2508">
        <v>0</v>
      </c>
      <c r="AE2508">
        <v>11129189</v>
      </c>
      <c r="AF2508" t="s">
        <v>50</v>
      </c>
      <c r="AG2508" t="s">
        <v>1309</v>
      </c>
    </row>
    <row r="2509" spans="1:33" x14ac:dyDescent="0.35">
      <c r="A2509" s="1">
        <v>44829.455555555556</v>
      </c>
      <c r="B2509">
        <v>431240</v>
      </c>
      <c r="C2509" t="s">
        <v>5277</v>
      </c>
      <c r="D2509" t="s">
        <v>125</v>
      </c>
      <c r="E2509" s="2">
        <v>36895</v>
      </c>
      <c r="F2509" t="str">
        <f>"9780195349900"</f>
        <v>9780195349900</v>
      </c>
      <c r="G2509" t="str">
        <f>"9780195139914"</f>
        <v>9780195139914</v>
      </c>
      <c r="H2509" t="s">
        <v>162</v>
      </c>
      <c r="I2509" t="s">
        <v>5278</v>
      </c>
      <c r="J2509" t="s">
        <v>5279</v>
      </c>
      <c r="K2509" t="s">
        <v>44</v>
      </c>
      <c r="N2509" t="s">
        <v>45</v>
      </c>
      <c r="O2509" t="s">
        <v>46</v>
      </c>
      <c r="P2509" t="s">
        <v>45</v>
      </c>
      <c r="Q2509" t="s">
        <v>47</v>
      </c>
      <c r="R2509" t="s">
        <v>44</v>
      </c>
      <c r="S2509">
        <v>0</v>
      </c>
      <c r="W2509" s="3">
        <v>6.030092592592593E-3</v>
      </c>
      <c r="X2509" t="s">
        <v>5288</v>
      </c>
      <c r="Y2509">
        <v>23</v>
      </c>
      <c r="Z2509">
        <v>0</v>
      </c>
      <c r="AA2509" t="s">
        <v>49</v>
      </c>
      <c r="AB2509">
        <v>0</v>
      </c>
      <c r="AC2509" t="s">
        <v>2333</v>
      </c>
      <c r="AD2509">
        <v>1</v>
      </c>
      <c r="AE2509">
        <v>10269139</v>
      </c>
      <c r="AF2509" t="s">
        <v>50</v>
      </c>
      <c r="AG2509" t="s">
        <v>118</v>
      </c>
    </row>
    <row r="2510" spans="1:33" x14ac:dyDescent="0.35">
      <c r="A2510" s="1">
        <v>44829.430555555555</v>
      </c>
      <c r="B2510">
        <v>1876331</v>
      </c>
      <c r="C2510" t="s">
        <v>418</v>
      </c>
      <c r="D2510" t="s">
        <v>53</v>
      </c>
      <c r="E2510" s="2">
        <v>42092</v>
      </c>
      <c r="F2510" t="str">
        <f>"9781400866427"</f>
        <v>9781400866427</v>
      </c>
      <c r="G2510" t="str">
        <f>"9780691164823"</f>
        <v>9780691164823</v>
      </c>
      <c r="H2510" t="s">
        <v>419</v>
      </c>
      <c r="I2510" t="s">
        <v>420</v>
      </c>
      <c r="J2510" t="s">
        <v>421</v>
      </c>
      <c r="K2510" t="s">
        <v>44</v>
      </c>
      <c r="N2510" t="s">
        <v>45</v>
      </c>
      <c r="O2510" t="s">
        <v>46</v>
      </c>
      <c r="P2510" t="s">
        <v>45</v>
      </c>
      <c r="Q2510" t="s">
        <v>47</v>
      </c>
      <c r="R2510" t="s">
        <v>44</v>
      </c>
      <c r="S2510">
        <v>0</v>
      </c>
      <c r="W2510" s="3">
        <v>1.744212962962963E-2</v>
      </c>
      <c r="X2510" t="s">
        <v>5289</v>
      </c>
      <c r="Y2510">
        <v>13</v>
      </c>
      <c r="Z2510">
        <v>0</v>
      </c>
      <c r="AA2510" t="s">
        <v>49</v>
      </c>
      <c r="AB2510">
        <v>0</v>
      </c>
      <c r="AC2510" t="s">
        <v>5290</v>
      </c>
      <c r="AD2510">
        <v>2</v>
      </c>
      <c r="AE2510">
        <v>11028404</v>
      </c>
      <c r="AF2510" t="s">
        <v>50</v>
      </c>
      <c r="AG2510" t="s">
        <v>118</v>
      </c>
    </row>
    <row r="2511" spans="1:33" x14ac:dyDescent="0.35">
      <c r="A2511" s="1">
        <v>44829.427777777775</v>
      </c>
      <c r="B2511">
        <v>6469852</v>
      </c>
      <c r="C2511" t="s">
        <v>5291</v>
      </c>
      <c r="D2511" t="s">
        <v>347</v>
      </c>
      <c r="E2511" s="2">
        <v>44271</v>
      </c>
      <c r="F2511" t="str">
        <f>"9780300258172"</f>
        <v>9780300258172</v>
      </c>
      <c r="G2511" t="str">
        <f>"9780300257311"</f>
        <v>9780300257311</v>
      </c>
      <c r="H2511" t="s">
        <v>1046</v>
      </c>
      <c r="I2511" t="s">
        <v>5292</v>
      </c>
      <c r="J2511" t="s">
        <v>5293</v>
      </c>
      <c r="K2511" t="s">
        <v>55</v>
      </c>
      <c r="Q2511" t="s">
        <v>47</v>
      </c>
      <c r="R2511" t="s">
        <v>44</v>
      </c>
      <c r="S2511">
        <v>0</v>
      </c>
      <c r="W2511" s="3">
        <v>4.155092592592593E-3</v>
      </c>
      <c r="X2511" t="s">
        <v>5294</v>
      </c>
      <c r="Y2511">
        <v>17</v>
      </c>
      <c r="Z2511">
        <v>0</v>
      </c>
      <c r="AA2511" t="s">
        <v>49</v>
      </c>
      <c r="AB2511">
        <v>0</v>
      </c>
      <c r="AC2511" t="s">
        <v>49</v>
      </c>
      <c r="AD2511">
        <v>0</v>
      </c>
      <c r="AE2511">
        <v>-1</v>
      </c>
      <c r="AF2511" t="s">
        <v>50</v>
      </c>
      <c r="AG2511" t="s">
        <v>1476</v>
      </c>
    </row>
    <row r="2512" spans="1:33" x14ac:dyDescent="0.35">
      <c r="A2512" s="1">
        <v>44829.42291666667</v>
      </c>
      <c r="B2512">
        <v>5371683</v>
      </c>
      <c r="C2512" t="s">
        <v>5166</v>
      </c>
      <c r="D2512" t="s">
        <v>141</v>
      </c>
      <c r="E2512" s="2">
        <v>43214</v>
      </c>
      <c r="F2512" t="str">
        <f>"9781788830713"</f>
        <v>9781788830713</v>
      </c>
      <c r="G2512" t="str">
        <f>"9781788835725"</f>
        <v>9781788835725</v>
      </c>
      <c r="H2512" t="s">
        <v>106</v>
      </c>
      <c r="I2512">
        <v>6.31</v>
      </c>
      <c r="J2512" t="s">
        <v>5167</v>
      </c>
      <c r="K2512" t="s">
        <v>44</v>
      </c>
      <c r="N2512" t="s">
        <v>45</v>
      </c>
      <c r="O2512" t="s">
        <v>46</v>
      </c>
      <c r="P2512" t="s">
        <v>177</v>
      </c>
      <c r="Q2512" t="s">
        <v>47</v>
      </c>
      <c r="R2512" t="s">
        <v>55</v>
      </c>
      <c r="S2512">
        <v>0</v>
      </c>
      <c r="W2512" s="3">
        <v>2.5046296296296299E-2</v>
      </c>
      <c r="X2512" t="s">
        <v>5295</v>
      </c>
      <c r="Y2512">
        <v>52</v>
      </c>
      <c r="Z2512">
        <v>0</v>
      </c>
      <c r="AA2512" t="s">
        <v>49</v>
      </c>
      <c r="AB2512">
        <v>0</v>
      </c>
      <c r="AC2512" t="s">
        <v>49</v>
      </c>
      <c r="AD2512">
        <v>0</v>
      </c>
      <c r="AE2512">
        <v>11551888</v>
      </c>
      <c r="AF2512" t="s">
        <v>50</v>
      </c>
      <c r="AG2512" t="s">
        <v>5169</v>
      </c>
    </row>
    <row r="2513" spans="1:33" x14ac:dyDescent="0.35">
      <c r="A2513" s="1">
        <v>44829.393055555556</v>
      </c>
      <c r="B2513">
        <v>6526734</v>
      </c>
      <c r="C2513" t="s">
        <v>1485</v>
      </c>
      <c r="D2513" t="s">
        <v>1486</v>
      </c>
      <c r="E2513" s="2">
        <v>41479</v>
      </c>
      <c r="F2513" t="str">
        <f>"9781626370586"</f>
        <v>9781626370586</v>
      </c>
      <c r="G2513" t="str">
        <f>"9781588269096"</f>
        <v>9781588269096</v>
      </c>
      <c r="H2513" t="s">
        <v>1046</v>
      </c>
      <c r="I2513">
        <v>305.42095599999999</v>
      </c>
      <c r="J2513" t="s">
        <v>1487</v>
      </c>
      <c r="K2513" t="s">
        <v>44</v>
      </c>
      <c r="N2513" t="s">
        <v>45</v>
      </c>
      <c r="O2513" t="s">
        <v>46</v>
      </c>
      <c r="P2513" t="s">
        <v>45</v>
      </c>
      <c r="Q2513" t="s">
        <v>47</v>
      </c>
      <c r="R2513" t="s">
        <v>44</v>
      </c>
      <c r="S2513">
        <v>0</v>
      </c>
      <c r="W2513" s="3">
        <v>2.0196759259259258E-2</v>
      </c>
      <c r="X2513" t="s">
        <v>5296</v>
      </c>
      <c r="Y2513">
        <v>28</v>
      </c>
      <c r="Z2513">
        <v>0</v>
      </c>
      <c r="AA2513" t="s">
        <v>49</v>
      </c>
      <c r="AB2513">
        <v>0</v>
      </c>
      <c r="AC2513" t="s">
        <v>49</v>
      </c>
      <c r="AD2513">
        <v>0</v>
      </c>
      <c r="AE2513">
        <v>-1</v>
      </c>
      <c r="AF2513" t="s">
        <v>50</v>
      </c>
      <c r="AG2513" t="s">
        <v>1476</v>
      </c>
    </row>
    <row r="2514" spans="1:33" x14ac:dyDescent="0.35">
      <c r="A2514" s="1">
        <v>44829.39166666667</v>
      </c>
      <c r="B2514">
        <v>1780931</v>
      </c>
      <c r="C2514" t="s">
        <v>1481</v>
      </c>
      <c r="D2514" t="s">
        <v>1482</v>
      </c>
      <c r="E2514" s="2">
        <v>41835</v>
      </c>
      <c r="F2514" t="str">
        <f>"9781558618565"</f>
        <v>9781558618565</v>
      </c>
      <c r="G2514" t="str">
        <f>"9781558618558"</f>
        <v>9781558618558</v>
      </c>
      <c r="H2514" t="s">
        <v>1046</v>
      </c>
      <c r="I2514">
        <v>305.48697091759198</v>
      </c>
      <c r="J2514" t="s">
        <v>1483</v>
      </c>
      <c r="K2514" t="s">
        <v>44</v>
      </c>
      <c r="N2514" t="s">
        <v>45</v>
      </c>
      <c r="O2514" t="s">
        <v>46</v>
      </c>
      <c r="P2514" t="s">
        <v>45</v>
      </c>
      <c r="Q2514" t="s">
        <v>47</v>
      </c>
      <c r="R2514" t="s">
        <v>44</v>
      </c>
      <c r="S2514">
        <v>0</v>
      </c>
      <c r="W2514" s="3">
        <v>2.8437500000000001E-2</v>
      </c>
      <c r="X2514" t="s">
        <v>5297</v>
      </c>
      <c r="Y2514">
        <v>32</v>
      </c>
      <c r="Z2514">
        <v>0</v>
      </c>
      <c r="AA2514" t="s">
        <v>49</v>
      </c>
      <c r="AB2514">
        <v>0</v>
      </c>
      <c r="AC2514" t="s">
        <v>49</v>
      </c>
      <c r="AD2514">
        <v>0</v>
      </c>
      <c r="AE2514">
        <v>10993187</v>
      </c>
      <c r="AF2514" t="s">
        <v>50</v>
      </c>
      <c r="AG2514" t="s">
        <v>1476</v>
      </c>
    </row>
    <row r="2515" spans="1:33" x14ac:dyDescent="0.35">
      <c r="A2515" s="1">
        <v>44829.39166666667</v>
      </c>
      <c r="B2515">
        <v>617176</v>
      </c>
      <c r="C2515" t="s">
        <v>1520</v>
      </c>
      <c r="D2515" t="s">
        <v>497</v>
      </c>
      <c r="E2515" s="2">
        <v>40542</v>
      </c>
      <c r="F2515" t="str">
        <f>"9781441136251"</f>
        <v>9781441136251</v>
      </c>
      <c r="G2515" t="str">
        <f>"9780826400871"</f>
        <v>9780826400871</v>
      </c>
      <c r="H2515" t="s">
        <v>1186</v>
      </c>
      <c r="I2515" t="s">
        <v>1521</v>
      </c>
      <c r="J2515" t="s">
        <v>1522</v>
      </c>
      <c r="K2515" t="s">
        <v>44</v>
      </c>
      <c r="N2515" t="s">
        <v>45</v>
      </c>
      <c r="O2515" t="s">
        <v>46</v>
      </c>
      <c r="P2515" t="s">
        <v>45</v>
      </c>
      <c r="Q2515" t="s">
        <v>47</v>
      </c>
      <c r="R2515" t="s">
        <v>44</v>
      </c>
      <c r="S2515">
        <v>0</v>
      </c>
      <c r="W2515" s="3">
        <v>6.134259259259259E-4</v>
      </c>
      <c r="X2515" t="s">
        <v>5298</v>
      </c>
      <c r="Y2515">
        <v>8</v>
      </c>
      <c r="Z2515">
        <v>0</v>
      </c>
      <c r="AA2515" t="s">
        <v>49</v>
      </c>
      <c r="AB2515">
        <v>0</v>
      </c>
      <c r="AC2515" t="s">
        <v>49</v>
      </c>
      <c r="AD2515">
        <v>0</v>
      </c>
      <c r="AE2515">
        <v>10432531</v>
      </c>
      <c r="AF2515" t="s">
        <v>50</v>
      </c>
      <c r="AG2515" t="s">
        <v>1476</v>
      </c>
    </row>
    <row r="2516" spans="1:33" x14ac:dyDescent="0.35">
      <c r="A2516" s="1">
        <v>44829.390972222223</v>
      </c>
      <c r="B2516">
        <v>4737322</v>
      </c>
      <c r="C2516" t="s">
        <v>1477</v>
      </c>
      <c r="D2516" t="s">
        <v>507</v>
      </c>
      <c r="E2516" s="2">
        <v>42247</v>
      </c>
      <c r="F2516" t="str">
        <f>"9780748632244"</f>
        <v>9780748632244</v>
      </c>
      <c r="G2516" t="str">
        <f>"9780748632763"</f>
        <v>9780748632763</v>
      </c>
      <c r="H2516" t="s">
        <v>667</v>
      </c>
      <c r="I2516" t="s">
        <v>1478</v>
      </c>
      <c r="J2516" t="s">
        <v>1479</v>
      </c>
      <c r="K2516" t="s">
        <v>44</v>
      </c>
      <c r="N2516" t="s">
        <v>45</v>
      </c>
      <c r="O2516" t="s">
        <v>46</v>
      </c>
      <c r="P2516" t="s">
        <v>45</v>
      </c>
      <c r="Q2516" t="s">
        <v>47</v>
      </c>
      <c r="R2516" t="s">
        <v>44</v>
      </c>
      <c r="S2516">
        <v>0</v>
      </c>
      <c r="W2516" s="3">
        <v>2.9305555555555557E-2</v>
      </c>
      <c r="X2516" t="s">
        <v>5299</v>
      </c>
      <c r="Y2516">
        <v>21</v>
      </c>
      <c r="Z2516">
        <v>0</v>
      </c>
      <c r="AA2516" t="s">
        <v>49</v>
      </c>
      <c r="AB2516">
        <v>0</v>
      </c>
      <c r="AC2516" t="s">
        <v>49</v>
      </c>
      <c r="AD2516">
        <v>0</v>
      </c>
      <c r="AE2516">
        <v>-1</v>
      </c>
      <c r="AF2516" t="s">
        <v>50</v>
      </c>
      <c r="AG2516" t="s">
        <v>1476</v>
      </c>
    </row>
    <row r="2517" spans="1:33" x14ac:dyDescent="0.35">
      <c r="A2517" s="1">
        <v>44829.390277777777</v>
      </c>
      <c r="B2517">
        <v>4396575</v>
      </c>
      <c r="C2517" t="s">
        <v>1474</v>
      </c>
      <c r="D2517" t="s">
        <v>645</v>
      </c>
      <c r="E2517" s="2">
        <v>42278</v>
      </c>
      <c r="F2517" t="str">
        <f>"9781438457765"</f>
        <v>9781438457765</v>
      </c>
      <c r="G2517" t="str">
        <f>"9781438457758"</f>
        <v>9781438457758</v>
      </c>
      <c r="H2517" t="s">
        <v>1046</v>
      </c>
      <c r="I2517" t="s">
        <v>1203</v>
      </c>
      <c r="K2517" t="s">
        <v>44</v>
      </c>
      <c r="N2517" t="s">
        <v>45</v>
      </c>
      <c r="O2517" t="s">
        <v>46</v>
      </c>
      <c r="P2517" t="s">
        <v>45</v>
      </c>
      <c r="Q2517" t="s">
        <v>47</v>
      </c>
      <c r="R2517" t="s">
        <v>44</v>
      </c>
      <c r="S2517">
        <v>0</v>
      </c>
      <c r="W2517" s="3">
        <v>1.25E-3</v>
      </c>
      <c r="X2517" t="s">
        <v>5300</v>
      </c>
      <c r="Y2517">
        <v>7</v>
      </c>
      <c r="Z2517">
        <v>0</v>
      </c>
      <c r="AA2517" t="s">
        <v>49</v>
      </c>
      <c r="AB2517">
        <v>0</v>
      </c>
      <c r="AC2517" t="s">
        <v>3422</v>
      </c>
      <c r="AD2517">
        <v>1</v>
      </c>
      <c r="AE2517">
        <v>11155580</v>
      </c>
      <c r="AF2517" t="s">
        <v>50</v>
      </c>
      <c r="AG2517" t="s">
        <v>1476</v>
      </c>
    </row>
    <row r="2518" spans="1:33" x14ac:dyDescent="0.35">
      <c r="A2518" s="1">
        <v>44829.348611111112</v>
      </c>
      <c r="B2518">
        <v>1744493</v>
      </c>
      <c r="C2518" t="s">
        <v>600</v>
      </c>
      <c r="D2518" t="s">
        <v>213</v>
      </c>
      <c r="E2518" s="2">
        <v>41837</v>
      </c>
      <c r="F2518" t="str">
        <f>"9780080982687"</f>
        <v>9780080982687</v>
      </c>
      <c r="G2518" t="str">
        <f>"9780080982328"</f>
        <v>9780080982328</v>
      </c>
      <c r="H2518" t="s">
        <v>100</v>
      </c>
      <c r="I2518">
        <v>620.19299999999998</v>
      </c>
      <c r="J2518" t="s">
        <v>601</v>
      </c>
      <c r="K2518" t="s">
        <v>44</v>
      </c>
      <c r="N2518" t="s">
        <v>45</v>
      </c>
      <c r="O2518" t="s">
        <v>46</v>
      </c>
      <c r="P2518" t="s">
        <v>45</v>
      </c>
      <c r="Q2518" t="s">
        <v>47</v>
      </c>
      <c r="R2518" t="s">
        <v>44</v>
      </c>
      <c r="S2518">
        <v>0</v>
      </c>
      <c r="W2518" s="3">
        <v>8.2175925925925917E-4</v>
      </c>
      <c r="X2518" t="s">
        <v>5301</v>
      </c>
      <c r="Y2518">
        <v>17</v>
      </c>
      <c r="Z2518">
        <v>0</v>
      </c>
      <c r="AA2518" t="s">
        <v>49</v>
      </c>
      <c r="AB2518">
        <v>0</v>
      </c>
      <c r="AC2518" t="s">
        <v>49</v>
      </c>
      <c r="AD2518">
        <v>0</v>
      </c>
      <c r="AE2518">
        <v>10896656</v>
      </c>
      <c r="AF2518" t="s">
        <v>50</v>
      </c>
      <c r="AG2518" t="s">
        <v>118</v>
      </c>
    </row>
    <row r="2519" spans="1:33" x14ac:dyDescent="0.35">
      <c r="A2519" s="1">
        <v>44829.347916666666</v>
      </c>
      <c r="B2519">
        <v>5981846</v>
      </c>
      <c r="C2519" t="s">
        <v>5302</v>
      </c>
      <c r="D2519" t="s">
        <v>537</v>
      </c>
      <c r="E2519" s="2">
        <v>43782</v>
      </c>
      <c r="F2519" t="str">
        <f>"9780429665516"</f>
        <v>9780429665516</v>
      </c>
      <c r="G2519" t="str">
        <f>"9789814800389"</f>
        <v>9789814800389</v>
      </c>
      <c r="H2519" t="s">
        <v>5303</v>
      </c>
      <c r="I2519">
        <v>546.68100000000004</v>
      </c>
      <c r="J2519" t="s">
        <v>5304</v>
      </c>
      <c r="K2519" t="s">
        <v>55</v>
      </c>
      <c r="Q2519" t="s">
        <v>47</v>
      </c>
      <c r="R2519" t="s">
        <v>44</v>
      </c>
      <c r="S2519">
        <v>0</v>
      </c>
      <c r="W2519" s="3">
        <v>4.9768518518518521E-4</v>
      </c>
      <c r="X2519" t="s">
        <v>5305</v>
      </c>
      <c r="Y2519">
        <v>5</v>
      </c>
      <c r="Z2519">
        <v>0</v>
      </c>
      <c r="AA2519" t="s">
        <v>49</v>
      </c>
      <c r="AB2519">
        <v>0</v>
      </c>
      <c r="AC2519" t="s">
        <v>49</v>
      </c>
      <c r="AD2519">
        <v>0</v>
      </c>
      <c r="AE2519">
        <v>-1</v>
      </c>
      <c r="AF2519" t="s">
        <v>50</v>
      </c>
      <c r="AG2519" t="s">
        <v>118</v>
      </c>
    </row>
    <row r="2520" spans="1:33" x14ac:dyDescent="0.35">
      <c r="A2520" s="1">
        <v>44829.219444444447</v>
      </c>
      <c r="B2520">
        <v>1876331</v>
      </c>
      <c r="C2520" t="s">
        <v>418</v>
      </c>
      <c r="D2520" t="s">
        <v>53</v>
      </c>
      <c r="E2520" s="2">
        <v>42092</v>
      </c>
      <c r="F2520" t="str">
        <f>"9781400866427"</f>
        <v>9781400866427</v>
      </c>
      <c r="G2520" t="str">
        <f>"9780691164823"</f>
        <v>9780691164823</v>
      </c>
      <c r="H2520" t="s">
        <v>419</v>
      </c>
      <c r="I2520" t="s">
        <v>420</v>
      </c>
      <c r="J2520" t="s">
        <v>421</v>
      </c>
      <c r="K2520" t="s">
        <v>44</v>
      </c>
      <c r="N2520" t="s">
        <v>45</v>
      </c>
      <c r="O2520" t="s">
        <v>46</v>
      </c>
      <c r="P2520" t="s">
        <v>45</v>
      </c>
      <c r="Q2520" t="s">
        <v>47</v>
      </c>
      <c r="R2520" t="s">
        <v>44</v>
      </c>
      <c r="S2520">
        <v>0</v>
      </c>
      <c r="W2520" s="3">
        <v>1.1215277777777777E-2</v>
      </c>
      <c r="X2520" t="s">
        <v>5306</v>
      </c>
      <c r="Y2520">
        <v>21</v>
      </c>
      <c r="Z2520">
        <v>0</v>
      </c>
      <c r="AA2520" t="s">
        <v>49</v>
      </c>
      <c r="AB2520">
        <v>0</v>
      </c>
      <c r="AC2520" t="s">
        <v>49</v>
      </c>
      <c r="AD2520">
        <v>0</v>
      </c>
      <c r="AE2520">
        <v>11028404</v>
      </c>
      <c r="AF2520" t="s">
        <v>50</v>
      </c>
      <c r="AG2520" t="s">
        <v>118</v>
      </c>
    </row>
    <row r="2521" spans="1:33" x14ac:dyDescent="0.35">
      <c r="A2521" s="1">
        <v>44829.197916666664</v>
      </c>
      <c r="B2521">
        <v>279494</v>
      </c>
      <c r="C2521" t="s">
        <v>1333</v>
      </c>
      <c r="D2521" t="s">
        <v>125</v>
      </c>
      <c r="E2521" s="2">
        <v>37280</v>
      </c>
      <c r="F2521" t="str">
        <f>"9780198032953"</f>
        <v>9780198032953</v>
      </c>
      <c r="G2521" t="str">
        <f>"9780195144208"</f>
        <v>9780195144208</v>
      </c>
      <c r="H2521" t="s">
        <v>667</v>
      </c>
      <c r="I2521" t="s">
        <v>1334</v>
      </c>
      <c r="J2521" t="s">
        <v>1335</v>
      </c>
      <c r="K2521" t="s">
        <v>44</v>
      </c>
      <c r="N2521" t="s">
        <v>45</v>
      </c>
      <c r="O2521" t="s">
        <v>46</v>
      </c>
      <c r="P2521" t="s">
        <v>45</v>
      </c>
      <c r="Q2521" t="s">
        <v>47</v>
      </c>
      <c r="R2521" t="s">
        <v>44</v>
      </c>
      <c r="S2521">
        <v>0</v>
      </c>
      <c r="W2521" s="3">
        <v>2.5231481481481481E-3</v>
      </c>
      <c r="X2521" t="s">
        <v>5307</v>
      </c>
      <c r="Y2521">
        <v>13</v>
      </c>
      <c r="Z2521">
        <v>0</v>
      </c>
      <c r="AA2521" t="s">
        <v>49</v>
      </c>
      <c r="AB2521">
        <v>0</v>
      </c>
      <c r="AC2521" t="s">
        <v>49</v>
      </c>
      <c r="AD2521">
        <v>0</v>
      </c>
      <c r="AE2521">
        <v>11303309</v>
      </c>
      <c r="AF2521" t="s">
        <v>50</v>
      </c>
      <c r="AG2521" t="s">
        <v>118</v>
      </c>
    </row>
    <row r="2522" spans="1:33" x14ac:dyDescent="0.35">
      <c r="A2522" s="1">
        <v>44829.131249999999</v>
      </c>
      <c r="B2522">
        <v>536977</v>
      </c>
      <c r="C2522" t="s">
        <v>1900</v>
      </c>
      <c r="D2522" t="s">
        <v>507</v>
      </c>
      <c r="E2522" s="2">
        <v>40043</v>
      </c>
      <c r="F2522" t="str">
        <f>"9780748637942"</f>
        <v>9780748637942</v>
      </c>
      <c r="G2522" t="str">
        <f>"9780748637928"</f>
        <v>9780748637928</v>
      </c>
      <c r="H2522" t="s">
        <v>162</v>
      </c>
      <c r="I2522">
        <v>297</v>
      </c>
      <c r="J2522" t="s">
        <v>1901</v>
      </c>
      <c r="K2522" t="s">
        <v>44</v>
      </c>
      <c r="N2522" t="s">
        <v>45</v>
      </c>
      <c r="O2522" t="s">
        <v>46</v>
      </c>
      <c r="P2522" t="s">
        <v>45</v>
      </c>
      <c r="Q2522" t="s">
        <v>47</v>
      </c>
      <c r="R2522" t="s">
        <v>44</v>
      </c>
      <c r="S2522">
        <v>0</v>
      </c>
      <c r="W2522" s="3">
        <v>4.7569444444444447E-3</v>
      </c>
      <c r="X2522" t="s">
        <v>5308</v>
      </c>
      <c r="Y2522">
        <v>26</v>
      </c>
      <c r="Z2522">
        <v>0</v>
      </c>
      <c r="AA2522" t="s">
        <v>49</v>
      </c>
      <c r="AB2522">
        <v>0</v>
      </c>
      <c r="AC2522" t="s">
        <v>49</v>
      </c>
      <c r="AD2522">
        <v>0</v>
      </c>
      <c r="AE2522">
        <v>10391780</v>
      </c>
      <c r="AF2522" t="s">
        <v>50</v>
      </c>
      <c r="AG2522" t="s">
        <v>118</v>
      </c>
    </row>
    <row r="2523" spans="1:33" x14ac:dyDescent="0.35">
      <c r="A2523" s="1">
        <v>44829.109027777777</v>
      </c>
      <c r="B2523">
        <v>1433566</v>
      </c>
      <c r="C2523" t="s">
        <v>5309</v>
      </c>
      <c r="D2523" t="s">
        <v>76</v>
      </c>
      <c r="E2523" s="2">
        <v>38212</v>
      </c>
      <c r="F2523" t="str">
        <f>"9781136005749"</f>
        <v>9781136005749</v>
      </c>
      <c r="G2523" t="str">
        <f>"9780415348553"</f>
        <v>9780415348553</v>
      </c>
      <c r="H2523" t="s">
        <v>162</v>
      </c>
      <c r="I2523" t="s">
        <v>5310</v>
      </c>
      <c r="J2523" t="s">
        <v>5311</v>
      </c>
      <c r="K2523" t="s">
        <v>44</v>
      </c>
      <c r="N2523" t="s">
        <v>45</v>
      </c>
      <c r="O2523" t="s">
        <v>46</v>
      </c>
      <c r="P2523" t="s">
        <v>45</v>
      </c>
      <c r="Q2523" t="s">
        <v>47</v>
      </c>
      <c r="R2523" t="s">
        <v>44</v>
      </c>
      <c r="S2523">
        <v>0</v>
      </c>
      <c r="W2523" s="3">
        <v>6.018518518518519E-4</v>
      </c>
      <c r="X2523" t="s">
        <v>5312</v>
      </c>
      <c r="Y2523">
        <v>9</v>
      </c>
      <c r="Z2523">
        <v>0</v>
      </c>
      <c r="AA2523" t="s">
        <v>49</v>
      </c>
      <c r="AB2523">
        <v>0</v>
      </c>
      <c r="AC2523" t="s">
        <v>49</v>
      </c>
      <c r="AD2523">
        <v>0</v>
      </c>
      <c r="AE2523">
        <v>10688175</v>
      </c>
      <c r="AF2523" t="s">
        <v>50</v>
      </c>
      <c r="AG2523" t="s">
        <v>118</v>
      </c>
    </row>
    <row r="2524" spans="1:33" x14ac:dyDescent="0.35">
      <c r="A2524" s="1">
        <v>44829.103472222225</v>
      </c>
      <c r="B2524">
        <v>5829217</v>
      </c>
      <c r="C2524" t="s">
        <v>626</v>
      </c>
      <c r="D2524" t="s">
        <v>627</v>
      </c>
      <c r="E2524" s="2">
        <v>43259</v>
      </c>
      <c r="F2524" t="str">
        <f>"9781496395139"</f>
        <v>9781496395139</v>
      </c>
      <c r="G2524" t="str">
        <f>"9781496335418"</f>
        <v>9781496335418</v>
      </c>
      <c r="H2524" t="s">
        <v>77</v>
      </c>
      <c r="I2524" t="s">
        <v>628</v>
      </c>
      <c r="J2524" t="s">
        <v>629</v>
      </c>
      <c r="K2524" t="s">
        <v>44</v>
      </c>
      <c r="N2524" t="s">
        <v>45</v>
      </c>
      <c r="O2524" t="s">
        <v>46</v>
      </c>
      <c r="P2524" t="s">
        <v>45</v>
      </c>
      <c r="Q2524" t="s">
        <v>47</v>
      </c>
      <c r="R2524" t="s">
        <v>44</v>
      </c>
      <c r="S2524">
        <v>0</v>
      </c>
      <c r="W2524" s="3">
        <v>1.4583333333333334E-3</v>
      </c>
      <c r="X2524" t="s">
        <v>5313</v>
      </c>
      <c r="Y2524">
        <v>2</v>
      </c>
      <c r="Z2524">
        <v>0</v>
      </c>
      <c r="AA2524" t="s">
        <v>49</v>
      </c>
      <c r="AB2524">
        <v>0</v>
      </c>
      <c r="AC2524" t="s">
        <v>49</v>
      </c>
      <c r="AD2524">
        <v>0</v>
      </c>
      <c r="AE2524">
        <v>-1</v>
      </c>
      <c r="AF2524" t="s">
        <v>50</v>
      </c>
      <c r="AG2524" t="s">
        <v>630</v>
      </c>
    </row>
    <row r="2525" spans="1:33" x14ac:dyDescent="0.35">
      <c r="A2525" s="1">
        <v>44829.09652777778</v>
      </c>
      <c r="B2525">
        <v>5495893</v>
      </c>
      <c r="C2525" t="s">
        <v>5156</v>
      </c>
      <c r="D2525" t="s">
        <v>76</v>
      </c>
      <c r="E2525" s="2">
        <v>43332</v>
      </c>
      <c r="F2525" t="str">
        <f>"9780429955402"</f>
        <v>9780429955402</v>
      </c>
      <c r="G2525" t="str">
        <f>"9781444179637"</f>
        <v>9781444179637</v>
      </c>
      <c r="H2525" t="s">
        <v>77</v>
      </c>
      <c r="I2525">
        <v>615.84199999999998</v>
      </c>
      <c r="J2525" t="s">
        <v>5157</v>
      </c>
      <c r="K2525" t="s">
        <v>55</v>
      </c>
      <c r="N2525" t="s">
        <v>79</v>
      </c>
      <c r="P2525" t="s">
        <v>97</v>
      </c>
      <c r="Q2525" t="s">
        <v>47</v>
      </c>
      <c r="R2525" t="s">
        <v>44</v>
      </c>
      <c r="S2525">
        <v>0</v>
      </c>
      <c r="W2525" s="3">
        <v>3.7731481481481483E-3</v>
      </c>
      <c r="X2525" t="s">
        <v>5314</v>
      </c>
      <c r="Y2525">
        <v>9</v>
      </c>
      <c r="Z2525">
        <v>0</v>
      </c>
      <c r="AA2525" t="s">
        <v>49</v>
      </c>
      <c r="AB2525">
        <v>0</v>
      </c>
      <c r="AC2525" t="s">
        <v>49</v>
      </c>
      <c r="AD2525">
        <v>0</v>
      </c>
      <c r="AE2525">
        <v>-1</v>
      </c>
      <c r="AF2525" t="s">
        <v>50</v>
      </c>
      <c r="AG2525" t="s">
        <v>630</v>
      </c>
    </row>
    <row r="2526" spans="1:33" x14ac:dyDescent="0.35">
      <c r="A2526" s="1">
        <v>44829.087500000001</v>
      </c>
      <c r="B2526">
        <v>4819435</v>
      </c>
      <c r="C2526" t="s">
        <v>5315</v>
      </c>
      <c r="D2526" t="s">
        <v>1403</v>
      </c>
      <c r="E2526" s="2">
        <v>42824</v>
      </c>
      <c r="F2526" t="str">
        <f>"9781631577321"</f>
        <v>9781631577321</v>
      </c>
      <c r="G2526" t="str">
        <f>"9781631577314"</f>
        <v>9781631577314</v>
      </c>
      <c r="H2526" t="s">
        <v>5316</v>
      </c>
      <c r="I2526">
        <v>1.4226000000000001</v>
      </c>
      <c r="J2526" t="s">
        <v>5317</v>
      </c>
      <c r="K2526" t="s">
        <v>44</v>
      </c>
      <c r="N2526" t="s">
        <v>45</v>
      </c>
      <c r="O2526" t="s">
        <v>46</v>
      </c>
      <c r="P2526" t="s">
        <v>45</v>
      </c>
      <c r="Q2526" t="s">
        <v>47</v>
      </c>
      <c r="R2526" t="s">
        <v>44</v>
      </c>
      <c r="S2526">
        <v>0</v>
      </c>
      <c r="W2526" s="3">
        <v>1.3888888888888889E-4</v>
      </c>
      <c r="X2526" t="s">
        <v>3105</v>
      </c>
      <c r="Y2526">
        <v>3</v>
      </c>
      <c r="Z2526">
        <v>0</v>
      </c>
      <c r="AA2526" t="s">
        <v>49</v>
      </c>
      <c r="AB2526">
        <v>0</v>
      </c>
      <c r="AC2526" t="s">
        <v>49</v>
      </c>
      <c r="AD2526">
        <v>0</v>
      </c>
      <c r="AE2526">
        <v>11358181</v>
      </c>
      <c r="AF2526" t="s">
        <v>50</v>
      </c>
      <c r="AG2526" t="s">
        <v>4874</v>
      </c>
    </row>
    <row r="2527" spans="1:33" x14ac:dyDescent="0.35">
      <c r="A2527" s="1">
        <v>44829.078472222223</v>
      </c>
      <c r="B2527">
        <v>5760861</v>
      </c>
      <c r="C2527" t="s">
        <v>4866</v>
      </c>
      <c r="D2527" t="s">
        <v>76</v>
      </c>
      <c r="E2527" s="2">
        <v>43599</v>
      </c>
      <c r="F2527" t="str">
        <f>"9781351239493"</f>
        <v>9781351239493</v>
      </c>
      <c r="G2527" t="str">
        <f>"9780815375616"</f>
        <v>9780815375616</v>
      </c>
      <c r="H2527" t="s">
        <v>60</v>
      </c>
      <c r="I2527">
        <v>658.72</v>
      </c>
      <c r="J2527" t="s">
        <v>4867</v>
      </c>
      <c r="K2527" t="s">
        <v>55</v>
      </c>
      <c r="Q2527" t="s">
        <v>47</v>
      </c>
      <c r="R2527" t="s">
        <v>44</v>
      </c>
      <c r="S2527">
        <v>0</v>
      </c>
      <c r="W2527" s="3">
        <v>4.6296296296296294E-5</v>
      </c>
      <c r="X2527" t="s">
        <v>1025</v>
      </c>
      <c r="Y2527">
        <v>1</v>
      </c>
      <c r="Z2527">
        <v>0</v>
      </c>
      <c r="AA2527" t="s">
        <v>49</v>
      </c>
      <c r="AB2527">
        <v>0</v>
      </c>
      <c r="AC2527" t="s">
        <v>49</v>
      </c>
      <c r="AD2527">
        <v>0</v>
      </c>
      <c r="AE2527">
        <v>-1</v>
      </c>
      <c r="AF2527" t="s">
        <v>50</v>
      </c>
      <c r="AG2527" t="s">
        <v>4874</v>
      </c>
    </row>
    <row r="2528" spans="1:33" x14ac:dyDescent="0.35">
      <c r="A2528" s="1">
        <v>44829.074305555558</v>
      </c>
      <c r="B2528">
        <v>6481149</v>
      </c>
      <c r="C2528" t="s">
        <v>5318</v>
      </c>
      <c r="D2528" t="s">
        <v>5319</v>
      </c>
      <c r="E2528" s="2">
        <v>44253</v>
      </c>
      <c r="F2528" t="str">
        <f>"9781398412835"</f>
        <v>9781398412835</v>
      </c>
      <c r="G2528" t="str">
        <f>"9781398412811"</f>
        <v>9781398412811</v>
      </c>
      <c r="H2528" t="s">
        <v>1396</v>
      </c>
      <c r="I2528">
        <v>909.09767099999999</v>
      </c>
      <c r="J2528" t="s">
        <v>5320</v>
      </c>
      <c r="K2528" t="s">
        <v>44</v>
      </c>
      <c r="Q2528" t="s">
        <v>47</v>
      </c>
      <c r="R2528" t="s">
        <v>44</v>
      </c>
      <c r="S2528">
        <v>0</v>
      </c>
      <c r="W2528" s="3">
        <v>1.423611111111111E-3</v>
      </c>
      <c r="X2528" t="s">
        <v>5321</v>
      </c>
      <c r="Y2528">
        <v>6</v>
      </c>
      <c r="Z2528">
        <v>0</v>
      </c>
      <c r="AA2528" t="s">
        <v>49</v>
      </c>
      <c r="AB2528">
        <v>0</v>
      </c>
      <c r="AC2528" t="s">
        <v>49</v>
      </c>
      <c r="AD2528">
        <v>0</v>
      </c>
      <c r="AE2528">
        <v>-1</v>
      </c>
      <c r="AF2528" t="s">
        <v>50</v>
      </c>
      <c r="AG2528" t="s">
        <v>118</v>
      </c>
    </row>
    <row r="2529" spans="1:33" x14ac:dyDescent="0.35">
      <c r="A2529" s="1">
        <v>44829.072222222225</v>
      </c>
      <c r="B2529">
        <v>413144</v>
      </c>
      <c r="C2529" t="s">
        <v>5322</v>
      </c>
      <c r="D2529" t="s">
        <v>76</v>
      </c>
      <c r="E2529" s="2">
        <v>39923</v>
      </c>
      <c r="F2529" t="str">
        <f>"9780203881552"</f>
        <v>9780203881552</v>
      </c>
      <c r="G2529" t="str">
        <f>"9780415484718"</f>
        <v>9780415484718</v>
      </c>
      <c r="H2529" t="s">
        <v>162</v>
      </c>
      <c r="I2529" t="s">
        <v>5323</v>
      </c>
      <c r="J2529" t="s">
        <v>5324</v>
      </c>
      <c r="K2529" t="s">
        <v>44</v>
      </c>
      <c r="N2529" t="s">
        <v>45</v>
      </c>
      <c r="O2529" t="s">
        <v>46</v>
      </c>
      <c r="P2529" t="s">
        <v>45</v>
      </c>
      <c r="Q2529" t="s">
        <v>47</v>
      </c>
      <c r="R2529" t="s">
        <v>44</v>
      </c>
      <c r="S2529">
        <v>0</v>
      </c>
      <c r="W2529" s="3">
        <v>2.1412037037037038E-3</v>
      </c>
      <c r="X2529" t="s">
        <v>5325</v>
      </c>
      <c r="Y2529">
        <v>14</v>
      </c>
      <c r="Z2529">
        <v>0</v>
      </c>
      <c r="AA2529" t="s">
        <v>49</v>
      </c>
      <c r="AB2529">
        <v>0</v>
      </c>
      <c r="AC2529" t="s">
        <v>49</v>
      </c>
      <c r="AD2529">
        <v>0</v>
      </c>
      <c r="AE2529">
        <v>10282390</v>
      </c>
      <c r="AF2529" t="s">
        <v>50</v>
      </c>
      <c r="AG2529" t="s">
        <v>118</v>
      </c>
    </row>
    <row r="2530" spans="1:33" x14ac:dyDescent="0.35">
      <c r="A2530" s="1">
        <v>44829.053472222222</v>
      </c>
      <c r="B2530">
        <v>181011</v>
      </c>
      <c r="C2530" t="s">
        <v>5326</v>
      </c>
      <c r="D2530" t="s">
        <v>76</v>
      </c>
      <c r="E2530" s="2">
        <v>40863</v>
      </c>
      <c r="F2530" t="str">
        <f>"9780203473146"</f>
        <v>9780203473146</v>
      </c>
      <c r="G2530" t="str">
        <f>"9780419148609"</f>
        <v>9780419148609</v>
      </c>
      <c r="H2530" t="s">
        <v>252</v>
      </c>
      <c r="I2530" t="s">
        <v>5327</v>
      </c>
      <c r="J2530" t="s">
        <v>5328</v>
      </c>
      <c r="K2530" t="s">
        <v>44</v>
      </c>
      <c r="N2530" t="s">
        <v>45</v>
      </c>
      <c r="O2530" t="s">
        <v>46</v>
      </c>
      <c r="P2530" t="s">
        <v>45</v>
      </c>
      <c r="Q2530" t="s">
        <v>47</v>
      </c>
      <c r="R2530" t="s">
        <v>44</v>
      </c>
      <c r="S2530">
        <v>0</v>
      </c>
      <c r="W2530" s="3">
        <v>2.3148148148148146E-4</v>
      </c>
      <c r="X2530" t="s">
        <v>1154</v>
      </c>
      <c r="Y2530">
        <v>3</v>
      </c>
      <c r="Z2530">
        <v>0</v>
      </c>
      <c r="AA2530" t="s">
        <v>49</v>
      </c>
      <c r="AB2530">
        <v>0</v>
      </c>
      <c r="AC2530" t="s">
        <v>49</v>
      </c>
      <c r="AD2530">
        <v>0</v>
      </c>
      <c r="AE2530">
        <v>10164804</v>
      </c>
      <c r="AF2530" t="s">
        <v>50</v>
      </c>
      <c r="AG2530" t="s">
        <v>4874</v>
      </c>
    </row>
    <row r="2531" spans="1:33" x14ac:dyDescent="0.35">
      <c r="A2531" s="1">
        <v>44829.046527777777</v>
      </c>
      <c r="B2531">
        <v>1876331</v>
      </c>
      <c r="C2531" t="s">
        <v>418</v>
      </c>
      <c r="D2531" t="s">
        <v>53</v>
      </c>
      <c r="E2531" s="2">
        <v>42092</v>
      </c>
      <c r="F2531" t="str">
        <f>"9781400866427"</f>
        <v>9781400866427</v>
      </c>
      <c r="G2531" t="str">
        <f>"9780691164823"</f>
        <v>9780691164823</v>
      </c>
      <c r="H2531" t="s">
        <v>419</v>
      </c>
      <c r="I2531" t="s">
        <v>420</v>
      </c>
      <c r="J2531" t="s">
        <v>421</v>
      </c>
      <c r="K2531" t="s">
        <v>44</v>
      </c>
      <c r="N2531" t="s">
        <v>45</v>
      </c>
      <c r="O2531" t="s">
        <v>46</v>
      </c>
      <c r="P2531" t="s">
        <v>45</v>
      </c>
      <c r="Q2531" t="s">
        <v>47</v>
      </c>
      <c r="R2531" t="s">
        <v>44</v>
      </c>
      <c r="S2531">
        <v>0</v>
      </c>
      <c r="W2531" s="3">
        <v>4.8495370370370368E-3</v>
      </c>
      <c r="X2531" t="s">
        <v>5329</v>
      </c>
      <c r="Y2531">
        <v>26</v>
      </c>
      <c r="Z2531">
        <v>0</v>
      </c>
      <c r="AA2531" t="s">
        <v>49</v>
      </c>
      <c r="AB2531">
        <v>0</v>
      </c>
      <c r="AC2531" t="s">
        <v>5330</v>
      </c>
      <c r="AD2531">
        <v>1</v>
      </c>
      <c r="AE2531">
        <v>11028404</v>
      </c>
      <c r="AF2531" t="s">
        <v>50</v>
      </c>
      <c r="AG2531" t="s">
        <v>1309</v>
      </c>
    </row>
    <row r="2532" spans="1:33" x14ac:dyDescent="0.35">
      <c r="A2532" s="1">
        <v>44829.045138888891</v>
      </c>
      <c r="B2532">
        <v>866850</v>
      </c>
      <c r="C2532" t="s">
        <v>5331</v>
      </c>
      <c r="D2532" t="s">
        <v>502</v>
      </c>
      <c r="E2532" s="2">
        <v>40987</v>
      </c>
      <c r="F2532" t="str">
        <f>"9781139340205"</f>
        <v>9781139340205</v>
      </c>
      <c r="G2532" t="str">
        <f>"9781107014060"</f>
        <v>9781107014060</v>
      </c>
      <c r="H2532" t="s">
        <v>3234</v>
      </c>
      <c r="I2532">
        <v>297.20920000000001</v>
      </c>
      <c r="J2532" t="s">
        <v>5332</v>
      </c>
      <c r="K2532" t="s">
        <v>44</v>
      </c>
      <c r="N2532" t="s">
        <v>45</v>
      </c>
      <c r="O2532" t="s">
        <v>46</v>
      </c>
      <c r="P2532" t="s">
        <v>45</v>
      </c>
      <c r="Q2532" t="s">
        <v>47</v>
      </c>
      <c r="R2532" t="s">
        <v>44</v>
      </c>
      <c r="S2532">
        <v>0</v>
      </c>
      <c r="W2532" s="3">
        <v>1.0069444444444444E-3</v>
      </c>
      <c r="X2532" t="s">
        <v>5333</v>
      </c>
      <c r="Y2532">
        <v>7</v>
      </c>
      <c r="Z2532">
        <v>0</v>
      </c>
      <c r="AA2532" t="s">
        <v>49</v>
      </c>
      <c r="AB2532">
        <v>0</v>
      </c>
      <c r="AC2532" t="s">
        <v>49</v>
      </c>
      <c r="AD2532">
        <v>0</v>
      </c>
      <c r="AE2532">
        <v>10558182</v>
      </c>
      <c r="AF2532" t="s">
        <v>50</v>
      </c>
      <c r="AG2532" t="s">
        <v>1309</v>
      </c>
    </row>
    <row r="2533" spans="1:33" x14ac:dyDescent="0.35">
      <c r="A2533" s="1">
        <v>44829.03125</v>
      </c>
      <c r="B2533">
        <v>1080869</v>
      </c>
      <c r="C2533" t="s">
        <v>5334</v>
      </c>
      <c r="D2533" t="s">
        <v>2022</v>
      </c>
      <c r="E2533" s="2">
        <v>40872</v>
      </c>
      <c r="F2533" t="str">
        <f>"9781443832557"</f>
        <v>9781443832557</v>
      </c>
      <c r="G2533" t="str">
        <f>"9781443832175"</f>
        <v>9781443832175</v>
      </c>
      <c r="H2533" t="s">
        <v>1046</v>
      </c>
      <c r="I2533">
        <v>306</v>
      </c>
      <c r="J2533" t="s">
        <v>5335</v>
      </c>
      <c r="K2533" t="s">
        <v>44</v>
      </c>
      <c r="N2533" t="s">
        <v>45</v>
      </c>
      <c r="O2533" t="s">
        <v>46</v>
      </c>
      <c r="P2533" t="s">
        <v>45</v>
      </c>
      <c r="Q2533" t="s">
        <v>47</v>
      </c>
      <c r="R2533" t="s">
        <v>44</v>
      </c>
      <c r="S2533">
        <v>0</v>
      </c>
      <c r="W2533" s="3">
        <v>5.2083333333333333E-4</v>
      </c>
      <c r="X2533" t="s">
        <v>5336</v>
      </c>
      <c r="Y2533">
        <v>4</v>
      </c>
      <c r="Z2533">
        <v>1</v>
      </c>
      <c r="AA2533" t="s">
        <v>1346</v>
      </c>
      <c r="AB2533">
        <v>4</v>
      </c>
      <c r="AC2533" t="s">
        <v>49</v>
      </c>
      <c r="AD2533">
        <v>0</v>
      </c>
      <c r="AE2533">
        <v>10632973</v>
      </c>
      <c r="AF2533" t="s">
        <v>50</v>
      </c>
      <c r="AG2533" t="s">
        <v>118</v>
      </c>
    </row>
    <row r="2534" spans="1:33" x14ac:dyDescent="0.35">
      <c r="A2534" s="1">
        <v>44829.020138888889</v>
      </c>
      <c r="B2534">
        <v>5829217</v>
      </c>
      <c r="C2534" t="s">
        <v>626</v>
      </c>
      <c r="D2534" t="s">
        <v>627</v>
      </c>
      <c r="E2534" s="2">
        <v>43259</v>
      </c>
      <c r="F2534" t="str">
        <f>"9781496395139"</f>
        <v>9781496395139</v>
      </c>
      <c r="G2534" t="str">
        <f>"9781496335418"</f>
        <v>9781496335418</v>
      </c>
      <c r="H2534" t="s">
        <v>77</v>
      </c>
      <c r="I2534" t="s">
        <v>628</v>
      </c>
      <c r="J2534" t="s">
        <v>629</v>
      </c>
      <c r="K2534" t="s">
        <v>44</v>
      </c>
      <c r="N2534" t="s">
        <v>45</v>
      </c>
      <c r="O2534" t="s">
        <v>46</v>
      </c>
      <c r="P2534" t="s">
        <v>45</v>
      </c>
      <c r="Q2534" t="s">
        <v>47</v>
      </c>
      <c r="R2534" t="s">
        <v>44</v>
      </c>
      <c r="S2534">
        <v>0</v>
      </c>
      <c r="W2534" s="3">
        <v>1.4247685185185184E-2</v>
      </c>
      <c r="X2534" t="s">
        <v>5337</v>
      </c>
      <c r="Y2534">
        <v>36</v>
      </c>
      <c r="Z2534">
        <v>0</v>
      </c>
      <c r="AA2534" t="s">
        <v>49</v>
      </c>
      <c r="AB2534">
        <v>0</v>
      </c>
      <c r="AC2534" t="s">
        <v>49</v>
      </c>
      <c r="AD2534">
        <v>0</v>
      </c>
      <c r="AE2534">
        <v>-1</v>
      </c>
      <c r="AF2534" t="s">
        <v>50</v>
      </c>
      <c r="AG2534" t="s">
        <v>630</v>
      </c>
    </row>
    <row r="2535" spans="1:33" x14ac:dyDescent="0.35">
      <c r="A2535" s="1">
        <v>44828.977777777778</v>
      </c>
      <c r="B2535">
        <v>367052</v>
      </c>
      <c r="C2535" t="s">
        <v>1489</v>
      </c>
      <c r="D2535" t="s">
        <v>502</v>
      </c>
      <c r="E2535" s="2">
        <v>39737</v>
      </c>
      <c r="F2535" t="str">
        <f>"9780511436314"</f>
        <v>9780511436314</v>
      </c>
      <c r="G2535" t="str">
        <f>"9780521830447"</f>
        <v>9780521830447</v>
      </c>
      <c r="H2535" t="s">
        <v>712</v>
      </c>
      <c r="I2535" t="s">
        <v>1490</v>
      </c>
      <c r="J2535" t="s">
        <v>1491</v>
      </c>
      <c r="K2535" t="s">
        <v>44</v>
      </c>
      <c r="N2535" t="s">
        <v>45</v>
      </c>
      <c r="O2535" t="s">
        <v>46</v>
      </c>
      <c r="P2535" t="s">
        <v>45</v>
      </c>
      <c r="Q2535" t="s">
        <v>47</v>
      </c>
      <c r="R2535" t="s">
        <v>44</v>
      </c>
      <c r="S2535">
        <v>0</v>
      </c>
      <c r="W2535" s="3">
        <v>1.6782407407407406E-3</v>
      </c>
      <c r="X2535" t="s">
        <v>5338</v>
      </c>
      <c r="Y2535">
        <v>9</v>
      </c>
      <c r="Z2535">
        <v>0</v>
      </c>
      <c r="AA2535" t="s">
        <v>49</v>
      </c>
      <c r="AB2535">
        <v>0</v>
      </c>
      <c r="AC2535" t="s">
        <v>49</v>
      </c>
      <c r="AD2535">
        <v>0</v>
      </c>
      <c r="AE2535">
        <v>10257525</v>
      </c>
      <c r="AF2535" t="s">
        <v>50</v>
      </c>
      <c r="AG2535" t="s">
        <v>1476</v>
      </c>
    </row>
    <row r="2536" spans="1:33" x14ac:dyDescent="0.35">
      <c r="A2536" s="1">
        <v>44828.970833333333</v>
      </c>
      <c r="B2536">
        <v>5718652</v>
      </c>
      <c r="C2536" t="s">
        <v>5339</v>
      </c>
      <c r="D2536" t="s">
        <v>76</v>
      </c>
      <c r="E2536" s="2">
        <v>43538</v>
      </c>
      <c r="F2536" t="str">
        <f>"9781315301747"</f>
        <v>9781315301747</v>
      </c>
      <c r="G2536" t="str">
        <f>"9781138236738"</f>
        <v>9781138236738</v>
      </c>
      <c r="H2536" t="s">
        <v>90</v>
      </c>
      <c r="I2536">
        <v>376.91767099999998</v>
      </c>
      <c r="J2536" t="s">
        <v>5340</v>
      </c>
      <c r="K2536" t="s">
        <v>55</v>
      </c>
      <c r="Q2536" t="s">
        <v>47</v>
      </c>
      <c r="R2536" t="s">
        <v>44</v>
      </c>
      <c r="S2536">
        <v>0</v>
      </c>
      <c r="W2536" s="3">
        <v>2.3148148148148147E-5</v>
      </c>
      <c r="X2536" t="s">
        <v>121</v>
      </c>
      <c r="Y2536">
        <v>1</v>
      </c>
      <c r="Z2536">
        <v>0</v>
      </c>
      <c r="AA2536" t="s">
        <v>49</v>
      </c>
      <c r="AB2536">
        <v>0</v>
      </c>
      <c r="AC2536" t="s">
        <v>49</v>
      </c>
      <c r="AD2536">
        <v>0</v>
      </c>
      <c r="AE2536">
        <v>-1</v>
      </c>
      <c r="AF2536" t="s">
        <v>50</v>
      </c>
      <c r="AG2536" t="s">
        <v>1476</v>
      </c>
    </row>
    <row r="2537" spans="1:33" x14ac:dyDescent="0.35">
      <c r="A2537" s="1">
        <v>44828.959722222222</v>
      </c>
      <c r="B2537">
        <v>5662521</v>
      </c>
      <c r="C2537" t="s">
        <v>1639</v>
      </c>
      <c r="D2537" t="s">
        <v>347</v>
      </c>
      <c r="E2537" s="2">
        <v>43522</v>
      </c>
      <c r="F2537" t="str">
        <f>"9780300240894"</f>
        <v>9780300240894</v>
      </c>
      <c r="G2537" t="str">
        <f>"9780300230420"</f>
        <v>9780300230420</v>
      </c>
      <c r="H2537" t="s">
        <v>1046</v>
      </c>
      <c r="I2537">
        <v>305.48696999999999</v>
      </c>
      <c r="J2537" t="s">
        <v>1640</v>
      </c>
      <c r="K2537" t="s">
        <v>55</v>
      </c>
      <c r="Q2537" t="s">
        <v>47</v>
      </c>
      <c r="R2537" t="s">
        <v>44</v>
      </c>
      <c r="S2537">
        <v>0</v>
      </c>
      <c r="W2537" s="3">
        <v>2.2222222222222222E-3</v>
      </c>
      <c r="X2537" t="s">
        <v>5341</v>
      </c>
      <c r="Y2537">
        <v>6</v>
      </c>
      <c r="Z2537">
        <v>0</v>
      </c>
      <c r="AA2537" t="s">
        <v>49</v>
      </c>
      <c r="AB2537">
        <v>0</v>
      </c>
      <c r="AC2537" t="s">
        <v>49</v>
      </c>
      <c r="AD2537">
        <v>0</v>
      </c>
      <c r="AE2537">
        <v>-1</v>
      </c>
      <c r="AF2537" t="s">
        <v>50</v>
      </c>
      <c r="AG2537" t="s">
        <v>1476</v>
      </c>
    </row>
    <row r="2538" spans="1:33" x14ac:dyDescent="0.35">
      <c r="A2538" s="1">
        <v>44828.956250000003</v>
      </c>
      <c r="B2538">
        <v>6827590</v>
      </c>
      <c r="C2538" t="s">
        <v>5342</v>
      </c>
      <c r="D2538" t="s">
        <v>125</v>
      </c>
      <c r="E2538" s="2">
        <v>44579</v>
      </c>
      <c r="F2538" t="str">
        <f>"9780197547151"</f>
        <v>9780197547151</v>
      </c>
      <c r="G2538" t="str">
        <f>"9780197547137"</f>
        <v>9780197547137</v>
      </c>
      <c r="H2538" t="s">
        <v>1046</v>
      </c>
      <c r="I2538" t="s">
        <v>5343</v>
      </c>
      <c r="J2538" t="s">
        <v>5344</v>
      </c>
      <c r="K2538" t="s">
        <v>55</v>
      </c>
      <c r="Q2538" t="s">
        <v>47</v>
      </c>
      <c r="R2538" t="s">
        <v>44</v>
      </c>
      <c r="S2538">
        <v>0</v>
      </c>
      <c r="W2538" s="3">
        <v>2.8703703703703708E-3</v>
      </c>
      <c r="X2538" t="s">
        <v>5345</v>
      </c>
      <c r="Y2538">
        <v>13</v>
      </c>
      <c r="Z2538">
        <v>0</v>
      </c>
      <c r="AA2538" t="s">
        <v>49</v>
      </c>
      <c r="AB2538">
        <v>0</v>
      </c>
      <c r="AC2538" t="s">
        <v>49</v>
      </c>
      <c r="AD2538">
        <v>0</v>
      </c>
      <c r="AE2538">
        <v>-1</v>
      </c>
      <c r="AF2538" t="s">
        <v>50</v>
      </c>
      <c r="AG2538" t="s">
        <v>1476</v>
      </c>
    </row>
    <row r="2539" spans="1:33" x14ac:dyDescent="0.35">
      <c r="A2539" s="1">
        <v>44828.953472222223</v>
      </c>
      <c r="B2539">
        <v>3138280</v>
      </c>
      <c r="C2539" t="s">
        <v>2906</v>
      </c>
      <c r="D2539" t="s">
        <v>2234</v>
      </c>
      <c r="E2539" s="2">
        <v>40892</v>
      </c>
      <c r="F2539" t="str">
        <f>"9780801464836"</f>
        <v>9780801464836</v>
      </c>
      <c r="G2539" t="str">
        <f>"9780801445712"</f>
        <v>9780801445712</v>
      </c>
      <c r="H2539" t="s">
        <v>162</v>
      </c>
      <c r="I2539">
        <v>297</v>
      </c>
      <c r="J2539" t="s">
        <v>2907</v>
      </c>
      <c r="K2539" t="s">
        <v>44</v>
      </c>
      <c r="N2539" t="s">
        <v>45</v>
      </c>
      <c r="O2539" t="s">
        <v>46</v>
      </c>
      <c r="P2539" t="s">
        <v>177</v>
      </c>
      <c r="Q2539" t="s">
        <v>47</v>
      </c>
      <c r="R2539" t="s">
        <v>55</v>
      </c>
      <c r="S2539">
        <v>0</v>
      </c>
      <c r="W2539" s="3">
        <v>0</v>
      </c>
      <c r="X2539" t="s">
        <v>49</v>
      </c>
      <c r="Y2539">
        <v>0</v>
      </c>
      <c r="Z2539">
        <v>0</v>
      </c>
      <c r="AA2539" t="s">
        <v>49</v>
      </c>
      <c r="AB2539">
        <v>0</v>
      </c>
      <c r="AC2539" t="s">
        <v>49</v>
      </c>
      <c r="AD2539">
        <v>0</v>
      </c>
      <c r="AE2539">
        <v>10516004</v>
      </c>
      <c r="AF2539" t="s">
        <v>50</v>
      </c>
      <c r="AG2539" t="s">
        <v>1476</v>
      </c>
    </row>
    <row r="2540" spans="1:33" x14ac:dyDescent="0.35">
      <c r="A2540" s="1">
        <v>44828.943749999999</v>
      </c>
      <c r="B2540">
        <v>310690</v>
      </c>
      <c r="C2540" t="s">
        <v>3233</v>
      </c>
      <c r="D2540" t="s">
        <v>2754</v>
      </c>
      <c r="E2540" s="2">
        <v>38412</v>
      </c>
      <c r="F2540" t="str">
        <f>"9780816696321"</f>
        <v>9780816696321</v>
      </c>
      <c r="G2540" t="str">
        <f>"9780816644100"</f>
        <v>9780816644100</v>
      </c>
      <c r="H2540" t="s">
        <v>3234</v>
      </c>
      <c r="I2540">
        <v>322.10956099999999</v>
      </c>
      <c r="J2540" t="s">
        <v>3235</v>
      </c>
      <c r="K2540" t="s">
        <v>44</v>
      </c>
      <c r="N2540" t="s">
        <v>45</v>
      </c>
      <c r="O2540" t="s">
        <v>46</v>
      </c>
      <c r="P2540" t="s">
        <v>45</v>
      </c>
      <c r="Q2540" t="s">
        <v>47</v>
      </c>
      <c r="R2540" t="s">
        <v>44</v>
      </c>
      <c r="S2540">
        <v>0</v>
      </c>
      <c r="W2540" s="3">
        <v>4.9988425925925922E-2</v>
      </c>
      <c r="X2540" t="s">
        <v>5346</v>
      </c>
      <c r="Y2540">
        <v>26</v>
      </c>
      <c r="Z2540">
        <v>0</v>
      </c>
      <c r="AA2540" t="s">
        <v>49</v>
      </c>
      <c r="AB2540">
        <v>0</v>
      </c>
      <c r="AC2540" t="s">
        <v>49</v>
      </c>
      <c r="AD2540">
        <v>0</v>
      </c>
      <c r="AE2540">
        <v>10151200</v>
      </c>
      <c r="AF2540" t="s">
        <v>50</v>
      </c>
      <c r="AG2540" t="s">
        <v>118</v>
      </c>
    </row>
    <row r="2541" spans="1:33" x14ac:dyDescent="0.35">
      <c r="A2541" s="1">
        <v>44828.939583333333</v>
      </c>
      <c r="B2541">
        <v>3301849</v>
      </c>
      <c r="C2541" t="s">
        <v>5229</v>
      </c>
      <c r="D2541" t="s">
        <v>5230</v>
      </c>
      <c r="E2541" s="2">
        <v>40360</v>
      </c>
      <c r="F2541" t="str">
        <f>"9780817911461"</f>
        <v>9780817911461</v>
      </c>
      <c r="G2541" t="str">
        <f>"9780817911447"</f>
        <v>9780817911447</v>
      </c>
      <c r="H2541" t="s">
        <v>419</v>
      </c>
      <c r="I2541" t="s">
        <v>5231</v>
      </c>
      <c r="J2541" t="s">
        <v>5232</v>
      </c>
      <c r="K2541" t="s">
        <v>44</v>
      </c>
      <c r="N2541" t="s">
        <v>45</v>
      </c>
      <c r="O2541" t="s">
        <v>46</v>
      </c>
      <c r="P2541" t="s">
        <v>45</v>
      </c>
      <c r="Q2541" t="s">
        <v>47</v>
      </c>
      <c r="R2541" t="s">
        <v>44</v>
      </c>
      <c r="S2541">
        <v>0</v>
      </c>
      <c r="W2541" s="3">
        <v>3.7152777777777774E-3</v>
      </c>
      <c r="X2541" t="s">
        <v>5347</v>
      </c>
      <c r="Y2541">
        <v>30</v>
      </c>
      <c r="Z2541">
        <v>0</v>
      </c>
      <c r="AA2541" t="s">
        <v>49</v>
      </c>
      <c r="AB2541">
        <v>0</v>
      </c>
      <c r="AC2541" t="s">
        <v>49</v>
      </c>
      <c r="AD2541">
        <v>0</v>
      </c>
      <c r="AE2541">
        <v>10622902</v>
      </c>
      <c r="AF2541" t="s">
        <v>50</v>
      </c>
      <c r="AG2541" t="s">
        <v>118</v>
      </c>
    </row>
    <row r="2542" spans="1:33" x14ac:dyDescent="0.35">
      <c r="A2542" s="1">
        <v>44828.914583333331</v>
      </c>
      <c r="B2542">
        <v>665565</v>
      </c>
      <c r="C2542" t="s">
        <v>2309</v>
      </c>
      <c r="D2542" t="s">
        <v>2125</v>
      </c>
      <c r="E2542" s="2">
        <v>40483</v>
      </c>
      <c r="F2542" t="str">
        <f>"9781439828151"</f>
        <v>9781439828151</v>
      </c>
      <c r="G2542" t="str">
        <f>"9781439828144"</f>
        <v>9781439828144</v>
      </c>
      <c r="H2542" t="s">
        <v>60</v>
      </c>
      <c r="I2542">
        <v>658.7</v>
      </c>
      <c r="J2542" t="s">
        <v>2310</v>
      </c>
      <c r="K2542" t="s">
        <v>44</v>
      </c>
      <c r="N2542" t="s">
        <v>45</v>
      </c>
      <c r="O2542" t="s">
        <v>46</v>
      </c>
      <c r="P2542" t="s">
        <v>45</v>
      </c>
      <c r="Q2542" t="s">
        <v>47</v>
      </c>
      <c r="R2542" t="s">
        <v>44</v>
      </c>
      <c r="S2542">
        <v>0</v>
      </c>
      <c r="W2542" s="3">
        <v>2.2337962962962967E-3</v>
      </c>
      <c r="X2542" t="s">
        <v>5348</v>
      </c>
      <c r="Y2542">
        <v>49</v>
      </c>
      <c r="Z2542">
        <v>0</v>
      </c>
      <c r="AA2542" t="s">
        <v>49</v>
      </c>
      <c r="AB2542">
        <v>0</v>
      </c>
      <c r="AC2542" t="s">
        <v>49</v>
      </c>
      <c r="AD2542">
        <v>0</v>
      </c>
      <c r="AE2542">
        <v>10449865</v>
      </c>
      <c r="AF2542" t="s">
        <v>50</v>
      </c>
      <c r="AG2542" t="s">
        <v>118</v>
      </c>
    </row>
    <row r="2543" spans="1:33" x14ac:dyDescent="0.35">
      <c r="A2543" s="1">
        <v>44828.900694444441</v>
      </c>
      <c r="B2543">
        <v>4391782</v>
      </c>
      <c r="C2543" t="s">
        <v>5349</v>
      </c>
      <c r="D2543" t="s">
        <v>2754</v>
      </c>
      <c r="E2543" s="2">
        <v>42185</v>
      </c>
      <c r="F2543" t="str">
        <f>"9781452944265"</f>
        <v>9781452944265</v>
      </c>
      <c r="G2543" t="str">
        <f>"9780816692187"</f>
        <v>9780816692187</v>
      </c>
      <c r="H2543" t="s">
        <v>1046</v>
      </c>
      <c r="I2543">
        <v>305.42097669999998</v>
      </c>
      <c r="J2543" t="s">
        <v>5350</v>
      </c>
      <c r="K2543" t="s">
        <v>44</v>
      </c>
      <c r="N2543" t="s">
        <v>45</v>
      </c>
      <c r="O2543" t="s">
        <v>46</v>
      </c>
      <c r="P2543" t="s">
        <v>45</v>
      </c>
      <c r="Q2543" t="s">
        <v>47</v>
      </c>
      <c r="R2543" t="s">
        <v>44</v>
      </c>
      <c r="S2543">
        <v>0</v>
      </c>
      <c r="W2543" s="3">
        <v>3.1250000000000001E-4</v>
      </c>
      <c r="X2543" t="s">
        <v>5351</v>
      </c>
      <c r="Y2543">
        <v>5</v>
      </c>
      <c r="Z2543">
        <v>0</v>
      </c>
      <c r="AA2543" t="s">
        <v>49</v>
      </c>
      <c r="AB2543">
        <v>0</v>
      </c>
      <c r="AC2543" t="s">
        <v>49</v>
      </c>
      <c r="AD2543">
        <v>0</v>
      </c>
      <c r="AE2543">
        <v>11152953</v>
      </c>
      <c r="AF2543" t="s">
        <v>50</v>
      </c>
      <c r="AG2543" t="s">
        <v>1476</v>
      </c>
    </row>
    <row r="2544" spans="1:33" x14ac:dyDescent="0.35">
      <c r="A2544" s="1">
        <v>44828.852777777778</v>
      </c>
      <c r="B2544">
        <v>460330</v>
      </c>
      <c r="C2544" t="s">
        <v>5352</v>
      </c>
      <c r="D2544" t="s">
        <v>76</v>
      </c>
      <c r="E2544" s="2">
        <v>40142</v>
      </c>
      <c r="F2544" t="str">
        <f>"9780203867525"</f>
        <v>9780203867525</v>
      </c>
      <c r="G2544" t="str">
        <f>"9780415488983"</f>
        <v>9780415488983</v>
      </c>
      <c r="H2544" t="s">
        <v>712</v>
      </c>
      <c r="I2544" t="s">
        <v>5353</v>
      </c>
      <c r="J2544" t="s">
        <v>5354</v>
      </c>
      <c r="K2544" t="s">
        <v>44</v>
      </c>
      <c r="N2544" t="s">
        <v>45</v>
      </c>
      <c r="O2544" t="s">
        <v>46</v>
      </c>
      <c r="P2544" t="s">
        <v>45</v>
      </c>
      <c r="Q2544" t="s">
        <v>47</v>
      </c>
      <c r="R2544" t="s">
        <v>44</v>
      </c>
      <c r="S2544">
        <v>0</v>
      </c>
      <c r="W2544" s="3">
        <v>3.4722222222222222E-5</v>
      </c>
      <c r="X2544" t="s">
        <v>121</v>
      </c>
      <c r="Y2544">
        <v>1</v>
      </c>
      <c r="Z2544">
        <v>0</v>
      </c>
      <c r="AA2544" t="s">
        <v>49</v>
      </c>
      <c r="AB2544">
        <v>0</v>
      </c>
      <c r="AC2544" t="s">
        <v>49</v>
      </c>
      <c r="AD2544">
        <v>0</v>
      </c>
      <c r="AE2544">
        <v>10349537</v>
      </c>
      <c r="AF2544" t="s">
        <v>50</v>
      </c>
      <c r="AG2544" t="s">
        <v>118</v>
      </c>
    </row>
    <row r="2545" spans="1:33" x14ac:dyDescent="0.35">
      <c r="A2545" s="1">
        <v>44828.848611111112</v>
      </c>
      <c r="B2545">
        <v>5830059</v>
      </c>
      <c r="C2545" t="s">
        <v>5185</v>
      </c>
      <c r="D2545" t="s">
        <v>1922</v>
      </c>
      <c r="E2545" s="2">
        <v>43434</v>
      </c>
      <c r="F2545" t="str">
        <f>"9781786735232"</f>
        <v>9781786735232</v>
      </c>
      <c r="G2545" t="str">
        <f>"9781788311984"</f>
        <v>9781788311984</v>
      </c>
      <c r="H2545" t="s">
        <v>1939</v>
      </c>
      <c r="I2545">
        <v>305.42095490999998</v>
      </c>
      <c r="J2545" t="s">
        <v>5186</v>
      </c>
      <c r="K2545" t="s">
        <v>44</v>
      </c>
      <c r="N2545" t="s">
        <v>45</v>
      </c>
      <c r="O2545" t="s">
        <v>46</v>
      </c>
      <c r="P2545" t="s">
        <v>45</v>
      </c>
      <c r="Q2545" t="s">
        <v>47</v>
      </c>
      <c r="R2545" t="s">
        <v>44</v>
      </c>
      <c r="S2545">
        <v>0</v>
      </c>
      <c r="W2545" s="3">
        <v>2.7777777777777778E-4</v>
      </c>
      <c r="X2545" t="s">
        <v>5355</v>
      </c>
      <c r="Y2545">
        <v>3</v>
      </c>
      <c r="Z2545">
        <v>0</v>
      </c>
      <c r="AA2545" t="s">
        <v>49</v>
      </c>
      <c r="AB2545">
        <v>0</v>
      </c>
      <c r="AC2545" t="s">
        <v>49</v>
      </c>
      <c r="AD2545">
        <v>0</v>
      </c>
      <c r="AE2545">
        <v>-1</v>
      </c>
      <c r="AF2545" t="s">
        <v>50</v>
      </c>
      <c r="AG2545" t="s">
        <v>5040</v>
      </c>
    </row>
    <row r="2546" spans="1:33" x14ac:dyDescent="0.35">
      <c r="A2546" s="1">
        <v>44828.847222222219</v>
      </c>
      <c r="B2546">
        <v>1407974</v>
      </c>
      <c r="C2546" t="s">
        <v>5182</v>
      </c>
      <c r="D2546" t="s">
        <v>76</v>
      </c>
      <c r="E2546" s="2">
        <v>41622</v>
      </c>
      <c r="F2546" t="str">
        <f>"9781466511569"</f>
        <v>9781466511569</v>
      </c>
      <c r="G2546" t="str">
        <f>"9781466511545"</f>
        <v>9781466511545</v>
      </c>
      <c r="H2546" t="s">
        <v>419</v>
      </c>
      <c r="I2546">
        <v>351.54910000000001</v>
      </c>
      <c r="J2546" t="s">
        <v>5183</v>
      </c>
      <c r="K2546" t="s">
        <v>44</v>
      </c>
      <c r="N2546" t="s">
        <v>45</v>
      </c>
      <c r="O2546" t="s">
        <v>46</v>
      </c>
      <c r="P2546" t="s">
        <v>45</v>
      </c>
      <c r="Q2546" t="s">
        <v>47</v>
      </c>
      <c r="R2546" t="s">
        <v>44</v>
      </c>
      <c r="S2546">
        <v>0</v>
      </c>
      <c r="W2546" s="3">
        <v>1.4120370370370369E-3</v>
      </c>
      <c r="X2546" t="s">
        <v>5356</v>
      </c>
      <c r="Y2546">
        <v>17</v>
      </c>
      <c r="Z2546">
        <v>0</v>
      </c>
      <c r="AA2546" t="s">
        <v>49</v>
      </c>
      <c r="AB2546">
        <v>0</v>
      </c>
      <c r="AC2546" t="s">
        <v>49</v>
      </c>
      <c r="AD2546">
        <v>0</v>
      </c>
      <c r="AE2546">
        <v>10811757</v>
      </c>
      <c r="AF2546" t="s">
        <v>50</v>
      </c>
      <c r="AG2546" t="s">
        <v>5040</v>
      </c>
    </row>
    <row r="2547" spans="1:33" x14ac:dyDescent="0.35">
      <c r="A2547" s="1">
        <v>44828.84652777778</v>
      </c>
      <c r="B2547">
        <v>5829217</v>
      </c>
      <c r="C2547" t="s">
        <v>626</v>
      </c>
      <c r="D2547" t="s">
        <v>627</v>
      </c>
      <c r="E2547" s="2">
        <v>43259</v>
      </c>
      <c r="F2547" t="str">
        <f>"9781496395139"</f>
        <v>9781496395139</v>
      </c>
      <c r="G2547" t="str">
        <f>"9781496335418"</f>
        <v>9781496335418</v>
      </c>
      <c r="H2547" t="s">
        <v>77</v>
      </c>
      <c r="I2547" t="s">
        <v>628</v>
      </c>
      <c r="J2547" t="s">
        <v>629</v>
      </c>
      <c r="K2547" t="s">
        <v>44</v>
      </c>
      <c r="N2547" t="s">
        <v>45</v>
      </c>
      <c r="O2547" t="s">
        <v>46</v>
      </c>
      <c r="P2547" t="s">
        <v>45</v>
      </c>
      <c r="Q2547" t="s">
        <v>47</v>
      </c>
      <c r="R2547" t="s">
        <v>44</v>
      </c>
      <c r="S2547">
        <v>0</v>
      </c>
      <c r="W2547" s="3">
        <v>1.0300925925925926E-3</v>
      </c>
      <c r="X2547" t="s">
        <v>5357</v>
      </c>
      <c r="Y2547">
        <v>9</v>
      </c>
      <c r="Z2547">
        <v>0</v>
      </c>
      <c r="AA2547" t="s">
        <v>49</v>
      </c>
      <c r="AB2547">
        <v>0</v>
      </c>
      <c r="AC2547" t="s">
        <v>49</v>
      </c>
      <c r="AD2547">
        <v>0</v>
      </c>
      <c r="AE2547">
        <v>-1</v>
      </c>
      <c r="AF2547" t="s">
        <v>50</v>
      </c>
      <c r="AG2547" t="s">
        <v>630</v>
      </c>
    </row>
    <row r="2548" spans="1:33" x14ac:dyDescent="0.35">
      <c r="A2548" s="1">
        <v>44828.837500000001</v>
      </c>
      <c r="B2548">
        <v>6469852</v>
      </c>
      <c r="C2548" t="s">
        <v>5291</v>
      </c>
      <c r="D2548" t="s">
        <v>347</v>
      </c>
      <c r="E2548" s="2">
        <v>44271</v>
      </c>
      <c r="F2548" t="str">
        <f>"9780300258172"</f>
        <v>9780300258172</v>
      </c>
      <c r="G2548" t="str">
        <f>"9780300257311"</f>
        <v>9780300257311</v>
      </c>
      <c r="H2548" t="s">
        <v>1046</v>
      </c>
      <c r="I2548" t="s">
        <v>5292</v>
      </c>
      <c r="J2548" t="s">
        <v>5293</v>
      </c>
      <c r="K2548" t="s">
        <v>55</v>
      </c>
      <c r="Q2548" t="s">
        <v>47</v>
      </c>
      <c r="R2548" t="s">
        <v>44</v>
      </c>
      <c r="S2548">
        <v>0</v>
      </c>
      <c r="W2548" s="3">
        <v>3.5532407407407405E-3</v>
      </c>
      <c r="X2548" t="s">
        <v>5358</v>
      </c>
      <c r="Y2548">
        <v>35</v>
      </c>
      <c r="Z2548">
        <v>0</v>
      </c>
      <c r="AA2548" t="s">
        <v>49</v>
      </c>
      <c r="AB2548">
        <v>0</v>
      </c>
      <c r="AC2548" t="s">
        <v>49</v>
      </c>
      <c r="AD2548">
        <v>0</v>
      </c>
      <c r="AE2548">
        <v>-1</v>
      </c>
      <c r="AF2548" t="s">
        <v>50</v>
      </c>
      <c r="AG2548" t="s">
        <v>1476</v>
      </c>
    </row>
    <row r="2549" spans="1:33" x14ac:dyDescent="0.35">
      <c r="A2549" s="1">
        <v>44828.836805555555</v>
      </c>
      <c r="B2549">
        <v>1024697</v>
      </c>
      <c r="C2549" t="s">
        <v>5359</v>
      </c>
      <c r="D2549" t="s">
        <v>76</v>
      </c>
      <c r="E2549" s="2">
        <v>37134</v>
      </c>
      <c r="F2549" t="str">
        <f>"9780203824399"</f>
        <v>9780203824399</v>
      </c>
      <c r="G2549" t="str">
        <f>"9780415930970"</f>
        <v>9780415930970</v>
      </c>
      <c r="H2549" t="s">
        <v>1046</v>
      </c>
      <c r="I2549" t="s">
        <v>5360</v>
      </c>
      <c r="J2549" t="s">
        <v>5361</v>
      </c>
      <c r="K2549" t="s">
        <v>44</v>
      </c>
      <c r="N2549" t="s">
        <v>45</v>
      </c>
      <c r="O2549" t="s">
        <v>46</v>
      </c>
      <c r="P2549" t="s">
        <v>45</v>
      </c>
      <c r="Q2549" t="s">
        <v>47</v>
      </c>
      <c r="R2549" t="s">
        <v>44</v>
      </c>
      <c r="S2549">
        <v>0</v>
      </c>
      <c r="W2549" s="3">
        <v>2.6620370370370372E-4</v>
      </c>
      <c r="X2549" t="s">
        <v>5362</v>
      </c>
      <c r="Y2549">
        <v>5</v>
      </c>
      <c r="Z2549">
        <v>3</v>
      </c>
      <c r="AA2549" t="s">
        <v>5363</v>
      </c>
      <c r="AB2549">
        <v>92</v>
      </c>
      <c r="AC2549" t="s">
        <v>49</v>
      </c>
      <c r="AD2549">
        <v>0</v>
      </c>
      <c r="AE2549">
        <v>10603880</v>
      </c>
      <c r="AF2549" t="s">
        <v>50</v>
      </c>
      <c r="AG2549" t="s">
        <v>118</v>
      </c>
    </row>
    <row r="2550" spans="1:33" x14ac:dyDescent="0.35">
      <c r="A2550" s="1">
        <v>44828.836805555555</v>
      </c>
      <c r="B2550">
        <v>1416396</v>
      </c>
      <c r="C2550" t="s">
        <v>5364</v>
      </c>
      <c r="D2550" t="s">
        <v>1613</v>
      </c>
      <c r="E2550" s="2">
        <v>41536</v>
      </c>
      <c r="F2550" t="str">
        <f>"9780810874688"</f>
        <v>9780810874688</v>
      </c>
      <c r="G2550" t="str">
        <f>"9780810872264"</f>
        <v>9780810872264</v>
      </c>
      <c r="H2550" t="s">
        <v>1046</v>
      </c>
      <c r="I2550">
        <v>306.76600000000002</v>
      </c>
      <c r="J2550" t="s">
        <v>5365</v>
      </c>
      <c r="K2550" t="s">
        <v>44</v>
      </c>
      <c r="N2550" t="s">
        <v>45</v>
      </c>
      <c r="O2550" t="s">
        <v>46</v>
      </c>
      <c r="P2550" t="s">
        <v>45</v>
      </c>
      <c r="Q2550" t="s">
        <v>47</v>
      </c>
      <c r="R2550" t="s">
        <v>44</v>
      </c>
      <c r="S2550">
        <v>0</v>
      </c>
      <c r="W2550" s="3">
        <v>1.7592592592592592E-3</v>
      </c>
      <c r="X2550" t="s">
        <v>196</v>
      </c>
      <c r="Y2550">
        <v>2</v>
      </c>
      <c r="Z2550">
        <v>0</v>
      </c>
      <c r="AA2550" t="s">
        <v>49</v>
      </c>
      <c r="AB2550">
        <v>0</v>
      </c>
      <c r="AC2550" t="s">
        <v>49</v>
      </c>
      <c r="AD2550">
        <v>0</v>
      </c>
      <c r="AE2550">
        <v>10768761</v>
      </c>
      <c r="AF2550" t="s">
        <v>50</v>
      </c>
      <c r="AG2550" t="s">
        <v>118</v>
      </c>
    </row>
    <row r="2551" spans="1:33" x14ac:dyDescent="0.35">
      <c r="A2551" s="1">
        <v>44828.835416666669</v>
      </c>
      <c r="B2551">
        <v>6640791</v>
      </c>
      <c r="C2551" t="s">
        <v>5366</v>
      </c>
      <c r="D2551" t="s">
        <v>443</v>
      </c>
      <c r="E2551" s="2">
        <v>44432</v>
      </c>
      <c r="F2551" t="str">
        <f>"9780520974647"</f>
        <v>9780520974647</v>
      </c>
      <c r="G2551" t="str">
        <f>"9780520342514"</f>
        <v>9780520342514</v>
      </c>
      <c r="H2551" t="s">
        <v>1046</v>
      </c>
      <c r="I2551">
        <v>305.48697095414002</v>
      </c>
      <c r="K2551" t="s">
        <v>55</v>
      </c>
      <c r="Q2551" t="s">
        <v>47</v>
      </c>
      <c r="R2551" t="s">
        <v>44</v>
      </c>
      <c r="S2551">
        <v>0</v>
      </c>
      <c r="W2551" s="3">
        <v>1.7013888888888892E-3</v>
      </c>
      <c r="X2551" t="s">
        <v>5367</v>
      </c>
      <c r="Y2551">
        <v>27</v>
      </c>
      <c r="Z2551">
        <v>0</v>
      </c>
      <c r="AA2551" t="s">
        <v>49</v>
      </c>
      <c r="AB2551">
        <v>0</v>
      </c>
      <c r="AC2551" t="s">
        <v>49</v>
      </c>
      <c r="AD2551">
        <v>0</v>
      </c>
      <c r="AE2551">
        <v>-1</v>
      </c>
      <c r="AF2551" t="s">
        <v>50</v>
      </c>
      <c r="AG2551" t="s">
        <v>1476</v>
      </c>
    </row>
    <row r="2552" spans="1:33" x14ac:dyDescent="0.35">
      <c r="A2552" s="1">
        <v>44828.834027777775</v>
      </c>
      <c r="B2552">
        <v>665565</v>
      </c>
      <c r="C2552" t="s">
        <v>2309</v>
      </c>
      <c r="D2552" t="s">
        <v>2125</v>
      </c>
      <c r="E2552" s="2">
        <v>40483</v>
      </c>
      <c r="F2552" t="str">
        <f>"9781439828151"</f>
        <v>9781439828151</v>
      </c>
      <c r="G2552" t="str">
        <f>"9781439828144"</f>
        <v>9781439828144</v>
      </c>
      <c r="H2552" t="s">
        <v>60</v>
      </c>
      <c r="I2552">
        <v>658.7</v>
      </c>
      <c r="J2552" t="s">
        <v>2310</v>
      </c>
      <c r="K2552" t="s">
        <v>44</v>
      </c>
      <c r="N2552" t="s">
        <v>45</v>
      </c>
      <c r="O2552" t="s">
        <v>46</v>
      </c>
      <c r="P2552" t="s">
        <v>45</v>
      </c>
      <c r="Q2552" t="s">
        <v>47</v>
      </c>
      <c r="R2552" t="s">
        <v>44</v>
      </c>
      <c r="S2552">
        <v>0</v>
      </c>
      <c r="W2552" s="3">
        <v>3.6574074074074074E-3</v>
      </c>
      <c r="X2552" t="s">
        <v>5368</v>
      </c>
      <c r="Y2552">
        <v>41</v>
      </c>
      <c r="Z2552">
        <v>1</v>
      </c>
      <c r="AA2552" t="s">
        <v>5369</v>
      </c>
      <c r="AB2552">
        <v>4</v>
      </c>
      <c r="AC2552" t="s">
        <v>49</v>
      </c>
      <c r="AD2552">
        <v>0</v>
      </c>
      <c r="AE2552">
        <v>10449865</v>
      </c>
      <c r="AF2552" t="s">
        <v>50</v>
      </c>
      <c r="AG2552" t="s">
        <v>118</v>
      </c>
    </row>
    <row r="2553" spans="1:33" x14ac:dyDescent="0.35">
      <c r="A2553" s="1">
        <v>44828.831944444442</v>
      </c>
      <c r="B2553">
        <v>4737322</v>
      </c>
      <c r="C2553" t="s">
        <v>1477</v>
      </c>
      <c r="D2553" t="s">
        <v>507</v>
      </c>
      <c r="E2553" s="2">
        <v>42247</v>
      </c>
      <c r="F2553" t="str">
        <f>"9780748632244"</f>
        <v>9780748632244</v>
      </c>
      <c r="G2553" t="str">
        <f>"9780748632763"</f>
        <v>9780748632763</v>
      </c>
      <c r="H2553" t="s">
        <v>667</v>
      </c>
      <c r="I2553" t="s">
        <v>1478</v>
      </c>
      <c r="J2553" t="s">
        <v>1479</v>
      </c>
      <c r="K2553" t="s">
        <v>44</v>
      </c>
      <c r="N2553" t="s">
        <v>45</v>
      </c>
      <c r="O2553" t="s">
        <v>46</v>
      </c>
      <c r="P2553" t="s">
        <v>45</v>
      </c>
      <c r="Q2553" t="s">
        <v>47</v>
      </c>
      <c r="R2553" t="s">
        <v>44</v>
      </c>
      <c r="S2553">
        <v>0</v>
      </c>
      <c r="W2553" s="3">
        <v>4.3194444444444445E-2</v>
      </c>
      <c r="X2553" t="s">
        <v>5370</v>
      </c>
      <c r="Y2553">
        <v>61</v>
      </c>
      <c r="Z2553">
        <v>0</v>
      </c>
      <c r="AA2553" t="s">
        <v>49</v>
      </c>
      <c r="AB2553">
        <v>0</v>
      </c>
      <c r="AC2553" t="s">
        <v>1648</v>
      </c>
      <c r="AD2553">
        <v>1</v>
      </c>
      <c r="AE2553">
        <v>-1</v>
      </c>
      <c r="AF2553" t="s">
        <v>50</v>
      </c>
      <c r="AG2553" t="s">
        <v>1476</v>
      </c>
    </row>
    <row r="2554" spans="1:33" x14ac:dyDescent="0.35">
      <c r="A2554" s="1">
        <v>44828.82916666667</v>
      </c>
      <c r="B2554">
        <v>1981290</v>
      </c>
      <c r="C2554" t="s">
        <v>5371</v>
      </c>
      <c r="D2554" t="s">
        <v>473</v>
      </c>
      <c r="E2554" s="2">
        <v>42061</v>
      </c>
      <c r="F2554" t="str">
        <f>"9789004289857"</f>
        <v>9789004289857</v>
      </c>
      <c r="G2554" t="str">
        <f>"9789004289796"</f>
        <v>9789004289796</v>
      </c>
      <c r="H2554" t="s">
        <v>337</v>
      </c>
      <c r="I2554">
        <v>320.95609999999999</v>
      </c>
      <c r="J2554" t="s">
        <v>5372</v>
      </c>
      <c r="K2554" t="s">
        <v>44</v>
      </c>
      <c r="N2554" t="s">
        <v>45</v>
      </c>
      <c r="O2554" t="s">
        <v>46</v>
      </c>
      <c r="P2554" t="s">
        <v>45</v>
      </c>
      <c r="Q2554" t="s">
        <v>47</v>
      </c>
      <c r="R2554" t="s">
        <v>44</v>
      </c>
      <c r="S2554">
        <v>0</v>
      </c>
      <c r="W2554" s="3">
        <v>7.1296296296296307E-3</v>
      </c>
      <c r="X2554" t="s">
        <v>5373</v>
      </c>
      <c r="Y2554">
        <v>30</v>
      </c>
      <c r="Z2554">
        <v>0</v>
      </c>
      <c r="AA2554" t="s">
        <v>49</v>
      </c>
      <c r="AB2554">
        <v>0</v>
      </c>
      <c r="AC2554" t="s">
        <v>49</v>
      </c>
      <c r="AD2554">
        <v>0</v>
      </c>
      <c r="AE2554">
        <v>11028468</v>
      </c>
      <c r="AF2554" t="s">
        <v>50</v>
      </c>
      <c r="AG2554" t="s">
        <v>118</v>
      </c>
    </row>
    <row r="2555" spans="1:33" x14ac:dyDescent="0.35">
      <c r="A2555" s="1">
        <v>44828.824999999997</v>
      </c>
      <c r="B2555">
        <v>4462129</v>
      </c>
      <c r="C2555" t="s">
        <v>3035</v>
      </c>
      <c r="D2555" t="s">
        <v>507</v>
      </c>
      <c r="E2555" s="2">
        <v>38014</v>
      </c>
      <c r="F2555" t="str">
        <f>"9780748646500"</f>
        <v>9780748646500</v>
      </c>
      <c r="G2555" t="str">
        <f>"9780748618705"</f>
        <v>9780748618705</v>
      </c>
      <c r="H2555" t="s">
        <v>425</v>
      </c>
      <c r="I2555">
        <v>320.5570902</v>
      </c>
      <c r="J2555" t="s">
        <v>3036</v>
      </c>
      <c r="K2555" t="s">
        <v>44</v>
      </c>
      <c r="N2555" t="s">
        <v>45</v>
      </c>
      <c r="O2555" t="s">
        <v>46</v>
      </c>
      <c r="P2555" t="s">
        <v>45</v>
      </c>
      <c r="Q2555" t="s">
        <v>47</v>
      </c>
      <c r="R2555" t="s">
        <v>44</v>
      </c>
      <c r="S2555">
        <v>0</v>
      </c>
      <c r="W2555" s="3">
        <v>3.8078703703703707E-3</v>
      </c>
      <c r="X2555" t="s">
        <v>5374</v>
      </c>
      <c r="Y2555">
        <v>5</v>
      </c>
      <c r="Z2555">
        <v>0</v>
      </c>
      <c r="AA2555" t="s">
        <v>49</v>
      </c>
      <c r="AB2555">
        <v>0</v>
      </c>
      <c r="AC2555" t="s">
        <v>49</v>
      </c>
      <c r="AD2555">
        <v>0</v>
      </c>
      <c r="AE2555">
        <v>11188745</v>
      </c>
      <c r="AF2555" t="s">
        <v>50</v>
      </c>
      <c r="AG2555" t="s">
        <v>118</v>
      </c>
    </row>
    <row r="2556" spans="1:33" x14ac:dyDescent="0.35">
      <c r="A2556" s="1">
        <v>44828.81527777778</v>
      </c>
      <c r="B2556">
        <v>4462478</v>
      </c>
      <c r="C2556" t="s">
        <v>5211</v>
      </c>
      <c r="D2556" t="s">
        <v>507</v>
      </c>
      <c r="E2556" s="2">
        <v>41891</v>
      </c>
      <c r="F2556" t="str">
        <f>"9780748696826"</f>
        <v>9780748696826</v>
      </c>
      <c r="G2556" t="str">
        <f>"9780748696864"</f>
        <v>9780748696864</v>
      </c>
      <c r="H2556" t="s">
        <v>162</v>
      </c>
      <c r="I2556" t="s">
        <v>5212</v>
      </c>
      <c r="J2556" t="s">
        <v>5213</v>
      </c>
      <c r="K2556" t="s">
        <v>44</v>
      </c>
      <c r="N2556" t="s">
        <v>45</v>
      </c>
      <c r="O2556" t="s">
        <v>46</v>
      </c>
      <c r="P2556" t="s">
        <v>45</v>
      </c>
      <c r="Q2556" t="s">
        <v>47</v>
      </c>
      <c r="R2556" t="s">
        <v>44</v>
      </c>
      <c r="S2556">
        <v>0</v>
      </c>
      <c r="W2556" s="3">
        <v>1.8634259259259261E-3</v>
      </c>
      <c r="X2556" t="s">
        <v>5375</v>
      </c>
      <c r="Y2556">
        <v>8</v>
      </c>
      <c r="Z2556">
        <v>1</v>
      </c>
      <c r="AA2556" t="s">
        <v>5376</v>
      </c>
      <c r="AB2556">
        <v>17</v>
      </c>
      <c r="AC2556" t="s">
        <v>49</v>
      </c>
      <c r="AD2556">
        <v>0</v>
      </c>
      <c r="AE2556">
        <v>11189891</v>
      </c>
      <c r="AF2556" t="s">
        <v>50</v>
      </c>
      <c r="AG2556" t="s">
        <v>118</v>
      </c>
    </row>
    <row r="2557" spans="1:33" x14ac:dyDescent="0.35">
      <c r="A2557" s="1">
        <v>44828.799305555556</v>
      </c>
      <c r="B2557">
        <v>1209029</v>
      </c>
      <c r="C2557" t="s">
        <v>5377</v>
      </c>
      <c r="D2557" t="s">
        <v>1922</v>
      </c>
      <c r="E2557" s="2">
        <v>38527</v>
      </c>
      <c r="F2557" t="str">
        <f>"9780857731463"</f>
        <v>9780857731463</v>
      </c>
      <c r="G2557" t="str">
        <f>"9781850434665"</f>
        <v>9781850434665</v>
      </c>
      <c r="H2557" t="s">
        <v>3234</v>
      </c>
      <c r="I2557">
        <v>320.55700000000002</v>
      </c>
      <c r="J2557" t="s">
        <v>5378</v>
      </c>
      <c r="K2557" t="s">
        <v>44</v>
      </c>
      <c r="N2557" t="s">
        <v>45</v>
      </c>
      <c r="O2557" t="s">
        <v>46</v>
      </c>
      <c r="P2557" t="s">
        <v>45</v>
      </c>
      <c r="Q2557" t="s">
        <v>47</v>
      </c>
      <c r="R2557" t="s">
        <v>44</v>
      </c>
      <c r="S2557">
        <v>0</v>
      </c>
      <c r="W2557" s="3">
        <v>4.5138888888888892E-4</v>
      </c>
      <c r="X2557" t="s">
        <v>5379</v>
      </c>
      <c r="Y2557">
        <v>3</v>
      </c>
      <c r="Z2557">
        <v>0</v>
      </c>
      <c r="AA2557" t="s">
        <v>49</v>
      </c>
      <c r="AB2557">
        <v>0</v>
      </c>
      <c r="AC2557" t="s">
        <v>49</v>
      </c>
      <c r="AD2557">
        <v>0</v>
      </c>
      <c r="AE2557">
        <v>-1</v>
      </c>
      <c r="AF2557" t="s">
        <v>50</v>
      </c>
      <c r="AG2557" t="s">
        <v>118</v>
      </c>
    </row>
    <row r="2558" spans="1:33" x14ac:dyDescent="0.35">
      <c r="A2558" s="1">
        <v>44828.79791666667</v>
      </c>
      <c r="B2558">
        <v>6141826</v>
      </c>
      <c r="C2558" t="s">
        <v>5380</v>
      </c>
      <c r="D2558" t="s">
        <v>507</v>
      </c>
      <c r="E2558" s="2">
        <v>41730</v>
      </c>
      <c r="F2558" t="str">
        <f>"9781474473484"</f>
        <v>9781474473484</v>
      </c>
      <c r="G2558" t="str">
        <f>"9780748696543"</f>
        <v>9780748696543</v>
      </c>
      <c r="H2558" t="s">
        <v>162</v>
      </c>
      <c r="I2558" t="s">
        <v>2910</v>
      </c>
      <c r="J2558" t="s">
        <v>5381</v>
      </c>
      <c r="K2558" t="s">
        <v>44</v>
      </c>
      <c r="N2558" t="s">
        <v>45</v>
      </c>
      <c r="O2558" t="s">
        <v>46</v>
      </c>
      <c r="P2558" t="s">
        <v>45</v>
      </c>
      <c r="Q2558" t="s">
        <v>47</v>
      </c>
      <c r="R2558" t="s">
        <v>44</v>
      </c>
      <c r="S2558">
        <v>0</v>
      </c>
      <c r="W2558" s="3">
        <v>6.8287037037037025E-4</v>
      </c>
      <c r="X2558" t="s">
        <v>205</v>
      </c>
      <c r="Y2558">
        <v>2</v>
      </c>
      <c r="Z2558">
        <v>0</v>
      </c>
      <c r="AA2558" t="s">
        <v>49</v>
      </c>
      <c r="AB2558">
        <v>0</v>
      </c>
      <c r="AC2558" t="s">
        <v>49</v>
      </c>
      <c r="AD2558">
        <v>0</v>
      </c>
      <c r="AE2558">
        <v>-1</v>
      </c>
      <c r="AF2558" t="s">
        <v>50</v>
      </c>
      <c r="AG2558" t="s">
        <v>118</v>
      </c>
    </row>
    <row r="2559" spans="1:33" x14ac:dyDescent="0.35">
      <c r="A2559" s="1">
        <v>44828.79791666667</v>
      </c>
      <c r="B2559">
        <v>6640791</v>
      </c>
      <c r="C2559" t="s">
        <v>5366</v>
      </c>
      <c r="D2559" t="s">
        <v>443</v>
      </c>
      <c r="E2559" s="2">
        <v>44432</v>
      </c>
      <c r="F2559" t="str">
        <f>"9780520974647"</f>
        <v>9780520974647</v>
      </c>
      <c r="G2559" t="str">
        <f>"9780520342514"</f>
        <v>9780520342514</v>
      </c>
      <c r="H2559" t="s">
        <v>1046</v>
      </c>
      <c r="I2559">
        <v>305.48697095414002</v>
      </c>
      <c r="K2559" t="s">
        <v>55</v>
      </c>
      <c r="Q2559" t="s">
        <v>47</v>
      </c>
      <c r="R2559" t="s">
        <v>44</v>
      </c>
      <c r="S2559">
        <v>0</v>
      </c>
      <c r="W2559" s="3">
        <v>2.3148148148148151E-3</v>
      </c>
      <c r="X2559" t="s">
        <v>5382</v>
      </c>
      <c r="Y2559">
        <v>15</v>
      </c>
      <c r="Z2559">
        <v>0</v>
      </c>
      <c r="AA2559" t="s">
        <v>49</v>
      </c>
      <c r="AB2559">
        <v>0</v>
      </c>
      <c r="AC2559" t="s">
        <v>49</v>
      </c>
      <c r="AD2559">
        <v>0</v>
      </c>
      <c r="AE2559">
        <v>-1</v>
      </c>
      <c r="AF2559" t="s">
        <v>50</v>
      </c>
      <c r="AG2559" t="s">
        <v>1476</v>
      </c>
    </row>
    <row r="2560" spans="1:33" x14ac:dyDescent="0.35">
      <c r="A2560" s="1">
        <v>44828.79583333333</v>
      </c>
      <c r="B2560">
        <v>767121</v>
      </c>
      <c r="C2560" t="s">
        <v>5383</v>
      </c>
      <c r="D2560" t="s">
        <v>507</v>
      </c>
      <c r="E2560" s="2">
        <v>40755</v>
      </c>
      <c r="F2560" t="str">
        <f>"9780748647569"</f>
        <v>9780748647569</v>
      </c>
      <c r="G2560" t="str">
        <f>"9780748639878"</f>
        <v>9780748639878</v>
      </c>
      <c r="H2560" t="s">
        <v>425</v>
      </c>
      <c r="I2560">
        <v>297.27199999999999</v>
      </c>
      <c r="J2560" t="s">
        <v>5384</v>
      </c>
      <c r="K2560" t="s">
        <v>44</v>
      </c>
      <c r="N2560" t="s">
        <v>45</v>
      </c>
      <c r="O2560" t="s">
        <v>46</v>
      </c>
      <c r="P2560" t="s">
        <v>45</v>
      </c>
      <c r="Q2560" t="s">
        <v>47</v>
      </c>
      <c r="R2560" t="s">
        <v>44</v>
      </c>
      <c r="S2560">
        <v>0</v>
      </c>
      <c r="W2560" s="3">
        <v>8.4259259259259253E-3</v>
      </c>
      <c r="X2560" t="s">
        <v>5385</v>
      </c>
      <c r="Y2560">
        <v>10</v>
      </c>
      <c r="Z2560">
        <v>0</v>
      </c>
      <c r="AA2560" t="s">
        <v>49</v>
      </c>
      <c r="AB2560">
        <v>0</v>
      </c>
      <c r="AC2560" t="s">
        <v>49</v>
      </c>
      <c r="AD2560">
        <v>0</v>
      </c>
      <c r="AE2560">
        <v>10496770</v>
      </c>
      <c r="AF2560" t="s">
        <v>50</v>
      </c>
      <c r="AG2560" t="s">
        <v>118</v>
      </c>
    </row>
    <row r="2561" spans="1:33" x14ac:dyDescent="0.35">
      <c r="A2561" s="1">
        <v>44828.793055555558</v>
      </c>
      <c r="B2561">
        <v>6469852</v>
      </c>
      <c r="C2561" t="s">
        <v>5291</v>
      </c>
      <c r="D2561" t="s">
        <v>347</v>
      </c>
      <c r="E2561" s="2">
        <v>44271</v>
      </c>
      <c r="F2561" t="str">
        <f>"9780300258172"</f>
        <v>9780300258172</v>
      </c>
      <c r="G2561" t="str">
        <f>"9780300257311"</f>
        <v>9780300257311</v>
      </c>
      <c r="H2561" t="s">
        <v>1046</v>
      </c>
      <c r="I2561" t="s">
        <v>5292</v>
      </c>
      <c r="J2561" t="s">
        <v>5293</v>
      </c>
      <c r="K2561" t="s">
        <v>55</v>
      </c>
      <c r="Q2561" t="s">
        <v>47</v>
      </c>
      <c r="R2561" t="s">
        <v>44</v>
      </c>
      <c r="S2561">
        <v>0</v>
      </c>
      <c r="W2561" s="3">
        <v>3.530092592592592E-3</v>
      </c>
      <c r="X2561" t="s">
        <v>5386</v>
      </c>
      <c r="Y2561">
        <v>12</v>
      </c>
      <c r="Z2561">
        <v>0</v>
      </c>
      <c r="AA2561" t="s">
        <v>49</v>
      </c>
      <c r="AB2561">
        <v>0</v>
      </c>
      <c r="AC2561" t="s">
        <v>49</v>
      </c>
      <c r="AD2561">
        <v>0</v>
      </c>
      <c r="AE2561">
        <v>-1</v>
      </c>
      <c r="AF2561" t="s">
        <v>50</v>
      </c>
      <c r="AG2561" t="s">
        <v>1476</v>
      </c>
    </row>
    <row r="2562" spans="1:33" x14ac:dyDescent="0.35">
      <c r="A2562" s="1">
        <v>44828.781944444447</v>
      </c>
      <c r="B2562">
        <v>310690</v>
      </c>
      <c r="C2562" t="s">
        <v>3233</v>
      </c>
      <c r="D2562" t="s">
        <v>2754</v>
      </c>
      <c r="E2562" s="2">
        <v>38412</v>
      </c>
      <c r="F2562" t="str">
        <f>"9780816696321"</f>
        <v>9780816696321</v>
      </c>
      <c r="G2562" t="str">
        <f>"9780816644100"</f>
        <v>9780816644100</v>
      </c>
      <c r="H2562" t="s">
        <v>3234</v>
      </c>
      <c r="I2562">
        <v>322.10956099999999</v>
      </c>
      <c r="J2562" t="s">
        <v>3235</v>
      </c>
      <c r="K2562" t="s">
        <v>44</v>
      </c>
      <c r="N2562" t="s">
        <v>45</v>
      </c>
      <c r="O2562" t="s">
        <v>46</v>
      </c>
      <c r="P2562" t="s">
        <v>45</v>
      </c>
      <c r="Q2562" t="s">
        <v>47</v>
      </c>
      <c r="R2562" t="s">
        <v>44</v>
      </c>
      <c r="S2562">
        <v>1</v>
      </c>
      <c r="W2562" s="3">
        <v>3.142361111111111E-2</v>
      </c>
      <c r="X2562" t="s">
        <v>5387</v>
      </c>
      <c r="Y2562">
        <v>16</v>
      </c>
      <c r="Z2562">
        <v>1</v>
      </c>
      <c r="AA2562" t="s">
        <v>942</v>
      </c>
      <c r="AB2562">
        <v>5</v>
      </c>
      <c r="AC2562" t="s">
        <v>49</v>
      </c>
      <c r="AD2562">
        <v>0</v>
      </c>
      <c r="AE2562">
        <v>10151200</v>
      </c>
      <c r="AF2562" t="s">
        <v>63</v>
      </c>
      <c r="AG2562" t="s">
        <v>118</v>
      </c>
    </row>
    <row r="2563" spans="1:33" x14ac:dyDescent="0.35">
      <c r="A2563" s="1">
        <v>44828.781944444447</v>
      </c>
      <c r="B2563">
        <v>6526734</v>
      </c>
      <c r="C2563" t="s">
        <v>1485</v>
      </c>
      <c r="D2563" t="s">
        <v>1486</v>
      </c>
      <c r="E2563" s="2">
        <v>41479</v>
      </c>
      <c r="F2563" t="str">
        <f>"9781626370586"</f>
        <v>9781626370586</v>
      </c>
      <c r="G2563" t="str">
        <f>"9781588269096"</f>
        <v>9781588269096</v>
      </c>
      <c r="H2563" t="s">
        <v>1046</v>
      </c>
      <c r="I2563">
        <v>305.42095599999999</v>
      </c>
      <c r="J2563" t="s">
        <v>1487</v>
      </c>
      <c r="K2563" t="s">
        <v>44</v>
      </c>
      <c r="N2563" t="s">
        <v>45</v>
      </c>
      <c r="O2563" t="s">
        <v>46</v>
      </c>
      <c r="P2563" t="s">
        <v>45</v>
      </c>
      <c r="Q2563" t="s">
        <v>47</v>
      </c>
      <c r="R2563" t="s">
        <v>44</v>
      </c>
      <c r="S2563">
        <v>0</v>
      </c>
      <c r="W2563" s="3">
        <v>0.1343287037037037</v>
      </c>
      <c r="X2563" t="s">
        <v>5388</v>
      </c>
      <c r="Y2563">
        <v>104</v>
      </c>
      <c r="Z2563">
        <v>0</v>
      </c>
      <c r="AA2563" t="s">
        <v>49</v>
      </c>
      <c r="AB2563">
        <v>0</v>
      </c>
      <c r="AC2563" t="s">
        <v>5389</v>
      </c>
      <c r="AD2563">
        <v>1</v>
      </c>
      <c r="AE2563">
        <v>-1</v>
      </c>
      <c r="AF2563" t="s">
        <v>50</v>
      </c>
      <c r="AG2563" t="s">
        <v>1476</v>
      </c>
    </row>
    <row r="2564" spans="1:33" x14ac:dyDescent="0.35">
      <c r="A2564" s="1">
        <v>44828.771527777775</v>
      </c>
      <c r="B2564">
        <v>617176</v>
      </c>
      <c r="C2564" t="s">
        <v>1520</v>
      </c>
      <c r="D2564" t="s">
        <v>497</v>
      </c>
      <c r="E2564" s="2">
        <v>40542</v>
      </c>
      <c r="F2564" t="str">
        <f>"9781441136251"</f>
        <v>9781441136251</v>
      </c>
      <c r="G2564" t="str">
        <f>"9780826400871"</f>
        <v>9780826400871</v>
      </c>
      <c r="H2564" t="s">
        <v>1186</v>
      </c>
      <c r="I2564" t="s">
        <v>1521</v>
      </c>
      <c r="J2564" t="s">
        <v>1522</v>
      </c>
      <c r="K2564" t="s">
        <v>44</v>
      </c>
      <c r="N2564" t="s">
        <v>45</v>
      </c>
      <c r="O2564" t="s">
        <v>46</v>
      </c>
      <c r="P2564" t="s">
        <v>45</v>
      </c>
      <c r="Q2564" t="s">
        <v>47</v>
      </c>
      <c r="R2564" t="s">
        <v>44</v>
      </c>
      <c r="S2564">
        <v>0</v>
      </c>
      <c r="W2564" s="3">
        <v>3.8113425925925926E-2</v>
      </c>
      <c r="X2564" t="s">
        <v>5390</v>
      </c>
      <c r="Y2564">
        <v>47</v>
      </c>
      <c r="Z2564">
        <v>0</v>
      </c>
      <c r="AA2564" t="s">
        <v>49</v>
      </c>
      <c r="AB2564">
        <v>0</v>
      </c>
      <c r="AC2564" t="s">
        <v>49</v>
      </c>
      <c r="AD2564">
        <v>0</v>
      </c>
      <c r="AE2564">
        <v>10432531</v>
      </c>
      <c r="AF2564" t="s">
        <v>50</v>
      </c>
      <c r="AG2564" t="s">
        <v>1476</v>
      </c>
    </row>
    <row r="2565" spans="1:33" x14ac:dyDescent="0.35">
      <c r="A2565" s="1">
        <v>44828.767361111109</v>
      </c>
      <c r="B2565">
        <v>357992</v>
      </c>
      <c r="C2565" t="s">
        <v>5391</v>
      </c>
      <c r="D2565" t="s">
        <v>5392</v>
      </c>
      <c r="E2565" s="2">
        <v>39569</v>
      </c>
      <c r="F2565" t="str">
        <f>"9780833045317"</f>
        <v>9780833045317</v>
      </c>
      <c r="G2565" t="str">
        <f>"9780833044570"</f>
        <v>9780833044570</v>
      </c>
      <c r="H2565" t="s">
        <v>425</v>
      </c>
      <c r="I2565" t="s">
        <v>5393</v>
      </c>
      <c r="J2565" t="s">
        <v>5394</v>
      </c>
      <c r="K2565" t="s">
        <v>44</v>
      </c>
      <c r="N2565" t="s">
        <v>45</v>
      </c>
      <c r="O2565" t="s">
        <v>46</v>
      </c>
      <c r="P2565" t="s">
        <v>177</v>
      </c>
      <c r="Q2565" t="s">
        <v>47</v>
      </c>
      <c r="R2565" t="s">
        <v>55</v>
      </c>
      <c r="S2565">
        <v>1</v>
      </c>
      <c r="W2565" s="3">
        <v>1.9560185185185184E-3</v>
      </c>
      <c r="X2565" t="s">
        <v>5395</v>
      </c>
      <c r="Y2565">
        <v>3</v>
      </c>
      <c r="Z2565">
        <v>0</v>
      </c>
      <c r="AA2565" t="s">
        <v>49</v>
      </c>
      <c r="AB2565">
        <v>0</v>
      </c>
      <c r="AC2565" t="s">
        <v>49</v>
      </c>
      <c r="AD2565">
        <v>0</v>
      </c>
      <c r="AE2565">
        <v>10246314</v>
      </c>
      <c r="AF2565" t="s">
        <v>63</v>
      </c>
      <c r="AG2565" t="s">
        <v>1355</v>
      </c>
    </row>
    <row r="2566" spans="1:33" x14ac:dyDescent="0.35">
      <c r="A2566" s="1">
        <v>44828.765277777777</v>
      </c>
      <c r="B2566">
        <v>6469852</v>
      </c>
      <c r="C2566" t="s">
        <v>5291</v>
      </c>
      <c r="D2566" t="s">
        <v>347</v>
      </c>
      <c r="E2566" s="2">
        <v>44271</v>
      </c>
      <c r="F2566" t="str">
        <f>"9780300258172"</f>
        <v>9780300258172</v>
      </c>
      <c r="G2566" t="str">
        <f>"9780300257311"</f>
        <v>9780300257311</v>
      </c>
      <c r="H2566" t="s">
        <v>1046</v>
      </c>
      <c r="I2566" t="s">
        <v>5292</v>
      </c>
      <c r="J2566" t="s">
        <v>5293</v>
      </c>
      <c r="K2566" t="s">
        <v>55</v>
      </c>
      <c r="Q2566" t="s">
        <v>47</v>
      </c>
      <c r="R2566" t="s">
        <v>44</v>
      </c>
      <c r="S2566">
        <v>0</v>
      </c>
      <c r="W2566" s="3">
        <v>4.2129629629629626E-3</v>
      </c>
      <c r="X2566" t="s">
        <v>5396</v>
      </c>
      <c r="Y2566">
        <v>7</v>
      </c>
      <c r="Z2566">
        <v>0</v>
      </c>
      <c r="AA2566" t="s">
        <v>49</v>
      </c>
      <c r="AB2566">
        <v>0</v>
      </c>
      <c r="AC2566" t="s">
        <v>49</v>
      </c>
      <c r="AD2566">
        <v>0</v>
      </c>
      <c r="AE2566">
        <v>-1</v>
      </c>
      <c r="AF2566" t="s">
        <v>50</v>
      </c>
      <c r="AG2566" t="s">
        <v>1476</v>
      </c>
    </row>
    <row r="2567" spans="1:33" x14ac:dyDescent="0.35">
      <c r="A2567" s="1">
        <v>44828.76458333333</v>
      </c>
      <c r="B2567">
        <v>1780931</v>
      </c>
      <c r="C2567" t="s">
        <v>1481</v>
      </c>
      <c r="D2567" t="s">
        <v>1482</v>
      </c>
      <c r="E2567" s="2">
        <v>41835</v>
      </c>
      <c r="F2567" t="str">
        <f>"9781558618565"</f>
        <v>9781558618565</v>
      </c>
      <c r="G2567" t="str">
        <f>"9781558618558"</f>
        <v>9781558618558</v>
      </c>
      <c r="H2567" t="s">
        <v>1046</v>
      </c>
      <c r="I2567">
        <v>305.48697091759198</v>
      </c>
      <c r="J2567" t="s">
        <v>1483</v>
      </c>
      <c r="K2567" t="s">
        <v>44</v>
      </c>
      <c r="N2567" t="s">
        <v>45</v>
      </c>
      <c r="O2567" t="s">
        <v>46</v>
      </c>
      <c r="P2567" t="s">
        <v>45</v>
      </c>
      <c r="Q2567" t="s">
        <v>47</v>
      </c>
      <c r="R2567" t="s">
        <v>44</v>
      </c>
      <c r="S2567">
        <v>0</v>
      </c>
      <c r="W2567" s="3">
        <v>9.9467592592592594E-2</v>
      </c>
      <c r="X2567" t="s">
        <v>5397</v>
      </c>
      <c r="Y2567">
        <v>116</v>
      </c>
      <c r="Z2567">
        <v>0</v>
      </c>
      <c r="AA2567" t="s">
        <v>49</v>
      </c>
      <c r="AB2567">
        <v>0</v>
      </c>
      <c r="AC2567" t="s">
        <v>49</v>
      </c>
      <c r="AD2567">
        <v>0</v>
      </c>
      <c r="AE2567">
        <v>10993187</v>
      </c>
      <c r="AF2567" t="s">
        <v>50</v>
      </c>
      <c r="AG2567" t="s">
        <v>1476</v>
      </c>
    </row>
    <row r="2568" spans="1:33" x14ac:dyDescent="0.35">
      <c r="A2568" s="1">
        <v>44828.763888888891</v>
      </c>
      <c r="B2568">
        <v>1876331</v>
      </c>
      <c r="C2568" t="s">
        <v>418</v>
      </c>
      <c r="D2568" t="s">
        <v>53</v>
      </c>
      <c r="E2568" s="2">
        <v>42092</v>
      </c>
      <c r="F2568" t="str">
        <f>"9781400866427"</f>
        <v>9781400866427</v>
      </c>
      <c r="G2568" t="str">
        <f>"9780691164823"</f>
        <v>9780691164823</v>
      </c>
      <c r="H2568" t="s">
        <v>419</v>
      </c>
      <c r="I2568" t="s">
        <v>420</v>
      </c>
      <c r="J2568" t="s">
        <v>421</v>
      </c>
      <c r="K2568" t="s">
        <v>44</v>
      </c>
      <c r="N2568" t="s">
        <v>45</v>
      </c>
      <c r="O2568" t="s">
        <v>46</v>
      </c>
      <c r="P2568" t="s">
        <v>45</v>
      </c>
      <c r="Q2568" t="s">
        <v>47</v>
      </c>
      <c r="R2568" t="s">
        <v>44</v>
      </c>
      <c r="S2568">
        <v>0</v>
      </c>
      <c r="W2568" s="3">
        <v>1.7824074074074076E-2</v>
      </c>
      <c r="X2568" t="s">
        <v>5398</v>
      </c>
      <c r="Y2568">
        <v>20</v>
      </c>
      <c r="Z2568">
        <v>0</v>
      </c>
      <c r="AA2568" t="s">
        <v>49</v>
      </c>
      <c r="AB2568">
        <v>0</v>
      </c>
      <c r="AC2568" t="s">
        <v>5399</v>
      </c>
      <c r="AD2568">
        <v>5</v>
      </c>
      <c r="AE2568">
        <v>11028404</v>
      </c>
      <c r="AF2568" t="s">
        <v>50</v>
      </c>
      <c r="AG2568" t="s">
        <v>118</v>
      </c>
    </row>
    <row r="2569" spans="1:33" x14ac:dyDescent="0.35">
      <c r="A2569" s="1">
        <v>44828.762499999997</v>
      </c>
      <c r="B2569">
        <v>310690</v>
      </c>
      <c r="C2569" t="s">
        <v>3233</v>
      </c>
      <c r="D2569" t="s">
        <v>2754</v>
      </c>
      <c r="E2569" s="2">
        <v>38412</v>
      </c>
      <c r="F2569" t="str">
        <f>"9780816696321"</f>
        <v>9780816696321</v>
      </c>
      <c r="G2569" t="str">
        <f>"9780816644100"</f>
        <v>9780816644100</v>
      </c>
      <c r="H2569" t="s">
        <v>3234</v>
      </c>
      <c r="I2569">
        <v>322.10956099999999</v>
      </c>
      <c r="J2569" t="s">
        <v>3235</v>
      </c>
      <c r="K2569" t="s">
        <v>44</v>
      </c>
      <c r="N2569" t="s">
        <v>45</v>
      </c>
      <c r="O2569" t="s">
        <v>46</v>
      </c>
      <c r="P2569" t="s">
        <v>45</v>
      </c>
      <c r="Q2569" t="s">
        <v>47</v>
      </c>
      <c r="R2569" t="s">
        <v>44</v>
      </c>
      <c r="S2569">
        <v>0</v>
      </c>
      <c r="W2569" s="3">
        <v>1.9861111111111111E-2</v>
      </c>
      <c r="X2569" t="s">
        <v>5400</v>
      </c>
      <c r="Y2569">
        <v>3</v>
      </c>
      <c r="Z2569">
        <v>0</v>
      </c>
      <c r="AA2569" t="s">
        <v>49</v>
      </c>
      <c r="AB2569">
        <v>0</v>
      </c>
      <c r="AC2569" t="s">
        <v>49</v>
      </c>
      <c r="AD2569">
        <v>0</v>
      </c>
      <c r="AE2569">
        <v>10151200</v>
      </c>
      <c r="AF2569" t="s">
        <v>63</v>
      </c>
      <c r="AG2569" t="s">
        <v>118</v>
      </c>
    </row>
    <row r="2570" spans="1:33" x14ac:dyDescent="0.35">
      <c r="A2570" s="1">
        <v>44828.761805555558</v>
      </c>
      <c r="B2570">
        <v>744003</v>
      </c>
      <c r="C2570" t="s">
        <v>5223</v>
      </c>
      <c r="D2570" t="s">
        <v>132</v>
      </c>
      <c r="E2570" s="2">
        <v>40784</v>
      </c>
      <c r="F2570" t="str">
        <f>"9780804780704"</f>
        <v>9780804780704</v>
      </c>
      <c r="G2570" t="str">
        <f>"9780804775366"</f>
        <v>9780804775366</v>
      </c>
      <c r="H2570" t="s">
        <v>162</v>
      </c>
      <c r="I2570" t="s">
        <v>5224</v>
      </c>
      <c r="J2570" t="s">
        <v>5225</v>
      </c>
      <c r="K2570" t="s">
        <v>44</v>
      </c>
      <c r="N2570" t="s">
        <v>45</v>
      </c>
      <c r="O2570" t="s">
        <v>46</v>
      </c>
      <c r="P2570" t="s">
        <v>45</v>
      </c>
      <c r="Q2570" t="s">
        <v>47</v>
      </c>
      <c r="R2570" t="s">
        <v>44</v>
      </c>
      <c r="S2570">
        <v>0</v>
      </c>
      <c r="W2570" s="3">
        <v>4.5405092592592594E-2</v>
      </c>
      <c r="X2570" t="s">
        <v>5401</v>
      </c>
      <c r="Y2570">
        <v>22</v>
      </c>
      <c r="Z2570">
        <v>0</v>
      </c>
      <c r="AA2570" t="s">
        <v>49</v>
      </c>
      <c r="AB2570">
        <v>0</v>
      </c>
      <c r="AC2570" t="s">
        <v>49</v>
      </c>
      <c r="AD2570">
        <v>0</v>
      </c>
      <c r="AE2570">
        <v>10493937</v>
      </c>
      <c r="AF2570" t="s">
        <v>63</v>
      </c>
      <c r="AG2570" t="s">
        <v>118</v>
      </c>
    </row>
    <row r="2571" spans="1:33" x14ac:dyDescent="0.35">
      <c r="A2571" s="1">
        <v>44828.759722222225</v>
      </c>
      <c r="B2571">
        <v>4702333</v>
      </c>
      <c r="C2571" t="s">
        <v>5402</v>
      </c>
      <c r="D2571" t="s">
        <v>125</v>
      </c>
      <c r="E2571" s="2">
        <v>37861</v>
      </c>
      <c r="F2571" t="str">
        <f>"9780195347708"</f>
        <v>9780195347708</v>
      </c>
      <c r="G2571" t="str">
        <f>"9780195160857"</f>
        <v>9780195160857</v>
      </c>
      <c r="H2571" t="s">
        <v>3234</v>
      </c>
      <c r="I2571" t="s">
        <v>5403</v>
      </c>
      <c r="J2571" t="s">
        <v>5404</v>
      </c>
      <c r="K2571" t="s">
        <v>44</v>
      </c>
      <c r="N2571" t="s">
        <v>45</v>
      </c>
      <c r="O2571" t="s">
        <v>46</v>
      </c>
      <c r="P2571" t="s">
        <v>45</v>
      </c>
      <c r="Q2571" t="s">
        <v>47</v>
      </c>
      <c r="R2571" t="s">
        <v>44</v>
      </c>
      <c r="S2571">
        <v>0</v>
      </c>
      <c r="W2571" s="3">
        <v>7.5694444444444446E-3</v>
      </c>
      <c r="X2571" t="s">
        <v>5405</v>
      </c>
      <c r="Y2571">
        <v>12</v>
      </c>
      <c r="Z2571">
        <v>0</v>
      </c>
      <c r="AA2571" t="s">
        <v>49</v>
      </c>
      <c r="AB2571">
        <v>0</v>
      </c>
      <c r="AC2571" t="s">
        <v>49</v>
      </c>
      <c r="AD2571">
        <v>0</v>
      </c>
      <c r="AE2571">
        <v>11273521</v>
      </c>
      <c r="AF2571" t="s">
        <v>63</v>
      </c>
      <c r="AG2571" t="s">
        <v>1355</v>
      </c>
    </row>
    <row r="2572" spans="1:33" x14ac:dyDescent="0.35">
      <c r="A2572" s="1">
        <v>44828.759027777778</v>
      </c>
      <c r="B2572">
        <v>6640791</v>
      </c>
      <c r="C2572" t="s">
        <v>5366</v>
      </c>
      <c r="D2572" t="s">
        <v>443</v>
      </c>
      <c r="E2572" s="2">
        <v>44432</v>
      </c>
      <c r="F2572" t="str">
        <f>"9780520974647"</f>
        <v>9780520974647</v>
      </c>
      <c r="G2572" t="str">
        <f>"9780520342514"</f>
        <v>9780520342514</v>
      </c>
      <c r="H2572" t="s">
        <v>1046</v>
      </c>
      <c r="I2572">
        <v>305.48697095414002</v>
      </c>
      <c r="K2572" t="s">
        <v>55</v>
      </c>
      <c r="Q2572" t="s">
        <v>47</v>
      </c>
      <c r="R2572" t="s">
        <v>44</v>
      </c>
      <c r="S2572">
        <v>0</v>
      </c>
      <c r="W2572" s="3">
        <v>4.8263888888888887E-3</v>
      </c>
      <c r="X2572" t="s">
        <v>5406</v>
      </c>
      <c r="Y2572">
        <v>2</v>
      </c>
      <c r="Z2572">
        <v>0</v>
      </c>
      <c r="AA2572" t="s">
        <v>49</v>
      </c>
      <c r="AB2572">
        <v>0</v>
      </c>
      <c r="AC2572" t="s">
        <v>49</v>
      </c>
      <c r="AD2572">
        <v>0</v>
      </c>
      <c r="AE2572">
        <v>-1</v>
      </c>
      <c r="AF2572" t="s">
        <v>50</v>
      </c>
      <c r="AG2572" t="s">
        <v>1476</v>
      </c>
    </row>
    <row r="2573" spans="1:33" x14ac:dyDescent="0.35">
      <c r="A2573" s="1">
        <v>44828.756944444445</v>
      </c>
      <c r="B2573">
        <v>357992</v>
      </c>
      <c r="C2573" t="s">
        <v>5391</v>
      </c>
      <c r="D2573" t="s">
        <v>5392</v>
      </c>
      <c r="E2573" s="2">
        <v>39569</v>
      </c>
      <c r="F2573" t="str">
        <f>"9780833045317"</f>
        <v>9780833045317</v>
      </c>
      <c r="G2573" t="str">
        <f>"9780833044570"</f>
        <v>9780833044570</v>
      </c>
      <c r="H2573" t="s">
        <v>425</v>
      </c>
      <c r="I2573" t="s">
        <v>5393</v>
      </c>
      <c r="J2573" t="s">
        <v>5394</v>
      </c>
      <c r="K2573" t="s">
        <v>44</v>
      </c>
      <c r="N2573" t="s">
        <v>45</v>
      </c>
      <c r="O2573" t="s">
        <v>46</v>
      </c>
      <c r="P2573" t="s">
        <v>177</v>
      </c>
      <c r="Q2573" t="s">
        <v>47</v>
      </c>
      <c r="R2573" t="s">
        <v>55</v>
      </c>
      <c r="S2573">
        <v>0</v>
      </c>
      <c r="W2573" s="3">
        <v>1.0416666666666666E-2</v>
      </c>
      <c r="X2573" t="s">
        <v>5407</v>
      </c>
      <c r="Y2573">
        <v>17</v>
      </c>
      <c r="Z2573">
        <v>0</v>
      </c>
      <c r="AA2573" t="s">
        <v>49</v>
      </c>
      <c r="AB2573">
        <v>0</v>
      </c>
      <c r="AC2573" t="s">
        <v>49</v>
      </c>
      <c r="AD2573">
        <v>0</v>
      </c>
      <c r="AE2573">
        <v>10246314</v>
      </c>
      <c r="AF2573" t="s">
        <v>63</v>
      </c>
      <c r="AG2573" t="s">
        <v>1355</v>
      </c>
    </row>
    <row r="2574" spans="1:33" x14ac:dyDescent="0.35">
      <c r="A2574" s="1">
        <v>44828.747916666667</v>
      </c>
      <c r="B2574">
        <v>4396575</v>
      </c>
      <c r="C2574" t="s">
        <v>1474</v>
      </c>
      <c r="D2574" t="s">
        <v>645</v>
      </c>
      <c r="E2574" s="2">
        <v>42278</v>
      </c>
      <c r="F2574" t="str">
        <f>"9781438457765"</f>
        <v>9781438457765</v>
      </c>
      <c r="G2574" t="str">
        <f>"9781438457758"</f>
        <v>9781438457758</v>
      </c>
      <c r="H2574" t="s">
        <v>1046</v>
      </c>
      <c r="I2574" t="s">
        <v>1203</v>
      </c>
      <c r="K2574" t="s">
        <v>44</v>
      </c>
      <c r="N2574" t="s">
        <v>45</v>
      </c>
      <c r="O2574" t="s">
        <v>46</v>
      </c>
      <c r="P2574" t="s">
        <v>45</v>
      </c>
      <c r="Q2574" t="s">
        <v>47</v>
      </c>
      <c r="R2574" t="s">
        <v>44</v>
      </c>
      <c r="S2574">
        <v>0</v>
      </c>
      <c r="W2574" s="3">
        <v>0.1013425925925926</v>
      </c>
      <c r="X2574" t="s">
        <v>5408</v>
      </c>
      <c r="Y2574">
        <v>145</v>
      </c>
      <c r="Z2574">
        <v>0</v>
      </c>
      <c r="AA2574" t="s">
        <v>49</v>
      </c>
      <c r="AB2574">
        <v>0</v>
      </c>
      <c r="AC2574" t="s">
        <v>2526</v>
      </c>
      <c r="AD2574">
        <v>2</v>
      </c>
      <c r="AE2574">
        <v>11155580</v>
      </c>
      <c r="AF2574" t="s">
        <v>50</v>
      </c>
      <c r="AG2574" t="s">
        <v>1476</v>
      </c>
    </row>
    <row r="2575" spans="1:33" x14ac:dyDescent="0.35">
      <c r="A2575" s="1">
        <v>44828.746527777781</v>
      </c>
      <c r="B2575">
        <v>1981290</v>
      </c>
      <c r="C2575" t="s">
        <v>5371</v>
      </c>
      <c r="D2575" t="s">
        <v>473</v>
      </c>
      <c r="E2575" s="2">
        <v>42061</v>
      </c>
      <c r="F2575" t="str">
        <f>"9789004289857"</f>
        <v>9789004289857</v>
      </c>
      <c r="G2575" t="str">
        <f>"9789004289796"</f>
        <v>9789004289796</v>
      </c>
      <c r="H2575" t="s">
        <v>337</v>
      </c>
      <c r="I2575">
        <v>320.95609999999999</v>
      </c>
      <c r="J2575" t="s">
        <v>5372</v>
      </c>
      <c r="K2575" t="s">
        <v>44</v>
      </c>
      <c r="N2575" t="s">
        <v>45</v>
      </c>
      <c r="O2575" t="s">
        <v>46</v>
      </c>
      <c r="P2575" t="s">
        <v>45</v>
      </c>
      <c r="Q2575" t="s">
        <v>47</v>
      </c>
      <c r="R2575" t="s">
        <v>44</v>
      </c>
      <c r="S2575">
        <v>0</v>
      </c>
      <c r="W2575" s="3">
        <v>2.9074074074074075E-2</v>
      </c>
      <c r="X2575" t="s">
        <v>5409</v>
      </c>
      <c r="Y2575">
        <v>53</v>
      </c>
      <c r="Z2575">
        <v>0</v>
      </c>
      <c r="AA2575" t="s">
        <v>49</v>
      </c>
      <c r="AB2575">
        <v>0</v>
      </c>
      <c r="AC2575" t="s">
        <v>49</v>
      </c>
      <c r="AD2575">
        <v>0</v>
      </c>
      <c r="AE2575">
        <v>11028468</v>
      </c>
      <c r="AF2575" t="s">
        <v>50</v>
      </c>
      <c r="AG2575" t="s">
        <v>118</v>
      </c>
    </row>
    <row r="2576" spans="1:33" x14ac:dyDescent="0.35">
      <c r="A2576" s="1">
        <v>44828.745138888888</v>
      </c>
      <c r="B2576">
        <v>3138280</v>
      </c>
      <c r="C2576" t="s">
        <v>2906</v>
      </c>
      <c r="D2576" t="s">
        <v>2234</v>
      </c>
      <c r="E2576" s="2">
        <v>40892</v>
      </c>
      <c r="F2576" t="str">
        <f>"9780801464836"</f>
        <v>9780801464836</v>
      </c>
      <c r="G2576" t="str">
        <f>"9780801445712"</f>
        <v>9780801445712</v>
      </c>
      <c r="H2576" t="s">
        <v>162</v>
      </c>
      <c r="I2576">
        <v>297</v>
      </c>
      <c r="J2576" t="s">
        <v>2907</v>
      </c>
      <c r="K2576" t="s">
        <v>44</v>
      </c>
      <c r="N2576" t="s">
        <v>45</v>
      </c>
      <c r="O2576" t="s">
        <v>46</v>
      </c>
      <c r="P2576" t="s">
        <v>177</v>
      </c>
      <c r="Q2576" t="s">
        <v>47</v>
      </c>
      <c r="R2576" t="s">
        <v>55</v>
      </c>
      <c r="S2576">
        <v>0</v>
      </c>
      <c r="W2576" s="3">
        <v>0</v>
      </c>
      <c r="X2576" t="s">
        <v>49</v>
      </c>
      <c r="Y2576">
        <v>0</v>
      </c>
      <c r="Z2576">
        <v>0</v>
      </c>
      <c r="AA2576" t="s">
        <v>49</v>
      </c>
      <c r="AB2576">
        <v>0</v>
      </c>
      <c r="AC2576" t="s">
        <v>49</v>
      </c>
      <c r="AD2576">
        <v>0</v>
      </c>
      <c r="AE2576">
        <v>10516004</v>
      </c>
      <c r="AF2576" t="s">
        <v>50</v>
      </c>
      <c r="AG2576" t="s">
        <v>1476</v>
      </c>
    </row>
    <row r="2577" spans="1:33" x14ac:dyDescent="0.35">
      <c r="A2577" s="1">
        <v>44828.740972222222</v>
      </c>
      <c r="B2577">
        <v>460330</v>
      </c>
      <c r="C2577" t="s">
        <v>5352</v>
      </c>
      <c r="D2577" t="s">
        <v>76</v>
      </c>
      <c r="E2577" s="2">
        <v>40142</v>
      </c>
      <c r="F2577" t="str">
        <f>"9780203867525"</f>
        <v>9780203867525</v>
      </c>
      <c r="G2577" t="str">
        <f>"9780415488983"</f>
        <v>9780415488983</v>
      </c>
      <c r="H2577" t="s">
        <v>712</v>
      </c>
      <c r="I2577" t="s">
        <v>5353</v>
      </c>
      <c r="J2577" t="s">
        <v>5354</v>
      </c>
      <c r="K2577" t="s">
        <v>44</v>
      </c>
      <c r="N2577" t="s">
        <v>45</v>
      </c>
      <c r="O2577" t="s">
        <v>46</v>
      </c>
      <c r="P2577" t="s">
        <v>45</v>
      </c>
      <c r="Q2577" t="s">
        <v>47</v>
      </c>
      <c r="R2577" t="s">
        <v>44</v>
      </c>
      <c r="S2577">
        <v>0</v>
      </c>
      <c r="W2577" s="3">
        <v>3.8194444444444446E-4</v>
      </c>
      <c r="X2577" t="s">
        <v>5410</v>
      </c>
      <c r="Y2577">
        <v>4</v>
      </c>
      <c r="Z2577">
        <v>0</v>
      </c>
      <c r="AA2577" t="s">
        <v>49</v>
      </c>
      <c r="AB2577">
        <v>0</v>
      </c>
      <c r="AC2577" t="s">
        <v>49</v>
      </c>
      <c r="AD2577">
        <v>0</v>
      </c>
      <c r="AE2577">
        <v>10349537</v>
      </c>
      <c r="AF2577" t="s">
        <v>50</v>
      </c>
      <c r="AG2577" t="s">
        <v>118</v>
      </c>
    </row>
    <row r="2578" spans="1:33" x14ac:dyDescent="0.35">
      <c r="A2578" s="1">
        <v>44828.738194444442</v>
      </c>
      <c r="B2578">
        <v>5829217</v>
      </c>
      <c r="C2578" t="s">
        <v>626</v>
      </c>
      <c r="D2578" t="s">
        <v>627</v>
      </c>
      <c r="E2578" s="2">
        <v>43259</v>
      </c>
      <c r="F2578" t="str">
        <f>"9781496395139"</f>
        <v>9781496395139</v>
      </c>
      <c r="G2578" t="str">
        <f>"9781496335418"</f>
        <v>9781496335418</v>
      </c>
      <c r="H2578" t="s">
        <v>77</v>
      </c>
      <c r="I2578" t="s">
        <v>628</v>
      </c>
      <c r="J2578" t="s">
        <v>629</v>
      </c>
      <c r="K2578" t="s">
        <v>44</v>
      </c>
      <c r="N2578" t="s">
        <v>45</v>
      </c>
      <c r="O2578" t="s">
        <v>46</v>
      </c>
      <c r="P2578" t="s">
        <v>45</v>
      </c>
      <c r="Q2578" t="s">
        <v>47</v>
      </c>
      <c r="R2578" t="s">
        <v>44</v>
      </c>
      <c r="S2578">
        <v>1</v>
      </c>
      <c r="W2578" s="3">
        <v>0</v>
      </c>
      <c r="X2578" t="s">
        <v>49</v>
      </c>
      <c r="Y2578">
        <v>0</v>
      </c>
      <c r="Z2578">
        <v>0</v>
      </c>
      <c r="AA2578" t="s">
        <v>49</v>
      </c>
      <c r="AB2578">
        <v>0</v>
      </c>
      <c r="AC2578" t="s">
        <v>49</v>
      </c>
      <c r="AD2578">
        <v>0</v>
      </c>
      <c r="AE2578">
        <v>-1</v>
      </c>
      <c r="AF2578" t="s">
        <v>63</v>
      </c>
      <c r="AG2578" t="s">
        <v>630</v>
      </c>
    </row>
    <row r="2579" spans="1:33" x14ac:dyDescent="0.35">
      <c r="A2579" s="1">
        <v>44828.737500000003</v>
      </c>
      <c r="B2579">
        <v>5829217</v>
      </c>
      <c r="C2579" t="s">
        <v>626</v>
      </c>
      <c r="D2579" t="s">
        <v>627</v>
      </c>
      <c r="E2579" s="2">
        <v>43259</v>
      </c>
      <c r="F2579" t="str">
        <f>"9781496395139"</f>
        <v>9781496395139</v>
      </c>
      <c r="G2579" t="str">
        <f>"9781496335418"</f>
        <v>9781496335418</v>
      </c>
      <c r="H2579" t="s">
        <v>77</v>
      </c>
      <c r="I2579" t="s">
        <v>628</v>
      </c>
      <c r="J2579" t="s">
        <v>629</v>
      </c>
      <c r="K2579" t="s">
        <v>44</v>
      </c>
      <c r="N2579" t="s">
        <v>45</v>
      </c>
      <c r="O2579" t="s">
        <v>46</v>
      </c>
      <c r="P2579" t="s">
        <v>45</v>
      </c>
      <c r="Q2579" t="s">
        <v>47</v>
      </c>
      <c r="R2579" t="s">
        <v>44</v>
      </c>
      <c r="S2579">
        <v>0</v>
      </c>
      <c r="W2579" s="3">
        <v>0</v>
      </c>
      <c r="X2579" t="s">
        <v>49</v>
      </c>
      <c r="Y2579">
        <v>0</v>
      </c>
      <c r="Z2579">
        <v>1</v>
      </c>
      <c r="AA2579" t="s">
        <v>5411</v>
      </c>
      <c r="AB2579">
        <v>3</v>
      </c>
      <c r="AC2579" t="s">
        <v>49</v>
      </c>
      <c r="AD2579">
        <v>0</v>
      </c>
      <c r="AE2579">
        <v>-1</v>
      </c>
      <c r="AF2579" t="s">
        <v>50</v>
      </c>
      <c r="AG2579" t="s">
        <v>630</v>
      </c>
    </row>
    <row r="2580" spans="1:33" x14ac:dyDescent="0.35">
      <c r="A2580" s="1">
        <v>44828.732638888891</v>
      </c>
      <c r="B2580">
        <v>1010562</v>
      </c>
      <c r="C2580" t="s">
        <v>5412</v>
      </c>
      <c r="D2580" t="s">
        <v>473</v>
      </c>
      <c r="E2580" s="2">
        <v>40872</v>
      </c>
      <c r="F2580" t="str">
        <f>"9789004209367"</f>
        <v>9789004209367</v>
      </c>
      <c r="G2580" t="str">
        <f>"9789004211469"</f>
        <v>9789004211469</v>
      </c>
      <c r="H2580" t="s">
        <v>3977</v>
      </c>
      <c r="I2580">
        <v>297.60820000000001</v>
      </c>
      <c r="J2580" t="s">
        <v>5413</v>
      </c>
      <c r="K2580" t="s">
        <v>44</v>
      </c>
      <c r="N2580" t="s">
        <v>45</v>
      </c>
      <c r="O2580" t="s">
        <v>46</v>
      </c>
      <c r="P2580" t="s">
        <v>45</v>
      </c>
      <c r="Q2580" t="s">
        <v>47</v>
      </c>
      <c r="R2580" t="s">
        <v>44</v>
      </c>
      <c r="S2580">
        <v>0</v>
      </c>
      <c r="W2580" s="3">
        <v>4.2696759259259261E-2</v>
      </c>
      <c r="X2580" t="s">
        <v>5414</v>
      </c>
      <c r="Y2580">
        <v>29</v>
      </c>
      <c r="Z2580">
        <v>0</v>
      </c>
      <c r="AA2580" t="s">
        <v>49</v>
      </c>
      <c r="AB2580">
        <v>0</v>
      </c>
      <c r="AC2580" t="s">
        <v>49</v>
      </c>
      <c r="AD2580">
        <v>0</v>
      </c>
      <c r="AE2580">
        <v>10518132</v>
      </c>
      <c r="AF2580" t="s">
        <v>50</v>
      </c>
      <c r="AG2580" t="s">
        <v>1476</v>
      </c>
    </row>
    <row r="2581" spans="1:33" x14ac:dyDescent="0.35">
      <c r="A2581" s="1">
        <v>44828.731249999997</v>
      </c>
      <c r="B2581">
        <v>1889130</v>
      </c>
      <c r="C2581" t="s">
        <v>5415</v>
      </c>
      <c r="D2581" t="s">
        <v>5416</v>
      </c>
      <c r="E2581" s="2">
        <v>41228</v>
      </c>
      <c r="F2581" t="str">
        <f>"9780708325414"</f>
        <v>9780708325414</v>
      </c>
      <c r="G2581" t="str">
        <f>"9780708325391"</f>
        <v>9780708325391</v>
      </c>
      <c r="H2581" t="s">
        <v>5417</v>
      </c>
      <c r="I2581">
        <v>305.48696999999999</v>
      </c>
      <c r="J2581" t="s">
        <v>5418</v>
      </c>
      <c r="K2581" t="s">
        <v>44</v>
      </c>
      <c r="N2581" t="s">
        <v>45</v>
      </c>
      <c r="O2581" t="s">
        <v>46</v>
      </c>
      <c r="P2581" t="s">
        <v>45</v>
      </c>
      <c r="Q2581" t="s">
        <v>47</v>
      </c>
      <c r="R2581" t="s">
        <v>44</v>
      </c>
      <c r="S2581">
        <v>0</v>
      </c>
      <c r="W2581" s="3">
        <v>1.25E-3</v>
      </c>
      <c r="X2581" t="s">
        <v>5419</v>
      </c>
      <c r="Y2581">
        <v>12</v>
      </c>
      <c r="Z2581">
        <v>0</v>
      </c>
      <c r="AA2581" t="s">
        <v>49</v>
      </c>
      <c r="AB2581">
        <v>0</v>
      </c>
      <c r="AC2581" t="s">
        <v>49</v>
      </c>
      <c r="AD2581">
        <v>0</v>
      </c>
      <c r="AE2581">
        <v>10626969</v>
      </c>
      <c r="AF2581" t="s">
        <v>50</v>
      </c>
      <c r="AG2581" t="s">
        <v>1476</v>
      </c>
    </row>
    <row r="2582" spans="1:33" x14ac:dyDescent="0.35">
      <c r="A2582" s="1">
        <v>44828.727083333331</v>
      </c>
      <c r="B2582">
        <v>5612918</v>
      </c>
      <c r="C2582" t="s">
        <v>5138</v>
      </c>
      <c r="D2582" t="s">
        <v>59</v>
      </c>
      <c r="E2582" s="2">
        <v>43433</v>
      </c>
      <c r="F2582" t="str">
        <f>"9781119128649"</f>
        <v>9781119128649</v>
      </c>
      <c r="G2582" t="str">
        <f>"9781119128618"</f>
        <v>9781119128618</v>
      </c>
      <c r="H2582" t="s">
        <v>542</v>
      </c>
      <c r="I2582">
        <v>621.38224000000002</v>
      </c>
      <c r="J2582" t="s">
        <v>5139</v>
      </c>
      <c r="K2582" t="s">
        <v>44</v>
      </c>
      <c r="N2582" t="s">
        <v>45</v>
      </c>
      <c r="O2582" t="s">
        <v>46</v>
      </c>
      <c r="P2582" t="s">
        <v>45</v>
      </c>
      <c r="Q2582" t="s">
        <v>47</v>
      </c>
      <c r="R2582" t="s">
        <v>44</v>
      </c>
      <c r="S2582">
        <v>0</v>
      </c>
      <c r="W2582" s="3">
        <v>1.8958333333333334E-2</v>
      </c>
      <c r="X2582" t="s">
        <v>5420</v>
      </c>
      <c r="Y2582">
        <v>26</v>
      </c>
      <c r="Z2582">
        <v>1</v>
      </c>
      <c r="AA2582" t="s">
        <v>1346</v>
      </c>
      <c r="AB2582">
        <v>4</v>
      </c>
      <c r="AC2582" t="s">
        <v>49</v>
      </c>
      <c r="AD2582">
        <v>0</v>
      </c>
      <c r="AE2582">
        <v>-1</v>
      </c>
      <c r="AF2582" t="s">
        <v>50</v>
      </c>
      <c r="AG2582" t="s">
        <v>5140</v>
      </c>
    </row>
    <row r="2583" spans="1:33" x14ac:dyDescent="0.35">
      <c r="A2583" s="1">
        <v>44828.702777777777</v>
      </c>
      <c r="B2583">
        <v>433497</v>
      </c>
      <c r="C2583" t="s">
        <v>5200</v>
      </c>
      <c r="D2583" t="s">
        <v>5201</v>
      </c>
      <c r="E2583" s="2">
        <v>39173</v>
      </c>
      <c r="F2583" t="str">
        <f>"9789812619280"</f>
        <v>9789812619280</v>
      </c>
      <c r="G2583" t="str">
        <f>"9789812612786"</f>
        <v>9789812612786</v>
      </c>
      <c r="H2583" t="s">
        <v>162</v>
      </c>
      <c r="I2583">
        <v>297</v>
      </c>
      <c r="J2583" t="s">
        <v>5202</v>
      </c>
      <c r="K2583" t="s">
        <v>44</v>
      </c>
      <c r="N2583" t="s">
        <v>45</v>
      </c>
      <c r="O2583" t="s">
        <v>46</v>
      </c>
      <c r="P2583" t="s">
        <v>45</v>
      </c>
      <c r="Q2583" t="s">
        <v>47</v>
      </c>
      <c r="R2583" t="s">
        <v>44</v>
      </c>
      <c r="S2583">
        <v>0</v>
      </c>
      <c r="W2583" s="3">
        <v>3.3680555555555554E-2</v>
      </c>
      <c r="X2583" t="s">
        <v>5421</v>
      </c>
      <c r="Y2583">
        <v>35</v>
      </c>
      <c r="Z2583">
        <v>0</v>
      </c>
      <c r="AA2583" t="s">
        <v>49</v>
      </c>
      <c r="AB2583">
        <v>0</v>
      </c>
      <c r="AC2583" t="s">
        <v>49</v>
      </c>
      <c r="AD2583">
        <v>0</v>
      </c>
      <c r="AE2583">
        <v>10515528</v>
      </c>
      <c r="AF2583" t="s">
        <v>50</v>
      </c>
      <c r="AG2583" t="s">
        <v>5126</v>
      </c>
    </row>
    <row r="2584" spans="1:33" x14ac:dyDescent="0.35">
      <c r="A2584" s="1">
        <v>44828.62777777778</v>
      </c>
      <c r="B2584">
        <v>6644191</v>
      </c>
      <c r="C2584" t="s">
        <v>4765</v>
      </c>
      <c r="D2584" t="s">
        <v>213</v>
      </c>
      <c r="E2584" s="2">
        <v>44372</v>
      </c>
      <c r="F2584" t="str">
        <f>"9780128205310"</f>
        <v>9780128205310</v>
      </c>
      <c r="G2584" t="str">
        <f>"9780128205303"</f>
        <v>9780128205303</v>
      </c>
      <c r="H2584" t="s">
        <v>4766</v>
      </c>
      <c r="I2584">
        <v>536.70000000000005</v>
      </c>
      <c r="J2584" t="s">
        <v>4767</v>
      </c>
      <c r="K2584" t="s">
        <v>55</v>
      </c>
      <c r="Q2584" t="s">
        <v>47</v>
      </c>
      <c r="R2584" t="s">
        <v>44</v>
      </c>
      <c r="S2584">
        <v>0</v>
      </c>
      <c r="W2584" s="3">
        <v>9.2592592592592588E-5</v>
      </c>
      <c r="X2584" t="s">
        <v>4768</v>
      </c>
      <c r="Y2584">
        <v>1</v>
      </c>
      <c r="Z2584">
        <v>0</v>
      </c>
      <c r="AA2584" t="s">
        <v>49</v>
      </c>
      <c r="AB2584">
        <v>0</v>
      </c>
      <c r="AC2584" t="s">
        <v>49</v>
      </c>
      <c r="AD2584">
        <v>0</v>
      </c>
      <c r="AE2584">
        <v>-1</v>
      </c>
      <c r="AF2584" t="s">
        <v>50</v>
      </c>
      <c r="AG2584" t="s">
        <v>118</v>
      </c>
    </row>
    <row r="2585" spans="1:33" x14ac:dyDescent="0.35">
      <c r="A2585" s="1">
        <v>44828.613194444442</v>
      </c>
      <c r="B2585">
        <v>357992</v>
      </c>
      <c r="C2585" t="s">
        <v>5391</v>
      </c>
      <c r="D2585" t="s">
        <v>5392</v>
      </c>
      <c r="E2585" s="2">
        <v>39569</v>
      </c>
      <c r="F2585" t="str">
        <f>"9780833045317"</f>
        <v>9780833045317</v>
      </c>
      <c r="G2585" t="str">
        <f>"9780833044570"</f>
        <v>9780833044570</v>
      </c>
      <c r="H2585" t="s">
        <v>425</v>
      </c>
      <c r="I2585" t="s">
        <v>5393</v>
      </c>
      <c r="J2585" t="s">
        <v>5394</v>
      </c>
      <c r="K2585" t="s">
        <v>44</v>
      </c>
      <c r="N2585" t="s">
        <v>45</v>
      </c>
      <c r="O2585" t="s">
        <v>46</v>
      </c>
      <c r="P2585" t="s">
        <v>177</v>
      </c>
      <c r="Q2585" t="s">
        <v>47</v>
      </c>
      <c r="R2585" t="s">
        <v>55</v>
      </c>
      <c r="S2585">
        <v>0</v>
      </c>
      <c r="W2585" s="3">
        <v>2.7627314814814813E-2</v>
      </c>
      <c r="X2585" t="s">
        <v>5422</v>
      </c>
      <c r="Y2585">
        <v>7</v>
      </c>
      <c r="Z2585">
        <v>0</v>
      </c>
      <c r="AA2585" t="s">
        <v>49</v>
      </c>
      <c r="AB2585">
        <v>0</v>
      </c>
      <c r="AC2585" t="s">
        <v>49</v>
      </c>
      <c r="AD2585">
        <v>0</v>
      </c>
      <c r="AE2585">
        <v>10246314</v>
      </c>
      <c r="AF2585" t="s">
        <v>50</v>
      </c>
      <c r="AG2585" t="s">
        <v>1355</v>
      </c>
    </row>
    <row r="2586" spans="1:33" x14ac:dyDescent="0.35">
      <c r="A2586" s="1">
        <v>44828.586111111108</v>
      </c>
      <c r="B2586">
        <v>6526734</v>
      </c>
      <c r="C2586" t="s">
        <v>1485</v>
      </c>
      <c r="D2586" t="s">
        <v>1486</v>
      </c>
      <c r="E2586" s="2">
        <v>41479</v>
      </c>
      <c r="F2586" t="str">
        <f>"9781626370586"</f>
        <v>9781626370586</v>
      </c>
      <c r="G2586" t="str">
        <f>"9781588269096"</f>
        <v>9781588269096</v>
      </c>
      <c r="H2586" t="s">
        <v>1046</v>
      </c>
      <c r="I2586">
        <v>305.42095599999999</v>
      </c>
      <c r="J2586" t="s">
        <v>1487</v>
      </c>
      <c r="K2586" t="s">
        <v>44</v>
      </c>
      <c r="N2586" t="s">
        <v>45</v>
      </c>
      <c r="O2586" t="s">
        <v>46</v>
      </c>
      <c r="P2586" t="s">
        <v>45</v>
      </c>
      <c r="Q2586" t="s">
        <v>47</v>
      </c>
      <c r="R2586" t="s">
        <v>44</v>
      </c>
      <c r="S2586">
        <v>0</v>
      </c>
      <c r="W2586" s="3">
        <v>1.9201388888888889E-2</v>
      </c>
      <c r="X2586" t="s">
        <v>196</v>
      </c>
      <c r="Y2586">
        <v>2</v>
      </c>
      <c r="Z2586">
        <v>0</v>
      </c>
      <c r="AA2586" t="s">
        <v>49</v>
      </c>
      <c r="AB2586">
        <v>0</v>
      </c>
      <c r="AC2586" t="s">
        <v>49</v>
      </c>
      <c r="AD2586">
        <v>0</v>
      </c>
      <c r="AE2586">
        <v>-1</v>
      </c>
      <c r="AF2586" t="s">
        <v>50</v>
      </c>
      <c r="AG2586" t="s">
        <v>1476</v>
      </c>
    </row>
    <row r="2587" spans="1:33" x14ac:dyDescent="0.35">
      <c r="A2587" s="1">
        <v>44828.584722222222</v>
      </c>
      <c r="B2587">
        <v>1780931</v>
      </c>
      <c r="C2587" t="s">
        <v>1481</v>
      </c>
      <c r="D2587" t="s">
        <v>1482</v>
      </c>
      <c r="E2587" s="2">
        <v>41835</v>
      </c>
      <c r="F2587" t="str">
        <f>"9781558618565"</f>
        <v>9781558618565</v>
      </c>
      <c r="G2587" t="str">
        <f>"9781558618558"</f>
        <v>9781558618558</v>
      </c>
      <c r="H2587" t="s">
        <v>1046</v>
      </c>
      <c r="I2587">
        <v>305.48697091759198</v>
      </c>
      <c r="J2587" t="s">
        <v>1483</v>
      </c>
      <c r="K2587" t="s">
        <v>44</v>
      </c>
      <c r="N2587" t="s">
        <v>45</v>
      </c>
      <c r="O2587" t="s">
        <v>46</v>
      </c>
      <c r="P2587" t="s">
        <v>45</v>
      </c>
      <c r="Q2587" t="s">
        <v>47</v>
      </c>
      <c r="R2587" t="s">
        <v>44</v>
      </c>
      <c r="S2587">
        <v>0</v>
      </c>
      <c r="W2587" s="3">
        <v>2.0243055555555552E-2</v>
      </c>
      <c r="X2587" t="s">
        <v>2792</v>
      </c>
      <c r="Y2587">
        <v>3</v>
      </c>
      <c r="Z2587">
        <v>0</v>
      </c>
      <c r="AA2587" t="s">
        <v>49</v>
      </c>
      <c r="AB2587">
        <v>0</v>
      </c>
      <c r="AC2587" t="s">
        <v>49</v>
      </c>
      <c r="AD2587">
        <v>0</v>
      </c>
      <c r="AE2587">
        <v>10993187</v>
      </c>
      <c r="AF2587" t="s">
        <v>50</v>
      </c>
      <c r="AG2587" t="s">
        <v>1476</v>
      </c>
    </row>
    <row r="2588" spans="1:33" x14ac:dyDescent="0.35">
      <c r="A2588" s="1">
        <v>44828.584722222222</v>
      </c>
      <c r="B2588">
        <v>6469852</v>
      </c>
      <c r="C2588" t="s">
        <v>5291</v>
      </c>
      <c r="D2588" t="s">
        <v>347</v>
      </c>
      <c r="E2588" s="2">
        <v>44271</v>
      </c>
      <c r="F2588" t="str">
        <f>"9780300258172"</f>
        <v>9780300258172</v>
      </c>
      <c r="G2588" t="str">
        <f>"9780300257311"</f>
        <v>9780300257311</v>
      </c>
      <c r="H2588" t="s">
        <v>1046</v>
      </c>
      <c r="I2588" t="s">
        <v>5292</v>
      </c>
      <c r="J2588" t="s">
        <v>5293</v>
      </c>
      <c r="K2588" t="s">
        <v>55</v>
      </c>
      <c r="Q2588" t="s">
        <v>47</v>
      </c>
      <c r="R2588" t="s">
        <v>44</v>
      </c>
      <c r="S2588">
        <v>0</v>
      </c>
      <c r="W2588" s="3">
        <v>2.0937499999999998E-2</v>
      </c>
      <c r="X2588" t="s">
        <v>121</v>
      </c>
      <c r="Y2588">
        <v>1</v>
      </c>
      <c r="Z2588">
        <v>0</v>
      </c>
      <c r="AA2588" t="s">
        <v>49</v>
      </c>
      <c r="AB2588">
        <v>0</v>
      </c>
      <c r="AC2588" t="s">
        <v>49</v>
      </c>
      <c r="AD2588">
        <v>0</v>
      </c>
      <c r="AE2588">
        <v>-1</v>
      </c>
      <c r="AF2588" t="s">
        <v>50</v>
      </c>
      <c r="AG2588" t="s">
        <v>1476</v>
      </c>
    </row>
    <row r="2589" spans="1:33" x14ac:dyDescent="0.35">
      <c r="A2589" s="1">
        <v>44828.584027777775</v>
      </c>
      <c r="B2589">
        <v>6640791</v>
      </c>
      <c r="C2589" t="s">
        <v>5366</v>
      </c>
      <c r="D2589" t="s">
        <v>443</v>
      </c>
      <c r="E2589" s="2">
        <v>44432</v>
      </c>
      <c r="F2589" t="str">
        <f>"9780520974647"</f>
        <v>9780520974647</v>
      </c>
      <c r="G2589" t="str">
        <f>"9780520342514"</f>
        <v>9780520342514</v>
      </c>
      <c r="H2589" t="s">
        <v>1046</v>
      </c>
      <c r="I2589">
        <v>305.48697095414002</v>
      </c>
      <c r="K2589" t="s">
        <v>55</v>
      </c>
      <c r="Q2589" t="s">
        <v>47</v>
      </c>
      <c r="R2589" t="s">
        <v>44</v>
      </c>
      <c r="S2589">
        <v>0</v>
      </c>
      <c r="W2589" s="3">
        <v>4.6296296296296294E-5</v>
      </c>
      <c r="X2589" t="s">
        <v>113</v>
      </c>
      <c r="Y2589">
        <v>2</v>
      </c>
      <c r="Z2589">
        <v>0</v>
      </c>
      <c r="AA2589" t="s">
        <v>49</v>
      </c>
      <c r="AB2589">
        <v>0</v>
      </c>
      <c r="AC2589" t="s">
        <v>49</v>
      </c>
      <c r="AD2589">
        <v>0</v>
      </c>
      <c r="AE2589">
        <v>-1</v>
      </c>
      <c r="AF2589" t="s">
        <v>50</v>
      </c>
      <c r="AG2589" t="s">
        <v>1476</v>
      </c>
    </row>
    <row r="2590" spans="1:33" x14ac:dyDescent="0.35">
      <c r="A2590" s="1">
        <v>44828.584027777775</v>
      </c>
      <c r="B2590">
        <v>4396575</v>
      </c>
      <c r="C2590" t="s">
        <v>1474</v>
      </c>
      <c r="D2590" t="s">
        <v>645</v>
      </c>
      <c r="E2590" s="2">
        <v>42278</v>
      </c>
      <c r="F2590" t="str">
        <f>"9781438457765"</f>
        <v>9781438457765</v>
      </c>
      <c r="G2590" t="str">
        <f>"9781438457758"</f>
        <v>9781438457758</v>
      </c>
      <c r="H2590" t="s">
        <v>1046</v>
      </c>
      <c r="I2590" t="s">
        <v>1203</v>
      </c>
      <c r="K2590" t="s">
        <v>44</v>
      </c>
      <c r="N2590" t="s">
        <v>45</v>
      </c>
      <c r="O2590" t="s">
        <v>46</v>
      </c>
      <c r="P2590" t="s">
        <v>45</v>
      </c>
      <c r="Q2590" t="s">
        <v>47</v>
      </c>
      <c r="R2590" t="s">
        <v>44</v>
      </c>
      <c r="S2590">
        <v>0</v>
      </c>
      <c r="W2590" s="3">
        <v>2.3148148148148147E-5</v>
      </c>
      <c r="X2590" t="s">
        <v>113</v>
      </c>
      <c r="Y2590">
        <v>2</v>
      </c>
      <c r="Z2590">
        <v>0</v>
      </c>
      <c r="AA2590" t="s">
        <v>49</v>
      </c>
      <c r="AB2590">
        <v>0</v>
      </c>
      <c r="AC2590" t="s">
        <v>49</v>
      </c>
      <c r="AD2590">
        <v>0</v>
      </c>
      <c r="AE2590">
        <v>11155580</v>
      </c>
      <c r="AF2590" t="s">
        <v>50</v>
      </c>
      <c r="AG2590" t="s">
        <v>1476</v>
      </c>
    </row>
    <row r="2591" spans="1:33" x14ac:dyDescent="0.35">
      <c r="A2591" s="1">
        <v>44828.583333333336</v>
      </c>
      <c r="B2591">
        <v>1889130</v>
      </c>
      <c r="C2591" t="s">
        <v>5415</v>
      </c>
      <c r="D2591" t="s">
        <v>5416</v>
      </c>
      <c r="E2591" s="2">
        <v>41228</v>
      </c>
      <c r="F2591" t="str">
        <f>"9780708325414"</f>
        <v>9780708325414</v>
      </c>
      <c r="G2591" t="str">
        <f>"9780708325391"</f>
        <v>9780708325391</v>
      </c>
      <c r="H2591" t="s">
        <v>5417</v>
      </c>
      <c r="I2591">
        <v>305.48696999999999</v>
      </c>
      <c r="J2591" t="s">
        <v>5418</v>
      </c>
      <c r="K2591" t="s">
        <v>44</v>
      </c>
      <c r="N2591" t="s">
        <v>45</v>
      </c>
      <c r="O2591" t="s">
        <v>46</v>
      </c>
      <c r="P2591" t="s">
        <v>45</v>
      </c>
      <c r="Q2591" t="s">
        <v>47</v>
      </c>
      <c r="R2591" t="s">
        <v>44</v>
      </c>
      <c r="S2591">
        <v>0</v>
      </c>
      <c r="W2591" s="3">
        <v>2.3148148148148147E-5</v>
      </c>
      <c r="X2591" t="s">
        <v>121</v>
      </c>
      <c r="Y2591">
        <v>1</v>
      </c>
      <c r="Z2591">
        <v>0</v>
      </c>
      <c r="AA2591" t="s">
        <v>49</v>
      </c>
      <c r="AB2591">
        <v>0</v>
      </c>
      <c r="AC2591" t="s">
        <v>49</v>
      </c>
      <c r="AD2591">
        <v>0</v>
      </c>
      <c r="AE2591">
        <v>10626969</v>
      </c>
      <c r="AF2591" t="s">
        <v>50</v>
      </c>
      <c r="AG2591" t="s">
        <v>1476</v>
      </c>
    </row>
    <row r="2592" spans="1:33" x14ac:dyDescent="0.35">
      <c r="A2592" s="1">
        <v>44828.566666666666</v>
      </c>
      <c r="B2592">
        <v>254392</v>
      </c>
      <c r="C2592" t="s">
        <v>5423</v>
      </c>
      <c r="D2592" t="s">
        <v>76</v>
      </c>
      <c r="E2592" s="2">
        <v>37491</v>
      </c>
      <c r="F2592" t="str">
        <f>"9780203988862"</f>
        <v>9780203988862</v>
      </c>
      <c r="G2592" t="str">
        <f>"9780700716913"</f>
        <v>9780700716913</v>
      </c>
      <c r="H2592" t="s">
        <v>162</v>
      </c>
      <c r="I2592">
        <v>297.27199999999999</v>
      </c>
      <c r="J2592" t="s">
        <v>5424</v>
      </c>
      <c r="K2592" t="s">
        <v>44</v>
      </c>
      <c r="N2592" t="s">
        <v>45</v>
      </c>
      <c r="O2592" t="s">
        <v>46</v>
      </c>
      <c r="P2592" t="s">
        <v>45</v>
      </c>
      <c r="Q2592" t="s">
        <v>47</v>
      </c>
      <c r="R2592" t="s">
        <v>44</v>
      </c>
      <c r="S2592">
        <v>0</v>
      </c>
      <c r="W2592" s="3">
        <v>1.7465277777777777E-2</v>
      </c>
      <c r="X2592" t="s">
        <v>5425</v>
      </c>
      <c r="Y2592">
        <v>5</v>
      </c>
      <c r="Z2592">
        <v>0</v>
      </c>
      <c r="AA2592" t="s">
        <v>49</v>
      </c>
      <c r="AB2592">
        <v>0</v>
      </c>
      <c r="AC2592" t="s">
        <v>49</v>
      </c>
      <c r="AD2592">
        <v>0</v>
      </c>
      <c r="AE2592">
        <v>10161870</v>
      </c>
      <c r="AF2592" t="s">
        <v>50</v>
      </c>
      <c r="AG2592" t="s">
        <v>1476</v>
      </c>
    </row>
    <row r="2593" spans="1:33" x14ac:dyDescent="0.35">
      <c r="A2593" s="1">
        <v>44828.56527777778</v>
      </c>
      <c r="B2593">
        <v>1010562</v>
      </c>
      <c r="C2593" t="s">
        <v>5412</v>
      </c>
      <c r="D2593" t="s">
        <v>473</v>
      </c>
      <c r="E2593" s="2">
        <v>40872</v>
      </c>
      <c r="F2593" t="str">
        <f>"9789004209367"</f>
        <v>9789004209367</v>
      </c>
      <c r="G2593" t="str">
        <f>"9789004211469"</f>
        <v>9789004211469</v>
      </c>
      <c r="H2593" t="s">
        <v>3977</v>
      </c>
      <c r="I2593">
        <v>297.60820000000001</v>
      </c>
      <c r="J2593" t="s">
        <v>5413</v>
      </c>
      <c r="K2593" t="s">
        <v>44</v>
      </c>
      <c r="N2593" t="s">
        <v>45</v>
      </c>
      <c r="O2593" t="s">
        <v>46</v>
      </c>
      <c r="P2593" t="s">
        <v>45</v>
      </c>
      <c r="Q2593" t="s">
        <v>47</v>
      </c>
      <c r="R2593" t="s">
        <v>44</v>
      </c>
      <c r="S2593">
        <v>0</v>
      </c>
      <c r="W2593" s="3">
        <v>1.7847222222222223E-2</v>
      </c>
      <c r="X2593" t="s">
        <v>5426</v>
      </c>
      <c r="Y2593">
        <v>4</v>
      </c>
      <c r="Z2593">
        <v>0</v>
      </c>
      <c r="AA2593" t="s">
        <v>49</v>
      </c>
      <c r="AB2593">
        <v>0</v>
      </c>
      <c r="AC2593" t="s">
        <v>49</v>
      </c>
      <c r="AD2593">
        <v>0</v>
      </c>
      <c r="AE2593">
        <v>10518132</v>
      </c>
      <c r="AF2593" t="s">
        <v>50</v>
      </c>
      <c r="AG2593" t="s">
        <v>1476</v>
      </c>
    </row>
    <row r="2594" spans="1:33" x14ac:dyDescent="0.35">
      <c r="A2594" s="1">
        <v>44828.563888888886</v>
      </c>
      <c r="B2594">
        <v>3138280</v>
      </c>
      <c r="C2594" t="s">
        <v>2906</v>
      </c>
      <c r="D2594" t="s">
        <v>2234</v>
      </c>
      <c r="E2594" s="2">
        <v>40892</v>
      </c>
      <c r="F2594" t="str">
        <f>"9780801464836"</f>
        <v>9780801464836</v>
      </c>
      <c r="G2594" t="str">
        <f>"9780801445712"</f>
        <v>9780801445712</v>
      </c>
      <c r="H2594" t="s">
        <v>162</v>
      </c>
      <c r="I2594">
        <v>297</v>
      </c>
      <c r="J2594" t="s">
        <v>2907</v>
      </c>
      <c r="K2594" t="s">
        <v>44</v>
      </c>
      <c r="N2594" t="s">
        <v>45</v>
      </c>
      <c r="O2594" t="s">
        <v>46</v>
      </c>
      <c r="P2594" t="s">
        <v>177</v>
      </c>
      <c r="Q2594" t="s">
        <v>47</v>
      </c>
      <c r="R2594" t="s">
        <v>55</v>
      </c>
      <c r="S2594">
        <v>0</v>
      </c>
      <c r="W2594" s="3">
        <v>1.9212962962962962E-3</v>
      </c>
      <c r="X2594" t="s">
        <v>196</v>
      </c>
      <c r="Y2594">
        <v>2</v>
      </c>
      <c r="Z2594">
        <v>0</v>
      </c>
      <c r="AA2594" t="s">
        <v>49</v>
      </c>
      <c r="AB2594">
        <v>0</v>
      </c>
      <c r="AC2594" t="s">
        <v>49</v>
      </c>
      <c r="AD2594">
        <v>0</v>
      </c>
      <c r="AE2594">
        <v>10516004</v>
      </c>
      <c r="AF2594" t="s">
        <v>50</v>
      </c>
      <c r="AG2594" t="s">
        <v>1476</v>
      </c>
    </row>
    <row r="2595" spans="1:33" x14ac:dyDescent="0.35">
      <c r="A2595" s="1">
        <v>44828.549305555556</v>
      </c>
      <c r="B2595">
        <v>4737322</v>
      </c>
      <c r="C2595" t="s">
        <v>1477</v>
      </c>
      <c r="D2595" t="s">
        <v>507</v>
      </c>
      <c r="E2595" s="2">
        <v>42247</v>
      </c>
      <c r="F2595" t="str">
        <f>"9780748632244"</f>
        <v>9780748632244</v>
      </c>
      <c r="G2595" t="str">
        <f>"9780748632763"</f>
        <v>9780748632763</v>
      </c>
      <c r="H2595" t="s">
        <v>667</v>
      </c>
      <c r="I2595" t="s">
        <v>1478</v>
      </c>
      <c r="J2595" t="s">
        <v>1479</v>
      </c>
      <c r="K2595" t="s">
        <v>44</v>
      </c>
      <c r="N2595" t="s">
        <v>45</v>
      </c>
      <c r="O2595" t="s">
        <v>46</v>
      </c>
      <c r="P2595" t="s">
        <v>45</v>
      </c>
      <c r="Q2595" t="s">
        <v>47</v>
      </c>
      <c r="R2595" t="s">
        <v>44</v>
      </c>
      <c r="S2595">
        <v>0</v>
      </c>
      <c r="W2595" s="3">
        <v>5.6006944444444449E-2</v>
      </c>
      <c r="X2595" t="s">
        <v>5427</v>
      </c>
      <c r="Y2595">
        <v>44</v>
      </c>
      <c r="Z2595">
        <v>0</v>
      </c>
      <c r="AA2595" t="s">
        <v>49</v>
      </c>
      <c r="AB2595">
        <v>0</v>
      </c>
      <c r="AC2595" t="s">
        <v>5428</v>
      </c>
      <c r="AD2595">
        <v>7</v>
      </c>
      <c r="AE2595">
        <v>-1</v>
      </c>
      <c r="AF2595" t="s">
        <v>50</v>
      </c>
      <c r="AG2595" t="s">
        <v>1476</v>
      </c>
    </row>
    <row r="2596" spans="1:33" x14ac:dyDescent="0.35">
      <c r="A2596" s="1">
        <v>44828.54791666667</v>
      </c>
      <c r="B2596">
        <v>1187143</v>
      </c>
      <c r="C2596" t="s">
        <v>5429</v>
      </c>
      <c r="D2596" t="s">
        <v>65</v>
      </c>
      <c r="E2596" s="2">
        <v>41424</v>
      </c>
      <c r="F2596" t="str">
        <f>"9780444563613"</f>
        <v>9780444563613</v>
      </c>
      <c r="G2596" t="str">
        <f>"9780444563521"</f>
        <v>9780444563521</v>
      </c>
      <c r="H2596" t="s">
        <v>1112</v>
      </c>
      <c r="I2596">
        <v>665.81</v>
      </c>
      <c r="J2596" t="s">
        <v>5430</v>
      </c>
      <c r="K2596" t="s">
        <v>44</v>
      </c>
      <c r="N2596" t="s">
        <v>45</v>
      </c>
      <c r="O2596" t="s">
        <v>46</v>
      </c>
      <c r="P2596" t="s">
        <v>45</v>
      </c>
      <c r="Q2596" t="s">
        <v>47</v>
      </c>
      <c r="R2596" t="s">
        <v>44</v>
      </c>
      <c r="S2596">
        <v>0</v>
      </c>
      <c r="W2596" s="3">
        <v>5.7870370370370366E-5</v>
      </c>
      <c r="X2596" t="s">
        <v>121</v>
      </c>
      <c r="Y2596">
        <v>1</v>
      </c>
      <c r="Z2596">
        <v>0</v>
      </c>
      <c r="AA2596" t="s">
        <v>49</v>
      </c>
      <c r="AB2596">
        <v>0</v>
      </c>
      <c r="AC2596" t="s">
        <v>49</v>
      </c>
      <c r="AD2596">
        <v>0</v>
      </c>
      <c r="AE2596">
        <v>10698613</v>
      </c>
      <c r="AF2596" t="s">
        <v>50</v>
      </c>
      <c r="AG2596" t="s">
        <v>118</v>
      </c>
    </row>
    <row r="2597" spans="1:33" x14ac:dyDescent="0.35">
      <c r="A2597" s="1">
        <v>44828.546527777777</v>
      </c>
      <c r="B2597">
        <v>1187143</v>
      </c>
      <c r="C2597" t="s">
        <v>5429</v>
      </c>
      <c r="D2597" t="s">
        <v>65</v>
      </c>
      <c r="E2597" s="2">
        <v>41424</v>
      </c>
      <c r="F2597" t="str">
        <f>"9780444563613"</f>
        <v>9780444563613</v>
      </c>
      <c r="G2597" t="str">
        <f>"9780444563521"</f>
        <v>9780444563521</v>
      </c>
      <c r="H2597" t="s">
        <v>1112</v>
      </c>
      <c r="I2597">
        <v>665.81</v>
      </c>
      <c r="J2597" t="s">
        <v>5430</v>
      </c>
      <c r="K2597" t="s">
        <v>44</v>
      </c>
      <c r="N2597" t="s">
        <v>45</v>
      </c>
      <c r="O2597" t="s">
        <v>46</v>
      </c>
      <c r="P2597" t="s">
        <v>45</v>
      </c>
      <c r="Q2597" t="s">
        <v>47</v>
      </c>
      <c r="R2597" t="s">
        <v>44</v>
      </c>
      <c r="S2597">
        <v>0</v>
      </c>
      <c r="W2597" s="3">
        <v>3.8194444444444446E-4</v>
      </c>
      <c r="X2597" t="s">
        <v>5431</v>
      </c>
      <c r="Y2597">
        <v>8</v>
      </c>
      <c r="Z2597">
        <v>1</v>
      </c>
      <c r="AA2597" t="s">
        <v>5432</v>
      </c>
      <c r="AB2597">
        <v>24</v>
      </c>
      <c r="AC2597" t="s">
        <v>49</v>
      </c>
      <c r="AD2597">
        <v>0</v>
      </c>
      <c r="AE2597">
        <v>10698613</v>
      </c>
      <c r="AF2597" t="s">
        <v>50</v>
      </c>
      <c r="AG2597" t="s">
        <v>5126</v>
      </c>
    </row>
    <row r="2598" spans="1:33" x14ac:dyDescent="0.35">
      <c r="A2598" s="1">
        <v>44828.524305555555</v>
      </c>
      <c r="B2598">
        <v>6000851</v>
      </c>
      <c r="C2598" t="s">
        <v>5433</v>
      </c>
      <c r="D2598" t="s">
        <v>844</v>
      </c>
      <c r="E2598" s="2">
        <v>43775</v>
      </c>
      <c r="F2598" t="str">
        <f>"9781839094217"</f>
        <v>9781839094217</v>
      </c>
      <c r="G2598" t="str">
        <f>"9781839094200"</f>
        <v>9781839094200</v>
      </c>
      <c r="H2598" t="s">
        <v>133</v>
      </c>
      <c r="I2598">
        <v>338.06</v>
      </c>
      <c r="J2598" t="s">
        <v>5434</v>
      </c>
      <c r="K2598" t="s">
        <v>44</v>
      </c>
      <c r="N2598" t="s">
        <v>45</v>
      </c>
      <c r="O2598" t="s">
        <v>46</v>
      </c>
      <c r="P2598" t="s">
        <v>45</v>
      </c>
      <c r="Q2598" t="s">
        <v>47</v>
      </c>
      <c r="R2598" t="s">
        <v>44</v>
      </c>
      <c r="S2598">
        <v>1</v>
      </c>
      <c r="W2598" s="3">
        <v>3.8194444444444446E-4</v>
      </c>
      <c r="X2598" t="s">
        <v>5435</v>
      </c>
      <c r="Y2598">
        <v>9</v>
      </c>
      <c r="Z2598">
        <v>0</v>
      </c>
      <c r="AA2598" t="s">
        <v>49</v>
      </c>
      <c r="AB2598">
        <v>0</v>
      </c>
      <c r="AC2598" t="s">
        <v>49</v>
      </c>
      <c r="AD2598">
        <v>0</v>
      </c>
      <c r="AE2598">
        <v>-1</v>
      </c>
      <c r="AF2598" t="s">
        <v>63</v>
      </c>
      <c r="AG2598" t="s">
        <v>5436</v>
      </c>
    </row>
    <row r="2599" spans="1:33" x14ac:dyDescent="0.35">
      <c r="A2599" s="1">
        <v>44828.522916666669</v>
      </c>
      <c r="B2599">
        <v>6000851</v>
      </c>
      <c r="C2599" t="s">
        <v>5433</v>
      </c>
      <c r="D2599" t="s">
        <v>844</v>
      </c>
      <c r="E2599" s="2">
        <v>43775</v>
      </c>
      <c r="F2599" t="str">
        <f>"9781839094217"</f>
        <v>9781839094217</v>
      </c>
      <c r="G2599" t="str">
        <f>"9781839094200"</f>
        <v>9781839094200</v>
      </c>
      <c r="H2599" t="s">
        <v>133</v>
      </c>
      <c r="I2599">
        <v>338.06</v>
      </c>
      <c r="J2599" t="s">
        <v>5434</v>
      </c>
      <c r="K2599" t="s">
        <v>44</v>
      </c>
      <c r="N2599" t="s">
        <v>45</v>
      </c>
      <c r="O2599" t="s">
        <v>46</v>
      </c>
      <c r="P2599" t="s">
        <v>45</v>
      </c>
      <c r="Q2599" t="s">
        <v>47</v>
      </c>
      <c r="R2599" t="s">
        <v>44</v>
      </c>
      <c r="S2599">
        <v>0</v>
      </c>
      <c r="W2599" s="3">
        <v>1.8518518518518518E-4</v>
      </c>
      <c r="X2599" t="s">
        <v>5437</v>
      </c>
      <c r="Y2599">
        <v>4</v>
      </c>
      <c r="Z2599">
        <v>0</v>
      </c>
      <c r="AA2599" t="s">
        <v>49</v>
      </c>
      <c r="AB2599">
        <v>0</v>
      </c>
      <c r="AC2599" t="s">
        <v>49</v>
      </c>
      <c r="AD2599">
        <v>0</v>
      </c>
      <c r="AE2599">
        <v>-1</v>
      </c>
      <c r="AF2599" t="s">
        <v>50</v>
      </c>
      <c r="AG2599" t="s">
        <v>5436</v>
      </c>
    </row>
    <row r="2600" spans="1:33" x14ac:dyDescent="0.35">
      <c r="A2600" s="1">
        <v>44828.500694444447</v>
      </c>
      <c r="B2600">
        <v>357992</v>
      </c>
      <c r="C2600" t="s">
        <v>5391</v>
      </c>
      <c r="D2600" t="s">
        <v>5392</v>
      </c>
      <c r="E2600" s="2">
        <v>39569</v>
      </c>
      <c r="F2600" t="str">
        <f>"9780833045317"</f>
        <v>9780833045317</v>
      </c>
      <c r="G2600" t="str">
        <f>"9780833044570"</f>
        <v>9780833044570</v>
      </c>
      <c r="H2600" t="s">
        <v>425</v>
      </c>
      <c r="I2600" t="s">
        <v>5393</v>
      </c>
      <c r="J2600" t="s">
        <v>5394</v>
      </c>
      <c r="K2600" t="s">
        <v>44</v>
      </c>
      <c r="N2600" t="s">
        <v>45</v>
      </c>
      <c r="O2600" t="s">
        <v>46</v>
      </c>
      <c r="P2600" t="s">
        <v>177</v>
      </c>
      <c r="Q2600" t="s">
        <v>47</v>
      </c>
      <c r="R2600" t="s">
        <v>55</v>
      </c>
      <c r="S2600">
        <v>0</v>
      </c>
      <c r="W2600" s="3">
        <v>7.3194444444444437E-2</v>
      </c>
      <c r="X2600" t="s">
        <v>5438</v>
      </c>
      <c r="Y2600">
        <v>26</v>
      </c>
      <c r="Z2600">
        <v>0</v>
      </c>
      <c r="AA2600" t="s">
        <v>49</v>
      </c>
      <c r="AB2600">
        <v>0</v>
      </c>
      <c r="AC2600" t="s">
        <v>49</v>
      </c>
      <c r="AD2600">
        <v>0</v>
      </c>
      <c r="AE2600">
        <v>10246314</v>
      </c>
      <c r="AF2600" t="s">
        <v>50</v>
      </c>
      <c r="AG2600" t="s">
        <v>1355</v>
      </c>
    </row>
    <row r="2601" spans="1:33" x14ac:dyDescent="0.35">
      <c r="A2601" s="1">
        <v>44828.48541666667</v>
      </c>
      <c r="B2601">
        <v>667711</v>
      </c>
      <c r="C2601" t="s">
        <v>5439</v>
      </c>
      <c r="D2601" t="s">
        <v>65</v>
      </c>
      <c r="E2601" s="2">
        <v>40617</v>
      </c>
      <c r="F2601" t="str">
        <f>"9780123814760"</f>
        <v>9780123814760</v>
      </c>
      <c r="G2601" t="str">
        <f>"9780123814753"</f>
        <v>9780123814753</v>
      </c>
      <c r="H2601" t="s">
        <v>2497</v>
      </c>
      <c r="I2601" t="s">
        <v>5440</v>
      </c>
      <c r="J2601" t="s">
        <v>5441</v>
      </c>
      <c r="K2601" t="s">
        <v>55</v>
      </c>
      <c r="N2601" t="s">
        <v>79</v>
      </c>
      <c r="P2601" t="s">
        <v>80</v>
      </c>
      <c r="Q2601" t="s">
        <v>47</v>
      </c>
      <c r="R2601" t="s">
        <v>44</v>
      </c>
      <c r="S2601">
        <v>0</v>
      </c>
      <c r="W2601" s="3">
        <v>1.5277777777777779E-3</v>
      </c>
      <c r="X2601" t="s">
        <v>5442</v>
      </c>
      <c r="Y2601">
        <v>11</v>
      </c>
      <c r="Z2601">
        <v>0</v>
      </c>
      <c r="AA2601" t="s">
        <v>49</v>
      </c>
      <c r="AB2601">
        <v>0</v>
      </c>
      <c r="AC2601" t="s">
        <v>49</v>
      </c>
      <c r="AD2601">
        <v>0</v>
      </c>
      <c r="AE2601">
        <v>10446587</v>
      </c>
      <c r="AF2601" t="s">
        <v>50</v>
      </c>
      <c r="AG2601" t="s">
        <v>5126</v>
      </c>
    </row>
    <row r="2602" spans="1:33" x14ac:dyDescent="0.35">
      <c r="A2602" s="1">
        <v>44828.456250000003</v>
      </c>
      <c r="B2602">
        <v>446731</v>
      </c>
      <c r="C2602" t="s">
        <v>5443</v>
      </c>
      <c r="D2602" t="s">
        <v>76</v>
      </c>
      <c r="E2602" s="2">
        <v>40077</v>
      </c>
      <c r="F2602" t="str">
        <f>"9780203873755"</f>
        <v>9780203873755</v>
      </c>
      <c r="G2602" t="str">
        <f>"9780415485128"</f>
        <v>9780415485128</v>
      </c>
      <c r="H2602" t="s">
        <v>90</v>
      </c>
      <c r="I2602" t="s">
        <v>5444</v>
      </c>
      <c r="J2602" t="s">
        <v>5445</v>
      </c>
      <c r="K2602" t="s">
        <v>44</v>
      </c>
      <c r="N2602" t="s">
        <v>45</v>
      </c>
      <c r="O2602" t="s">
        <v>46</v>
      </c>
      <c r="P2602" t="s">
        <v>45</v>
      </c>
      <c r="Q2602" t="s">
        <v>47</v>
      </c>
      <c r="R2602" t="s">
        <v>44</v>
      </c>
      <c r="S2602">
        <v>3</v>
      </c>
      <c r="W2602" s="3">
        <v>1.7592592592592592E-3</v>
      </c>
      <c r="X2602" t="s">
        <v>5446</v>
      </c>
      <c r="Y2602">
        <v>11</v>
      </c>
      <c r="Z2602">
        <v>1</v>
      </c>
      <c r="AA2602" t="s">
        <v>56</v>
      </c>
      <c r="AB2602">
        <v>3</v>
      </c>
      <c r="AC2602" t="s">
        <v>49</v>
      </c>
      <c r="AD2602">
        <v>0</v>
      </c>
      <c r="AE2602">
        <v>10371555</v>
      </c>
      <c r="AF2602" t="s">
        <v>63</v>
      </c>
      <c r="AG2602" t="s">
        <v>118</v>
      </c>
    </row>
    <row r="2603" spans="1:33" x14ac:dyDescent="0.35">
      <c r="A2603" s="1">
        <v>44828.45208333333</v>
      </c>
      <c r="B2603">
        <v>1187143</v>
      </c>
      <c r="C2603" t="s">
        <v>5429</v>
      </c>
      <c r="D2603" t="s">
        <v>65</v>
      </c>
      <c r="E2603" s="2">
        <v>41424</v>
      </c>
      <c r="F2603" t="str">
        <f>"9780444563613"</f>
        <v>9780444563613</v>
      </c>
      <c r="G2603" t="str">
        <f>"9780444563521"</f>
        <v>9780444563521</v>
      </c>
      <c r="H2603" t="s">
        <v>1112</v>
      </c>
      <c r="I2603">
        <v>665.81</v>
      </c>
      <c r="J2603" t="s">
        <v>5430</v>
      </c>
      <c r="K2603" t="s">
        <v>44</v>
      </c>
      <c r="N2603" t="s">
        <v>45</v>
      </c>
      <c r="O2603" t="s">
        <v>46</v>
      </c>
      <c r="P2603" t="s">
        <v>45</v>
      </c>
      <c r="Q2603" t="s">
        <v>47</v>
      </c>
      <c r="R2603" t="s">
        <v>44</v>
      </c>
      <c r="S2603">
        <v>0</v>
      </c>
      <c r="W2603" s="3">
        <v>8.1018518518518516E-5</v>
      </c>
      <c r="X2603" t="s">
        <v>121</v>
      </c>
      <c r="Y2603">
        <v>1</v>
      </c>
      <c r="Z2603">
        <v>0</v>
      </c>
      <c r="AA2603" t="s">
        <v>49</v>
      </c>
      <c r="AB2603">
        <v>0</v>
      </c>
      <c r="AC2603" t="s">
        <v>49</v>
      </c>
      <c r="AD2603">
        <v>0</v>
      </c>
      <c r="AE2603">
        <v>10698613</v>
      </c>
      <c r="AF2603" t="s">
        <v>50</v>
      </c>
      <c r="AG2603" t="s">
        <v>5126</v>
      </c>
    </row>
    <row r="2604" spans="1:33" x14ac:dyDescent="0.35">
      <c r="A2604" s="1">
        <v>44828.433333333334</v>
      </c>
      <c r="B2604">
        <v>6379843</v>
      </c>
      <c r="C2604" t="s">
        <v>5215</v>
      </c>
      <c r="D2604" t="s">
        <v>502</v>
      </c>
      <c r="E2604" s="2">
        <v>44126</v>
      </c>
      <c r="F2604" t="str">
        <f>"9781108534604"</f>
        <v>9781108534604</v>
      </c>
      <c r="G2604" t="str">
        <f>"9781108423472"</f>
        <v>9781108423472</v>
      </c>
      <c r="H2604" t="s">
        <v>5216</v>
      </c>
      <c r="I2604">
        <v>297.09620000000001</v>
      </c>
      <c r="J2604" t="s">
        <v>5217</v>
      </c>
      <c r="K2604" t="s">
        <v>55</v>
      </c>
      <c r="Q2604" t="s">
        <v>47</v>
      </c>
      <c r="R2604" t="s">
        <v>44</v>
      </c>
      <c r="S2604">
        <v>0</v>
      </c>
      <c r="W2604" s="3">
        <v>5.6134259259259271E-3</v>
      </c>
      <c r="X2604" t="s">
        <v>205</v>
      </c>
      <c r="Y2604">
        <v>2</v>
      </c>
      <c r="Z2604">
        <v>0</v>
      </c>
      <c r="AA2604" t="s">
        <v>49</v>
      </c>
      <c r="AB2604">
        <v>0</v>
      </c>
      <c r="AC2604" t="s">
        <v>49</v>
      </c>
      <c r="AD2604">
        <v>0</v>
      </c>
      <c r="AE2604">
        <v>-1</v>
      </c>
      <c r="AF2604" t="s">
        <v>50</v>
      </c>
      <c r="AG2604" t="s">
        <v>5219</v>
      </c>
    </row>
    <row r="2605" spans="1:33" x14ac:dyDescent="0.35">
      <c r="A2605" s="1">
        <v>44828.422222222223</v>
      </c>
      <c r="B2605">
        <v>4702333</v>
      </c>
      <c r="C2605" t="s">
        <v>5402</v>
      </c>
      <c r="D2605" t="s">
        <v>125</v>
      </c>
      <c r="E2605" s="2">
        <v>37861</v>
      </c>
      <c r="F2605" t="str">
        <f>"9780195347708"</f>
        <v>9780195347708</v>
      </c>
      <c r="G2605" t="str">
        <f>"9780195160857"</f>
        <v>9780195160857</v>
      </c>
      <c r="H2605" t="s">
        <v>3234</v>
      </c>
      <c r="I2605" t="s">
        <v>5403</v>
      </c>
      <c r="J2605" t="s">
        <v>5404</v>
      </c>
      <c r="K2605" t="s">
        <v>44</v>
      </c>
      <c r="N2605" t="s">
        <v>45</v>
      </c>
      <c r="O2605" t="s">
        <v>46</v>
      </c>
      <c r="P2605" t="s">
        <v>45</v>
      </c>
      <c r="Q2605" t="s">
        <v>47</v>
      </c>
      <c r="R2605" t="s">
        <v>44</v>
      </c>
      <c r="S2605">
        <v>0</v>
      </c>
      <c r="W2605" s="3">
        <v>2.0023148148148148E-3</v>
      </c>
      <c r="X2605" t="s">
        <v>5447</v>
      </c>
      <c r="Y2605">
        <v>24</v>
      </c>
      <c r="Z2605">
        <v>0</v>
      </c>
      <c r="AA2605" t="s">
        <v>49</v>
      </c>
      <c r="AB2605">
        <v>0</v>
      </c>
      <c r="AC2605" t="s">
        <v>49</v>
      </c>
      <c r="AD2605">
        <v>0</v>
      </c>
      <c r="AE2605">
        <v>11273521</v>
      </c>
      <c r="AF2605" t="s">
        <v>50</v>
      </c>
      <c r="AG2605" t="s">
        <v>1355</v>
      </c>
    </row>
    <row r="2606" spans="1:33" x14ac:dyDescent="0.35">
      <c r="A2606" s="1">
        <v>44828.397916666669</v>
      </c>
      <c r="B2606">
        <v>357992</v>
      </c>
      <c r="C2606" t="s">
        <v>5391</v>
      </c>
      <c r="D2606" t="s">
        <v>5392</v>
      </c>
      <c r="E2606" s="2">
        <v>39569</v>
      </c>
      <c r="F2606" t="str">
        <f>"9780833045317"</f>
        <v>9780833045317</v>
      </c>
      <c r="G2606" t="str">
        <f>"9780833044570"</f>
        <v>9780833044570</v>
      </c>
      <c r="H2606" t="s">
        <v>425</v>
      </c>
      <c r="I2606" t="s">
        <v>5393</v>
      </c>
      <c r="J2606" t="s">
        <v>5394</v>
      </c>
      <c r="K2606" t="s">
        <v>44</v>
      </c>
      <c r="N2606" t="s">
        <v>45</v>
      </c>
      <c r="O2606" t="s">
        <v>46</v>
      </c>
      <c r="P2606" t="s">
        <v>177</v>
      </c>
      <c r="Q2606" t="s">
        <v>47</v>
      </c>
      <c r="R2606" t="s">
        <v>55</v>
      </c>
      <c r="S2606">
        <v>0</v>
      </c>
      <c r="W2606" s="3">
        <v>2.9050925925925928E-3</v>
      </c>
      <c r="X2606" t="s">
        <v>5448</v>
      </c>
      <c r="Y2606">
        <v>11</v>
      </c>
      <c r="Z2606">
        <v>0</v>
      </c>
      <c r="AA2606" t="s">
        <v>49</v>
      </c>
      <c r="AB2606">
        <v>0</v>
      </c>
      <c r="AC2606" t="s">
        <v>49</v>
      </c>
      <c r="AD2606">
        <v>0</v>
      </c>
      <c r="AE2606">
        <v>10246314</v>
      </c>
      <c r="AF2606" t="s">
        <v>50</v>
      </c>
      <c r="AG2606" t="s">
        <v>1355</v>
      </c>
    </row>
    <row r="2607" spans="1:33" x14ac:dyDescent="0.35">
      <c r="A2607" s="1">
        <v>44828.347916666666</v>
      </c>
      <c r="B2607">
        <v>357992</v>
      </c>
      <c r="C2607" t="s">
        <v>5391</v>
      </c>
      <c r="D2607" t="s">
        <v>5392</v>
      </c>
      <c r="E2607" s="2">
        <v>39569</v>
      </c>
      <c r="F2607" t="str">
        <f>"9780833045317"</f>
        <v>9780833045317</v>
      </c>
      <c r="G2607" t="str">
        <f>"9780833044570"</f>
        <v>9780833044570</v>
      </c>
      <c r="H2607" t="s">
        <v>425</v>
      </c>
      <c r="I2607" t="s">
        <v>5393</v>
      </c>
      <c r="J2607" t="s">
        <v>5394</v>
      </c>
      <c r="K2607" t="s">
        <v>44</v>
      </c>
      <c r="N2607" t="s">
        <v>45</v>
      </c>
      <c r="O2607" t="s">
        <v>46</v>
      </c>
      <c r="P2607" t="s">
        <v>177</v>
      </c>
      <c r="Q2607" t="s">
        <v>47</v>
      </c>
      <c r="R2607" t="s">
        <v>55</v>
      </c>
      <c r="S2607">
        <v>0</v>
      </c>
      <c r="W2607" s="3">
        <v>1.6076388888888887E-2</v>
      </c>
      <c r="X2607" t="s">
        <v>5449</v>
      </c>
      <c r="Y2607">
        <v>19</v>
      </c>
      <c r="Z2607">
        <v>0</v>
      </c>
      <c r="AA2607" t="s">
        <v>49</v>
      </c>
      <c r="AB2607">
        <v>0</v>
      </c>
      <c r="AC2607" t="s">
        <v>49</v>
      </c>
      <c r="AD2607">
        <v>0</v>
      </c>
      <c r="AE2607">
        <v>10246314</v>
      </c>
      <c r="AF2607" t="s">
        <v>50</v>
      </c>
      <c r="AG2607" t="s">
        <v>1355</v>
      </c>
    </row>
    <row r="2608" spans="1:33" x14ac:dyDescent="0.35">
      <c r="A2608" s="1">
        <v>44828.178472222222</v>
      </c>
      <c r="B2608">
        <v>6644191</v>
      </c>
      <c r="C2608" t="s">
        <v>4765</v>
      </c>
      <c r="D2608" t="s">
        <v>213</v>
      </c>
      <c r="E2608" s="2">
        <v>44372</v>
      </c>
      <c r="F2608" t="str">
        <f>"9780128205310"</f>
        <v>9780128205310</v>
      </c>
      <c r="G2608" t="str">
        <f>"9780128205303"</f>
        <v>9780128205303</v>
      </c>
      <c r="H2608" t="s">
        <v>4766</v>
      </c>
      <c r="I2608">
        <v>536.70000000000005</v>
      </c>
      <c r="J2608" t="s">
        <v>4767</v>
      </c>
      <c r="K2608" t="s">
        <v>55</v>
      </c>
      <c r="Q2608" t="s">
        <v>47</v>
      </c>
      <c r="R2608" t="s">
        <v>44</v>
      </c>
      <c r="S2608">
        <v>0</v>
      </c>
      <c r="W2608" s="3">
        <v>1.0289351851851852E-2</v>
      </c>
      <c r="X2608" t="s">
        <v>5450</v>
      </c>
      <c r="Y2608">
        <v>5</v>
      </c>
      <c r="Z2608">
        <v>0</v>
      </c>
      <c r="AA2608" t="s">
        <v>49</v>
      </c>
      <c r="AB2608">
        <v>0</v>
      </c>
      <c r="AC2608" t="s">
        <v>49</v>
      </c>
      <c r="AD2608">
        <v>0</v>
      </c>
      <c r="AE2608">
        <v>-1</v>
      </c>
      <c r="AF2608" t="s">
        <v>50</v>
      </c>
      <c r="AG2608" t="s">
        <v>118</v>
      </c>
    </row>
    <row r="2609" spans="1:33" x14ac:dyDescent="0.35">
      <c r="A2609" s="1">
        <v>44828.098611111112</v>
      </c>
      <c r="B2609">
        <v>227319</v>
      </c>
      <c r="C2609" t="s">
        <v>5451</v>
      </c>
      <c r="D2609" t="s">
        <v>443</v>
      </c>
      <c r="E2609" s="2">
        <v>38250</v>
      </c>
      <c r="F2609" t="str">
        <f>"9780520929609"</f>
        <v>9780520929609</v>
      </c>
      <c r="G2609" t="str">
        <f>"9780520236653"</f>
        <v>9780520236653</v>
      </c>
      <c r="H2609" t="s">
        <v>658</v>
      </c>
      <c r="I2609" t="s">
        <v>5452</v>
      </c>
      <c r="K2609" t="s">
        <v>44</v>
      </c>
      <c r="N2609" t="s">
        <v>45</v>
      </c>
      <c r="O2609" t="s">
        <v>46</v>
      </c>
      <c r="P2609" t="s">
        <v>177</v>
      </c>
      <c r="Q2609" t="s">
        <v>47</v>
      </c>
      <c r="R2609" t="s">
        <v>55</v>
      </c>
      <c r="S2609">
        <v>0</v>
      </c>
      <c r="W2609" s="3">
        <v>5.0925925925925921E-4</v>
      </c>
      <c r="X2609" t="s">
        <v>5453</v>
      </c>
      <c r="Y2609">
        <v>6</v>
      </c>
      <c r="Z2609">
        <v>0</v>
      </c>
      <c r="AA2609" t="s">
        <v>49</v>
      </c>
      <c r="AB2609">
        <v>0</v>
      </c>
      <c r="AC2609" t="s">
        <v>49</v>
      </c>
      <c r="AD2609">
        <v>0</v>
      </c>
      <c r="AE2609">
        <v>10074090</v>
      </c>
      <c r="AF2609" t="s">
        <v>50</v>
      </c>
      <c r="AG2609" t="s">
        <v>3514</v>
      </c>
    </row>
    <row r="2610" spans="1:33" x14ac:dyDescent="0.35">
      <c r="A2610" s="1">
        <v>44828.029861111114</v>
      </c>
      <c r="B2610">
        <v>178945</v>
      </c>
      <c r="C2610" t="s">
        <v>5454</v>
      </c>
      <c r="D2610" t="s">
        <v>76</v>
      </c>
      <c r="E2610" s="2">
        <v>38295</v>
      </c>
      <c r="F2610" t="str">
        <f>"9780203403785"</f>
        <v>9780203403785</v>
      </c>
      <c r="G2610" t="str">
        <f>"9781857432114"</f>
        <v>9781857432114</v>
      </c>
      <c r="H2610" t="s">
        <v>337</v>
      </c>
      <c r="I2610">
        <v>972.80029999999999</v>
      </c>
      <c r="J2610" t="s">
        <v>5455</v>
      </c>
      <c r="K2610" t="s">
        <v>44</v>
      </c>
      <c r="N2610" t="s">
        <v>45</v>
      </c>
      <c r="O2610" t="s">
        <v>46</v>
      </c>
      <c r="P2610" t="s">
        <v>45</v>
      </c>
      <c r="Q2610" t="s">
        <v>47</v>
      </c>
      <c r="R2610" t="s">
        <v>44</v>
      </c>
      <c r="S2610">
        <v>0</v>
      </c>
      <c r="W2610" s="3">
        <v>1.3773148148148147E-3</v>
      </c>
      <c r="X2610" t="s">
        <v>5456</v>
      </c>
      <c r="Y2610">
        <v>31</v>
      </c>
      <c r="Z2610">
        <v>0</v>
      </c>
      <c r="AA2610" t="s">
        <v>49</v>
      </c>
      <c r="AB2610">
        <v>0</v>
      </c>
      <c r="AC2610" t="s">
        <v>49</v>
      </c>
      <c r="AD2610">
        <v>0</v>
      </c>
      <c r="AE2610">
        <v>10162319</v>
      </c>
      <c r="AF2610" t="s">
        <v>50</v>
      </c>
      <c r="AG2610" t="s">
        <v>118</v>
      </c>
    </row>
    <row r="2611" spans="1:33" x14ac:dyDescent="0.35">
      <c r="A2611" s="1">
        <v>44828.006944444445</v>
      </c>
      <c r="B2611">
        <v>634969</v>
      </c>
      <c r="C2611" t="s">
        <v>1913</v>
      </c>
      <c r="D2611" t="s">
        <v>473</v>
      </c>
      <c r="E2611" s="2">
        <v>40343</v>
      </c>
      <c r="F2611" t="str">
        <f>"9789004185708"</f>
        <v>9789004185708</v>
      </c>
      <c r="G2611" t="str">
        <f>"9789004184695"</f>
        <v>9789004184695</v>
      </c>
      <c r="H2611" t="s">
        <v>1914</v>
      </c>
      <c r="I2611">
        <v>297.81409538000003</v>
      </c>
      <c r="J2611" t="s">
        <v>1915</v>
      </c>
      <c r="K2611" t="s">
        <v>44</v>
      </c>
      <c r="N2611" t="s">
        <v>45</v>
      </c>
      <c r="O2611" t="s">
        <v>46</v>
      </c>
      <c r="P2611" t="s">
        <v>45</v>
      </c>
      <c r="Q2611" t="s">
        <v>47</v>
      </c>
      <c r="R2611" t="s">
        <v>44</v>
      </c>
      <c r="S2611">
        <v>0</v>
      </c>
      <c r="W2611" s="3">
        <v>2.4305555555555552E-4</v>
      </c>
      <c r="X2611" t="s">
        <v>196</v>
      </c>
      <c r="Y2611">
        <v>2</v>
      </c>
      <c r="Z2611">
        <v>0</v>
      </c>
      <c r="AA2611" t="s">
        <v>49</v>
      </c>
      <c r="AB2611">
        <v>0</v>
      </c>
      <c r="AC2611" t="s">
        <v>49</v>
      </c>
      <c r="AD2611">
        <v>0</v>
      </c>
      <c r="AE2611">
        <v>10439227</v>
      </c>
      <c r="AF2611" t="s">
        <v>50</v>
      </c>
      <c r="AG2611" t="s">
        <v>118</v>
      </c>
    </row>
    <row r="2612" spans="1:33" x14ac:dyDescent="0.35">
      <c r="A2612" s="1">
        <v>44827.981249999997</v>
      </c>
      <c r="B2612">
        <v>6821504</v>
      </c>
      <c r="C2612" t="s">
        <v>1005</v>
      </c>
      <c r="D2612" t="s">
        <v>213</v>
      </c>
      <c r="E2612" s="2">
        <v>44536</v>
      </c>
      <c r="F2612" t="str">
        <f>"9780128210796"</f>
        <v>9780128210796</v>
      </c>
      <c r="G2612" t="str">
        <f>"9780128210789"</f>
        <v>9780128210789</v>
      </c>
      <c r="H2612" t="s">
        <v>1006</v>
      </c>
      <c r="I2612">
        <v>668.9</v>
      </c>
      <c r="J2612" t="s">
        <v>1007</v>
      </c>
      <c r="K2612" t="s">
        <v>55</v>
      </c>
      <c r="N2612" t="s">
        <v>79</v>
      </c>
      <c r="P2612" t="s">
        <v>80</v>
      </c>
      <c r="Q2612" t="s">
        <v>47</v>
      </c>
      <c r="R2612" t="s">
        <v>44</v>
      </c>
      <c r="S2612">
        <v>0</v>
      </c>
      <c r="W2612" s="3">
        <v>0</v>
      </c>
      <c r="X2612" t="s">
        <v>49</v>
      </c>
      <c r="Y2612">
        <v>0</v>
      </c>
      <c r="Z2612">
        <v>1</v>
      </c>
      <c r="AA2612" t="s">
        <v>5457</v>
      </c>
      <c r="AB2612">
        <v>22</v>
      </c>
      <c r="AC2612" t="s">
        <v>49</v>
      </c>
      <c r="AD2612">
        <v>0</v>
      </c>
      <c r="AE2612">
        <v>-1</v>
      </c>
      <c r="AF2612" t="s">
        <v>50</v>
      </c>
      <c r="AG2612" t="s">
        <v>264</v>
      </c>
    </row>
    <row r="2613" spans="1:33" x14ac:dyDescent="0.35">
      <c r="A2613" s="1">
        <v>44827.898611111108</v>
      </c>
      <c r="B2613">
        <v>6379843</v>
      </c>
      <c r="C2613" t="s">
        <v>5215</v>
      </c>
      <c r="D2613" t="s">
        <v>502</v>
      </c>
      <c r="E2613" s="2">
        <v>44126</v>
      </c>
      <c r="F2613" t="str">
        <f>"9781108534604"</f>
        <v>9781108534604</v>
      </c>
      <c r="G2613" t="str">
        <f>"9781108423472"</f>
        <v>9781108423472</v>
      </c>
      <c r="H2613" t="s">
        <v>5216</v>
      </c>
      <c r="I2613">
        <v>297.09620000000001</v>
      </c>
      <c r="J2613" t="s">
        <v>5217</v>
      </c>
      <c r="K2613" t="s">
        <v>55</v>
      </c>
      <c r="Q2613" t="s">
        <v>47</v>
      </c>
      <c r="R2613" t="s">
        <v>44</v>
      </c>
      <c r="S2613">
        <v>0</v>
      </c>
      <c r="W2613" s="3">
        <v>2.627314814814815E-3</v>
      </c>
      <c r="X2613" t="s">
        <v>5458</v>
      </c>
      <c r="Y2613">
        <v>12</v>
      </c>
      <c r="Z2613">
        <v>0</v>
      </c>
      <c r="AA2613" t="s">
        <v>49</v>
      </c>
      <c r="AB2613">
        <v>0</v>
      </c>
      <c r="AC2613" t="s">
        <v>49</v>
      </c>
      <c r="AD2613">
        <v>0</v>
      </c>
      <c r="AE2613">
        <v>-1</v>
      </c>
      <c r="AF2613" t="s">
        <v>50</v>
      </c>
      <c r="AG2613" t="s">
        <v>5219</v>
      </c>
    </row>
    <row r="2614" spans="1:33" x14ac:dyDescent="0.35">
      <c r="A2614" s="1">
        <v>44827.897916666669</v>
      </c>
      <c r="B2614">
        <v>280549</v>
      </c>
      <c r="C2614" t="s">
        <v>5459</v>
      </c>
      <c r="D2614" t="s">
        <v>473</v>
      </c>
      <c r="E2614" s="2">
        <v>38324</v>
      </c>
      <c r="F2614" t="str">
        <f>"9781433707872"</f>
        <v>9781433707872</v>
      </c>
      <c r="G2614" t="str">
        <f>"9789004141537"</f>
        <v>9789004141537</v>
      </c>
      <c r="H2614" t="s">
        <v>667</v>
      </c>
      <c r="I2614" t="s">
        <v>5460</v>
      </c>
      <c r="J2614" t="s">
        <v>5461</v>
      </c>
      <c r="K2614" t="s">
        <v>44</v>
      </c>
      <c r="N2614" t="s">
        <v>45</v>
      </c>
      <c r="O2614" t="s">
        <v>46</v>
      </c>
      <c r="P2614" t="s">
        <v>45</v>
      </c>
      <c r="Q2614" t="s">
        <v>47</v>
      </c>
      <c r="R2614" t="s">
        <v>44</v>
      </c>
      <c r="S2614">
        <v>0</v>
      </c>
      <c r="W2614" s="3">
        <v>5.9027777777777778E-4</v>
      </c>
      <c r="X2614" t="s">
        <v>5462</v>
      </c>
      <c r="Y2614">
        <v>10</v>
      </c>
      <c r="Z2614">
        <v>0</v>
      </c>
      <c r="AA2614" t="s">
        <v>49</v>
      </c>
      <c r="AB2614">
        <v>0</v>
      </c>
      <c r="AC2614" t="s">
        <v>49</v>
      </c>
      <c r="AD2614">
        <v>0</v>
      </c>
      <c r="AE2614">
        <v>10171606</v>
      </c>
      <c r="AF2614" t="s">
        <v>50</v>
      </c>
      <c r="AG2614" t="s">
        <v>5219</v>
      </c>
    </row>
    <row r="2615" spans="1:33" x14ac:dyDescent="0.35">
      <c r="A2615" s="1">
        <v>44827.893055555556</v>
      </c>
      <c r="B2615">
        <v>357992</v>
      </c>
      <c r="C2615" t="s">
        <v>5391</v>
      </c>
      <c r="D2615" t="s">
        <v>5392</v>
      </c>
      <c r="E2615" s="2">
        <v>39569</v>
      </c>
      <c r="F2615" t="str">
        <f>"9780833045317"</f>
        <v>9780833045317</v>
      </c>
      <c r="G2615" t="str">
        <f>"9780833044570"</f>
        <v>9780833044570</v>
      </c>
      <c r="H2615" t="s">
        <v>425</v>
      </c>
      <c r="I2615" t="s">
        <v>5393</v>
      </c>
      <c r="J2615" t="s">
        <v>5394</v>
      </c>
      <c r="K2615" t="s">
        <v>44</v>
      </c>
      <c r="N2615" t="s">
        <v>45</v>
      </c>
      <c r="O2615" t="s">
        <v>46</v>
      </c>
      <c r="P2615" t="s">
        <v>177</v>
      </c>
      <c r="Q2615" t="s">
        <v>47</v>
      </c>
      <c r="R2615" t="s">
        <v>55</v>
      </c>
      <c r="S2615">
        <v>0</v>
      </c>
      <c r="W2615" s="3">
        <v>3.9236111111111112E-3</v>
      </c>
      <c r="X2615" t="s">
        <v>5463</v>
      </c>
      <c r="Y2615">
        <v>3</v>
      </c>
      <c r="Z2615">
        <v>0</v>
      </c>
      <c r="AA2615" t="s">
        <v>49</v>
      </c>
      <c r="AB2615">
        <v>0</v>
      </c>
      <c r="AC2615" t="s">
        <v>49</v>
      </c>
      <c r="AD2615">
        <v>0</v>
      </c>
      <c r="AE2615">
        <v>10246314</v>
      </c>
      <c r="AF2615" t="s">
        <v>50</v>
      </c>
      <c r="AG2615" t="s">
        <v>1355</v>
      </c>
    </row>
    <row r="2616" spans="1:33" x14ac:dyDescent="0.35">
      <c r="A2616" s="1">
        <v>44827.879861111112</v>
      </c>
      <c r="B2616">
        <v>5612918</v>
      </c>
      <c r="C2616" t="s">
        <v>5138</v>
      </c>
      <c r="D2616" t="s">
        <v>59</v>
      </c>
      <c r="E2616" s="2">
        <v>43433</v>
      </c>
      <c r="F2616" t="str">
        <f>"9781119128649"</f>
        <v>9781119128649</v>
      </c>
      <c r="G2616" t="str">
        <f>"9781119128618"</f>
        <v>9781119128618</v>
      </c>
      <c r="H2616" t="s">
        <v>542</v>
      </c>
      <c r="I2616">
        <v>621.38224000000002</v>
      </c>
      <c r="J2616" t="s">
        <v>5139</v>
      </c>
      <c r="K2616" t="s">
        <v>44</v>
      </c>
      <c r="N2616" t="s">
        <v>45</v>
      </c>
      <c r="O2616" t="s">
        <v>46</v>
      </c>
      <c r="P2616" t="s">
        <v>45</v>
      </c>
      <c r="Q2616" t="s">
        <v>47</v>
      </c>
      <c r="R2616" t="s">
        <v>44</v>
      </c>
      <c r="S2616">
        <v>0</v>
      </c>
      <c r="W2616" s="3">
        <v>1.3888888888888889E-4</v>
      </c>
      <c r="X2616" t="s">
        <v>942</v>
      </c>
      <c r="Y2616">
        <v>5</v>
      </c>
      <c r="Z2616">
        <v>0</v>
      </c>
      <c r="AA2616" t="s">
        <v>49</v>
      </c>
      <c r="AB2616">
        <v>0</v>
      </c>
      <c r="AC2616" t="s">
        <v>49</v>
      </c>
      <c r="AD2616">
        <v>0</v>
      </c>
      <c r="AE2616">
        <v>-1</v>
      </c>
      <c r="AF2616" t="s">
        <v>50</v>
      </c>
      <c r="AG2616" t="s">
        <v>5140</v>
      </c>
    </row>
    <row r="2617" spans="1:33" x14ac:dyDescent="0.35">
      <c r="A2617" s="1">
        <v>44827.871527777781</v>
      </c>
      <c r="B2617">
        <v>2076523</v>
      </c>
      <c r="C2617" t="s">
        <v>5464</v>
      </c>
      <c r="D2617" t="s">
        <v>2022</v>
      </c>
      <c r="E2617" s="2">
        <v>42081</v>
      </c>
      <c r="F2617" t="str">
        <f>"9781443878791"</f>
        <v>9781443878791</v>
      </c>
      <c r="G2617" t="str">
        <f>"9781443872225"</f>
        <v>9781443872225</v>
      </c>
      <c r="H2617" t="s">
        <v>1046</v>
      </c>
      <c r="I2617">
        <v>305.409496180904</v>
      </c>
      <c r="J2617" t="s">
        <v>5465</v>
      </c>
      <c r="K2617" t="s">
        <v>44</v>
      </c>
      <c r="N2617" t="s">
        <v>45</v>
      </c>
      <c r="O2617" t="s">
        <v>46</v>
      </c>
      <c r="P2617" t="s">
        <v>45</v>
      </c>
      <c r="Q2617" t="s">
        <v>47</v>
      </c>
      <c r="R2617" t="s">
        <v>44</v>
      </c>
      <c r="S2617">
        <v>0</v>
      </c>
      <c r="W2617" s="3">
        <v>4.7453703703703704E-4</v>
      </c>
      <c r="X2617" t="s">
        <v>5466</v>
      </c>
      <c r="Y2617">
        <v>5</v>
      </c>
      <c r="Z2617">
        <v>0</v>
      </c>
      <c r="AA2617" t="s">
        <v>49</v>
      </c>
      <c r="AB2617">
        <v>0</v>
      </c>
      <c r="AC2617" t="s">
        <v>49</v>
      </c>
      <c r="AD2617">
        <v>0</v>
      </c>
      <c r="AE2617">
        <v>11068981</v>
      </c>
      <c r="AF2617" t="s">
        <v>50</v>
      </c>
      <c r="AG2617" t="s">
        <v>5467</v>
      </c>
    </row>
    <row r="2618" spans="1:33" x14ac:dyDescent="0.35">
      <c r="A2618" s="1">
        <v>44827.869444444441</v>
      </c>
      <c r="B2618">
        <v>1187143</v>
      </c>
      <c r="C2618" t="s">
        <v>5429</v>
      </c>
      <c r="D2618" t="s">
        <v>65</v>
      </c>
      <c r="E2618" s="2">
        <v>41424</v>
      </c>
      <c r="F2618" t="str">
        <f>"9780444563613"</f>
        <v>9780444563613</v>
      </c>
      <c r="G2618" t="str">
        <f>"9780444563521"</f>
        <v>9780444563521</v>
      </c>
      <c r="H2618" t="s">
        <v>1112</v>
      </c>
      <c r="I2618">
        <v>665.81</v>
      </c>
      <c r="J2618" t="s">
        <v>5430</v>
      </c>
      <c r="K2618" t="s">
        <v>44</v>
      </c>
      <c r="N2618" t="s">
        <v>45</v>
      </c>
      <c r="O2618" t="s">
        <v>46</v>
      </c>
      <c r="P2618" t="s">
        <v>45</v>
      </c>
      <c r="Q2618" t="s">
        <v>47</v>
      </c>
      <c r="R2618" t="s">
        <v>44</v>
      </c>
      <c r="S2618">
        <v>0</v>
      </c>
      <c r="W2618" s="3">
        <v>2.8240740740740739E-3</v>
      </c>
      <c r="X2618" t="s">
        <v>5468</v>
      </c>
      <c r="Y2618">
        <v>8</v>
      </c>
      <c r="Z2618">
        <v>1</v>
      </c>
      <c r="AA2618" t="s">
        <v>5469</v>
      </c>
      <c r="AB2618">
        <v>24</v>
      </c>
      <c r="AC2618" t="s">
        <v>49</v>
      </c>
      <c r="AD2618">
        <v>0</v>
      </c>
      <c r="AE2618">
        <v>10698613</v>
      </c>
      <c r="AF2618" t="s">
        <v>50</v>
      </c>
      <c r="AG2618" t="s">
        <v>5126</v>
      </c>
    </row>
    <row r="2619" spans="1:33" x14ac:dyDescent="0.35">
      <c r="A2619" s="1">
        <v>44827.851388888892</v>
      </c>
      <c r="B2619">
        <v>254392</v>
      </c>
      <c r="C2619" t="s">
        <v>5423</v>
      </c>
      <c r="D2619" t="s">
        <v>76</v>
      </c>
      <c r="E2619" s="2">
        <v>37491</v>
      </c>
      <c r="F2619" t="str">
        <f>"9780203988862"</f>
        <v>9780203988862</v>
      </c>
      <c r="G2619" t="str">
        <f>"9780700716913"</f>
        <v>9780700716913</v>
      </c>
      <c r="H2619" t="s">
        <v>162</v>
      </c>
      <c r="I2619">
        <v>297.27199999999999</v>
      </c>
      <c r="J2619" t="s">
        <v>5424</v>
      </c>
      <c r="K2619" t="s">
        <v>44</v>
      </c>
      <c r="N2619" t="s">
        <v>45</v>
      </c>
      <c r="O2619" t="s">
        <v>46</v>
      </c>
      <c r="P2619" t="s">
        <v>45</v>
      </c>
      <c r="Q2619" t="s">
        <v>47</v>
      </c>
      <c r="R2619" t="s">
        <v>44</v>
      </c>
      <c r="S2619">
        <v>0</v>
      </c>
      <c r="W2619" s="3">
        <v>4.5138888888888892E-4</v>
      </c>
      <c r="X2619" t="s">
        <v>5470</v>
      </c>
      <c r="Y2619">
        <v>3</v>
      </c>
      <c r="Z2619">
        <v>0</v>
      </c>
      <c r="AA2619" t="s">
        <v>49</v>
      </c>
      <c r="AB2619">
        <v>0</v>
      </c>
      <c r="AC2619" t="s">
        <v>49</v>
      </c>
      <c r="AD2619">
        <v>0</v>
      </c>
      <c r="AE2619">
        <v>10161870</v>
      </c>
      <c r="AF2619" t="s">
        <v>50</v>
      </c>
      <c r="AG2619" t="s">
        <v>118</v>
      </c>
    </row>
    <row r="2620" spans="1:33" x14ac:dyDescent="0.35">
      <c r="A2620" s="1">
        <v>44827.845138888886</v>
      </c>
      <c r="B2620">
        <v>6419157</v>
      </c>
      <c r="C2620" t="s">
        <v>5471</v>
      </c>
      <c r="D2620" t="s">
        <v>1922</v>
      </c>
      <c r="E2620" s="2">
        <v>44252</v>
      </c>
      <c r="F2620" t="str">
        <f>"9780755607259"</f>
        <v>9780755607259</v>
      </c>
      <c r="G2620" t="str">
        <f>"9780755607242"</f>
        <v>9780755607242</v>
      </c>
      <c r="H2620" t="s">
        <v>3476</v>
      </c>
      <c r="I2620">
        <v>492.78041021000001</v>
      </c>
      <c r="J2620" t="s">
        <v>5472</v>
      </c>
      <c r="K2620" t="s">
        <v>55</v>
      </c>
      <c r="Q2620" t="s">
        <v>47</v>
      </c>
      <c r="R2620" t="s">
        <v>44</v>
      </c>
      <c r="S2620">
        <v>0</v>
      </c>
      <c r="W2620" s="3">
        <v>5.6712962962962956E-4</v>
      </c>
      <c r="X2620" t="s">
        <v>5473</v>
      </c>
      <c r="Y2620">
        <v>2</v>
      </c>
      <c r="Z2620">
        <v>0</v>
      </c>
      <c r="AA2620" t="s">
        <v>49</v>
      </c>
      <c r="AB2620">
        <v>0</v>
      </c>
      <c r="AC2620" t="s">
        <v>49</v>
      </c>
      <c r="AD2620">
        <v>0</v>
      </c>
      <c r="AE2620">
        <v>-1</v>
      </c>
      <c r="AF2620" t="s">
        <v>50</v>
      </c>
      <c r="AG2620" t="s">
        <v>118</v>
      </c>
    </row>
    <row r="2621" spans="1:33" x14ac:dyDescent="0.35">
      <c r="A2621" s="1">
        <v>44827.842361111114</v>
      </c>
      <c r="B2621">
        <v>380838</v>
      </c>
      <c r="C2621" t="s">
        <v>5474</v>
      </c>
      <c r="D2621" t="s">
        <v>76</v>
      </c>
      <c r="E2621" s="2">
        <v>39826</v>
      </c>
      <c r="F2621" t="str">
        <f>"9780203884744"</f>
        <v>9780203884744</v>
      </c>
      <c r="G2621" t="str">
        <f>"9780415475044"</f>
        <v>9780415475044</v>
      </c>
      <c r="H2621" t="s">
        <v>337</v>
      </c>
      <c r="I2621" t="s">
        <v>5475</v>
      </c>
      <c r="J2621" t="s">
        <v>5476</v>
      </c>
      <c r="K2621" t="s">
        <v>44</v>
      </c>
      <c r="N2621" t="s">
        <v>45</v>
      </c>
      <c r="O2621" t="s">
        <v>46</v>
      </c>
      <c r="P2621" t="s">
        <v>45</v>
      </c>
      <c r="Q2621" t="s">
        <v>47</v>
      </c>
      <c r="R2621" t="s">
        <v>44</v>
      </c>
      <c r="S2621">
        <v>0</v>
      </c>
      <c r="W2621" s="3">
        <v>4.3148148148148151E-2</v>
      </c>
      <c r="X2621" t="s">
        <v>5477</v>
      </c>
      <c r="Y2621">
        <v>33</v>
      </c>
      <c r="Z2621">
        <v>1</v>
      </c>
      <c r="AA2621" t="s">
        <v>56</v>
      </c>
      <c r="AB2621">
        <v>3</v>
      </c>
      <c r="AC2621" t="s">
        <v>49</v>
      </c>
      <c r="AD2621">
        <v>0</v>
      </c>
      <c r="AE2621">
        <v>10277455</v>
      </c>
      <c r="AF2621" t="s">
        <v>63</v>
      </c>
      <c r="AG2621" t="s">
        <v>118</v>
      </c>
    </row>
    <row r="2622" spans="1:33" x14ac:dyDescent="0.35">
      <c r="A2622" s="1">
        <v>44827.820138888892</v>
      </c>
      <c r="B2622">
        <v>166674</v>
      </c>
      <c r="C2622" t="s">
        <v>5478</v>
      </c>
      <c r="D2622" t="s">
        <v>76</v>
      </c>
      <c r="E2622" s="2">
        <v>34110</v>
      </c>
      <c r="F2622" t="str">
        <f>"9780203418048"</f>
        <v>9780203418048</v>
      </c>
      <c r="G2622" t="str">
        <f>"9780415078368"</f>
        <v>9780415078368</v>
      </c>
      <c r="H2622" t="s">
        <v>667</v>
      </c>
      <c r="I2622">
        <v>956.10199999999998</v>
      </c>
      <c r="J2622">
        <v>93020425</v>
      </c>
      <c r="K2622" t="s">
        <v>44</v>
      </c>
      <c r="N2622" t="s">
        <v>45</v>
      </c>
      <c r="O2622" t="s">
        <v>46</v>
      </c>
      <c r="P2622" t="s">
        <v>45</v>
      </c>
      <c r="Q2622" t="s">
        <v>47</v>
      </c>
      <c r="R2622" t="s">
        <v>44</v>
      </c>
      <c r="S2622">
        <v>0</v>
      </c>
      <c r="W2622" s="3">
        <v>1.3888888888888889E-3</v>
      </c>
      <c r="X2622" t="s">
        <v>5479</v>
      </c>
      <c r="Y2622">
        <v>19</v>
      </c>
      <c r="Z2622">
        <v>0</v>
      </c>
      <c r="AA2622" t="s">
        <v>49</v>
      </c>
      <c r="AB2622">
        <v>0</v>
      </c>
      <c r="AC2622" t="s">
        <v>49</v>
      </c>
      <c r="AD2622">
        <v>0</v>
      </c>
      <c r="AE2622">
        <v>10060743</v>
      </c>
      <c r="AF2622" t="s">
        <v>50</v>
      </c>
      <c r="AG2622" t="s">
        <v>118</v>
      </c>
    </row>
    <row r="2623" spans="1:33" x14ac:dyDescent="0.35">
      <c r="A2623" s="1">
        <v>44827.804861111108</v>
      </c>
      <c r="B2623">
        <v>5612918</v>
      </c>
      <c r="C2623" t="s">
        <v>5138</v>
      </c>
      <c r="D2623" t="s">
        <v>59</v>
      </c>
      <c r="E2623" s="2">
        <v>43433</v>
      </c>
      <c r="F2623" t="str">
        <f>"9781119128649"</f>
        <v>9781119128649</v>
      </c>
      <c r="G2623" t="str">
        <f>"9781119128618"</f>
        <v>9781119128618</v>
      </c>
      <c r="H2623" t="s">
        <v>542</v>
      </c>
      <c r="I2623">
        <v>621.38224000000002</v>
      </c>
      <c r="J2623" t="s">
        <v>5139</v>
      </c>
      <c r="K2623" t="s">
        <v>44</v>
      </c>
      <c r="N2623" t="s">
        <v>45</v>
      </c>
      <c r="O2623" t="s">
        <v>46</v>
      </c>
      <c r="P2623" t="s">
        <v>45</v>
      </c>
      <c r="Q2623" t="s">
        <v>47</v>
      </c>
      <c r="R2623" t="s">
        <v>44</v>
      </c>
      <c r="S2623">
        <v>0</v>
      </c>
      <c r="W2623" s="3">
        <v>5.0277777777777775E-2</v>
      </c>
      <c r="X2623" t="s">
        <v>5480</v>
      </c>
      <c r="Y2623">
        <v>13</v>
      </c>
      <c r="Z2623">
        <v>0</v>
      </c>
      <c r="AA2623" t="s">
        <v>49</v>
      </c>
      <c r="AB2623">
        <v>0</v>
      </c>
      <c r="AC2623" t="s">
        <v>49</v>
      </c>
      <c r="AD2623">
        <v>0</v>
      </c>
      <c r="AE2623">
        <v>-1</v>
      </c>
      <c r="AF2623" t="s">
        <v>50</v>
      </c>
      <c r="AG2623" t="s">
        <v>5140</v>
      </c>
    </row>
    <row r="2624" spans="1:33" x14ac:dyDescent="0.35">
      <c r="A2624" s="1">
        <v>44827.804166666669</v>
      </c>
      <c r="B2624">
        <v>7078283</v>
      </c>
      <c r="C2624" t="s">
        <v>5481</v>
      </c>
      <c r="D2624" t="s">
        <v>1166</v>
      </c>
      <c r="E2624" s="2">
        <v>44803</v>
      </c>
      <c r="F2624" t="str">
        <f>"9789811937439"</f>
        <v>9789811937439</v>
      </c>
      <c r="G2624" t="str">
        <f>"9789811937422"</f>
        <v>9789811937422</v>
      </c>
      <c r="H2624" t="s">
        <v>60</v>
      </c>
      <c r="J2624" t="s">
        <v>2160</v>
      </c>
      <c r="K2624" t="s">
        <v>55</v>
      </c>
      <c r="N2624" t="s">
        <v>79</v>
      </c>
      <c r="P2624" t="s">
        <v>97</v>
      </c>
      <c r="Q2624" t="s">
        <v>47</v>
      </c>
      <c r="R2624" t="s">
        <v>44</v>
      </c>
      <c r="S2624">
        <v>3</v>
      </c>
      <c r="T2624">
        <v>1</v>
      </c>
      <c r="U2624" s="1">
        <v>44827.804166666669</v>
      </c>
      <c r="V2624" s="1">
        <v>44828.804166666669</v>
      </c>
      <c r="W2624" s="3">
        <v>0</v>
      </c>
      <c r="X2624" t="s">
        <v>49</v>
      </c>
      <c r="Y2624">
        <v>0</v>
      </c>
      <c r="Z2624">
        <v>0</v>
      </c>
      <c r="AA2624" t="s">
        <v>49</v>
      </c>
      <c r="AB2624">
        <v>0</v>
      </c>
      <c r="AC2624" t="s">
        <v>49</v>
      </c>
      <c r="AD2624">
        <v>0</v>
      </c>
      <c r="AE2624">
        <v>-1</v>
      </c>
      <c r="AF2624" t="s">
        <v>63</v>
      </c>
      <c r="AG2624" t="s">
        <v>5482</v>
      </c>
    </row>
    <row r="2625" spans="1:33" x14ac:dyDescent="0.35">
      <c r="A2625" s="1">
        <v>44827.800694444442</v>
      </c>
      <c r="B2625">
        <v>1666754</v>
      </c>
      <c r="C2625" t="s">
        <v>5483</v>
      </c>
      <c r="D2625" t="s">
        <v>76</v>
      </c>
      <c r="E2625" s="2">
        <v>36373</v>
      </c>
      <c r="F2625" t="str">
        <f>"9781135941789"</f>
        <v>9781135941789</v>
      </c>
      <c r="G2625" t="str">
        <f>"9781579581404"</f>
        <v>9781579581404</v>
      </c>
      <c r="H2625" t="s">
        <v>1040</v>
      </c>
      <c r="I2625">
        <v>540.29999999999995</v>
      </c>
      <c r="J2625" t="s">
        <v>5484</v>
      </c>
      <c r="K2625" t="s">
        <v>44</v>
      </c>
      <c r="N2625" t="s">
        <v>45</v>
      </c>
      <c r="O2625" t="s">
        <v>46</v>
      </c>
      <c r="P2625" t="s">
        <v>45</v>
      </c>
      <c r="Q2625" t="s">
        <v>47</v>
      </c>
      <c r="R2625" t="s">
        <v>44</v>
      </c>
      <c r="S2625">
        <v>1</v>
      </c>
      <c r="W2625" s="3">
        <v>1.9675925925925926E-4</v>
      </c>
      <c r="X2625" t="s">
        <v>5485</v>
      </c>
      <c r="Y2625">
        <v>2</v>
      </c>
      <c r="Z2625">
        <v>4</v>
      </c>
      <c r="AA2625" t="s">
        <v>5486</v>
      </c>
      <c r="AB2625">
        <v>93</v>
      </c>
      <c r="AC2625" t="s">
        <v>49</v>
      </c>
      <c r="AD2625">
        <v>0</v>
      </c>
      <c r="AE2625">
        <v>10857946</v>
      </c>
      <c r="AF2625" t="s">
        <v>63</v>
      </c>
      <c r="AG2625" t="s">
        <v>5126</v>
      </c>
    </row>
    <row r="2626" spans="1:33" x14ac:dyDescent="0.35">
      <c r="A2626" s="1">
        <v>44827.77847222222</v>
      </c>
      <c r="B2626">
        <v>5612918</v>
      </c>
      <c r="C2626" t="s">
        <v>5138</v>
      </c>
      <c r="D2626" t="s">
        <v>59</v>
      </c>
      <c r="E2626" s="2">
        <v>43433</v>
      </c>
      <c r="F2626" t="str">
        <f>"9781119128649"</f>
        <v>9781119128649</v>
      </c>
      <c r="G2626" t="str">
        <f>"9781119128618"</f>
        <v>9781119128618</v>
      </c>
      <c r="H2626" t="s">
        <v>542</v>
      </c>
      <c r="I2626">
        <v>621.38224000000002</v>
      </c>
      <c r="J2626" t="s">
        <v>5139</v>
      </c>
      <c r="K2626" t="s">
        <v>44</v>
      </c>
      <c r="N2626" t="s">
        <v>45</v>
      </c>
      <c r="O2626" t="s">
        <v>46</v>
      </c>
      <c r="P2626" t="s">
        <v>45</v>
      </c>
      <c r="Q2626" t="s">
        <v>47</v>
      </c>
      <c r="R2626" t="s">
        <v>44</v>
      </c>
      <c r="S2626">
        <v>0</v>
      </c>
      <c r="W2626" s="3">
        <v>2.7199074074074074E-3</v>
      </c>
      <c r="X2626" t="s">
        <v>5487</v>
      </c>
      <c r="Y2626">
        <v>12</v>
      </c>
      <c r="Z2626">
        <v>0</v>
      </c>
      <c r="AA2626" t="s">
        <v>49</v>
      </c>
      <c r="AB2626">
        <v>0</v>
      </c>
      <c r="AC2626" t="s">
        <v>49</v>
      </c>
      <c r="AD2626">
        <v>0</v>
      </c>
      <c r="AE2626">
        <v>-1</v>
      </c>
      <c r="AF2626" t="s">
        <v>50</v>
      </c>
      <c r="AG2626" t="s">
        <v>5140</v>
      </c>
    </row>
    <row r="2627" spans="1:33" x14ac:dyDescent="0.35">
      <c r="A2627" s="1">
        <v>44827.758333333331</v>
      </c>
      <c r="B2627">
        <v>316986</v>
      </c>
      <c r="C2627" t="s">
        <v>4523</v>
      </c>
      <c r="D2627" t="s">
        <v>65</v>
      </c>
      <c r="E2627" s="2">
        <v>35593</v>
      </c>
      <c r="F2627" t="str">
        <f>"9780080533179"</f>
        <v>9780080533179</v>
      </c>
      <c r="G2627" t="str">
        <f>"9780121346454"</f>
        <v>9780121346454</v>
      </c>
      <c r="H2627" t="s">
        <v>244</v>
      </c>
      <c r="I2627">
        <v>155.19999999999999</v>
      </c>
      <c r="J2627" t="s">
        <v>4524</v>
      </c>
      <c r="K2627" t="s">
        <v>44</v>
      </c>
      <c r="N2627" t="s">
        <v>45</v>
      </c>
      <c r="O2627" t="s">
        <v>46</v>
      </c>
      <c r="P2627" t="s">
        <v>45</v>
      </c>
      <c r="Q2627" t="s">
        <v>47</v>
      </c>
      <c r="R2627" t="s">
        <v>44</v>
      </c>
      <c r="S2627">
        <v>0</v>
      </c>
      <c r="W2627" s="3">
        <v>9.5601851851851855E-3</v>
      </c>
      <c r="X2627" t="s">
        <v>5488</v>
      </c>
      <c r="Y2627">
        <v>43</v>
      </c>
      <c r="Z2627">
        <v>0</v>
      </c>
      <c r="AA2627" t="s">
        <v>49</v>
      </c>
      <c r="AB2627">
        <v>0</v>
      </c>
      <c r="AC2627" t="s">
        <v>49</v>
      </c>
      <c r="AD2627">
        <v>0</v>
      </c>
      <c r="AE2627">
        <v>10206356</v>
      </c>
      <c r="AF2627" t="s">
        <v>50</v>
      </c>
      <c r="AG2627" t="s">
        <v>264</v>
      </c>
    </row>
    <row r="2628" spans="1:33" x14ac:dyDescent="0.35">
      <c r="A2628" s="1">
        <v>44827.74722222222</v>
      </c>
      <c r="B2628">
        <v>357992</v>
      </c>
      <c r="C2628" t="s">
        <v>5391</v>
      </c>
      <c r="D2628" t="s">
        <v>5392</v>
      </c>
      <c r="E2628" s="2">
        <v>39569</v>
      </c>
      <c r="F2628" t="str">
        <f>"9780833045317"</f>
        <v>9780833045317</v>
      </c>
      <c r="G2628" t="str">
        <f>"9780833044570"</f>
        <v>9780833044570</v>
      </c>
      <c r="H2628" t="s">
        <v>425</v>
      </c>
      <c r="I2628" t="s">
        <v>5393</v>
      </c>
      <c r="J2628" t="s">
        <v>5394</v>
      </c>
      <c r="K2628" t="s">
        <v>44</v>
      </c>
      <c r="N2628" t="s">
        <v>45</v>
      </c>
      <c r="O2628" t="s">
        <v>46</v>
      </c>
      <c r="P2628" t="s">
        <v>177</v>
      </c>
      <c r="Q2628" t="s">
        <v>47</v>
      </c>
      <c r="R2628" t="s">
        <v>55</v>
      </c>
      <c r="S2628">
        <v>0</v>
      </c>
      <c r="W2628" s="3">
        <v>2.193287037037037E-2</v>
      </c>
      <c r="X2628" t="s">
        <v>5489</v>
      </c>
      <c r="Y2628">
        <v>25</v>
      </c>
      <c r="Z2628">
        <v>0</v>
      </c>
      <c r="AA2628" t="s">
        <v>49</v>
      </c>
      <c r="AB2628">
        <v>0</v>
      </c>
      <c r="AC2628" t="s">
        <v>49</v>
      </c>
      <c r="AD2628">
        <v>0</v>
      </c>
      <c r="AE2628">
        <v>10246314</v>
      </c>
      <c r="AF2628" t="s">
        <v>50</v>
      </c>
      <c r="AG2628" t="s">
        <v>1355</v>
      </c>
    </row>
    <row r="2629" spans="1:33" x14ac:dyDescent="0.35">
      <c r="A2629" s="1">
        <v>44827.73333333333</v>
      </c>
      <c r="B2629">
        <v>454813</v>
      </c>
      <c r="C2629" t="s">
        <v>5490</v>
      </c>
      <c r="D2629" t="s">
        <v>5491</v>
      </c>
      <c r="E2629" s="2">
        <v>39933</v>
      </c>
      <c r="F2629" t="str">
        <f>"9781469605876"</f>
        <v>9781469605876</v>
      </c>
      <c r="G2629" t="str">
        <f>"9780807832585"</f>
        <v>9780807832585</v>
      </c>
      <c r="H2629" t="s">
        <v>162</v>
      </c>
      <c r="I2629" t="s">
        <v>5492</v>
      </c>
      <c r="J2629" t="s">
        <v>5493</v>
      </c>
      <c r="K2629" t="s">
        <v>44</v>
      </c>
      <c r="N2629" t="s">
        <v>45</v>
      </c>
      <c r="O2629" t="s">
        <v>46</v>
      </c>
      <c r="P2629" t="s">
        <v>177</v>
      </c>
      <c r="Q2629" t="s">
        <v>47</v>
      </c>
      <c r="R2629" t="s">
        <v>55</v>
      </c>
      <c r="S2629">
        <v>0</v>
      </c>
      <c r="W2629" s="3">
        <v>9.8379629629629642E-4</v>
      </c>
      <c r="X2629" t="s">
        <v>5494</v>
      </c>
      <c r="Y2629">
        <v>7</v>
      </c>
      <c r="Z2629">
        <v>0</v>
      </c>
      <c r="AA2629" t="s">
        <v>49</v>
      </c>
      <c r="AB2629">
        <v>0</v>
      </c>
      <c r="AC2629" t="s">
        <v>49</v>
      </c>
      <c r="AD2629">
        <v>0</v>
      </c>
      <c r="AE2629">
        <v>10310782</v>
      </c>
      <c r="AF2629" t="s">
        <v>50</v>
      </c>
      <c r="AG2629" t="s">
        <v>118</v>
      </c>
    </row>
    <row r="2630" spans="1:33" x14ac:dyDescent="0.35">
      <c r="A2630" s="1">
        <v>44827.729166666664</v>
      </c>
      <c r="B2630">
        <v>988785</v>
      </c>
      <c r="C2630" t="s">
        <v>5495</v>
      </c>
      <c r="D2630" t="s">
        <v>1539</v>
      </c>
      <c r="E2630" s="2">
        <v>41110</v>
      </c>
      <c r="F2630" t="str">
        <f>"9780739165836"</f>
        <v>9780739165836</v>
      </c>
      <c r="G2630" t="str">
        <f>"9780739165812"</f>
        <v>9780739165812</v>
      </c>
      <c r="H2630" t="s">
        <v>5496</v>
      </c>
      <c r="I2630">
        <v>909.09766999999999</v>
      </c>
      <c r="J2630" t="s">
        <v>5497</v>
      </c>
      <c r="K2630" t="s">
        <v>44</v>
      </c>
      <c r="N2630" t="s">
        <v>45</v>
      </c>
      <c r="O2630" t="s">
        <v>46</v>
      </c>
      <c r="P2630" t="s">
        <v>45</v>
      </c>
      <c r="Q2630" t="s">
        <v>47</v>
      </c>
      <c r="R2630" t="s">
        <v>44</v>
      </c>
      <c r="S2630">
        <v>0</v>
      </c>
      <c r="W2630" s="3">
        <v>2.3993055555555556E-2</v>
      </c>
      <c r="X2630" t="s">
        <v>5498</v>
      </c>
      <c r="Y2630">
        <v>17</v>
      </c>
      <c r="Z2630">
        <v>2</v>
      </c>
      <c r="AA2630" t="s">
        <v>5499</v>
      </c>
      <c r="AB2630">
        <v>18</v>
      </c>
      <c r="AC2630" t="s">
        <v>49</v>
      </c>
      <c r="AD2630">
        <v>0</v>
      </c>
      <c r="AE2630">
        <v>10587707</v>
      </c>
      <c r="AF2630" t="s">
        <v>63</v>
      </c>
      <c r="AG2630" t="s">
        <v>118</v>
      </c>
    </row>
    <row r="2631" spans="1:33" x14ac:dyDescent="0.35">
      <c r="A2631" s="1">
        <v>44827.697222222225</v>
      </c>
      <c r="B2631">
        <v>918267</v>
      </c>
      <c r="C2631" t="s">
        <v>5500</v>
      </c>
      <c r="D2631" t="s">
        <v>59</v>
      </c>
      <c r="E2631" s="2">
        <v>41218</v>
      </c>
      <c r="F2631" t="str">
        <f>"9781118382912"</f>
        <v>9781118382912</v>
      </c>
      <c r="G2631" t="str">
        <f>"9780471692140"</f>
        <v>9780471692140</v>
      </c>
      <c r="H2631" t="s">
        <v>701</v>
      </c>
      <c r="I2631" t="s">
        <v>5501</v>
      </c>
      <c r="J2631" t="s">
        <v>5502</v>
      </c>
      <c r="K2631" t="s">
        <v>44</v>
      </c>
      <c r="N2631" t="s">
        <v>45</v>
      </c>
      <c r="O2631" t="s">
        <v>46</v>
      </c>
      <c r="P2631" t="s">
        <v>45</v>
      </c>
      <c r="Q2631" t="s">
        <v>47</v>
      </c>
      <c r="R2631" t="s">
        <v>44</v>
      </c>
      <c r="S2631">
        <v>2</v>
      </c>
      <c r="W2631" s="3">
        <v>1.5821759259259261E-2</v>
      </c>
      <c r="X2631" t="s">
        <v>5503</v>
      </c>
      <c r="Y2631">
        <v>26</v>
      </c>
      <c r="Z2631">
        <v>0</v>
      </c>
      <c r="AA2631" t="s">
        <v>49</v>
      </c>
      <c r="AB2631">
        <v>0</v>
      </c>
      <c r="AC2631" t="s">
        <v>49</v>
      </c>
      <c r="AD2631">
        <v>0</v>
      </c>
      <c r="AE2631">
        <v>10606068</v>
      </c>
      <c r="AF2631" t="s">
        <v>63</v>
      </c>
      <c r="AG2631" t="s">
        <v>3037</v>
      </c>
    </row>
    <row r="2632" spans="1:33" x14ac:dyDescent="0.35">
      <c r="A2632" s="1">
        <v>44827.626388888886</v>
      </c>
      <c r="B2632">
        <v>536977</v>
      </c>
      <c r="C2632" t="s">
        <v>1900</v>
      </c>
      <c r="D2632" t="s">
        <v>507</v>
      </c>
      <c r="E2632" s="2">
        <v>40043</v>
      </c>
      <c r="F2632" t="str">
        <f>"9780748637942"</f>
        <v>9780748637942</v>
      </c>
      <c r="G2632" t="str">
        <f>"9780748637928"</f>
        <v>9780748637928</v>
      </c>
      <c r="H2632" t="s">
        <v>162</v>
      </c>
      <c r="I2632">
        <v>297</v>
      </c>
      <c r="J2632" t="s">
        <v>1901</v>
      </c>
      <c r="K2632" t="s">
        <v>44</v>
      </c>
      <c r="N2632" t="s">
        <v>45</v>
      </c>
      <c r="O2632" t="s">
        <v>46</v>
      </c>
      <c r="P2632" t="s">
        <v>45</v>
      </c>
      <c r="Q2632" t="s">
        <v>47</v>
      </c>
      <c r="R2632" t="s">
        <v>44</v>
      </c>
      <c r="S2632">
        <v>0</v>
      </c>
      <c r="W2632" s="3">
        <v>3.1597222222222222E-3</v>
      </c>
      <c r="X2632" t="s">
        <v>5504</v>
      </c>
      <c r="Y2632">
        <v>15</v>
      </c>
      <c r="Z2632">
        <v>0</v>
      </c>
      <c r="AA2632" t="s">
        <v>49</v>
      </c>
      <c r="AB2632">
        <v>0</v>
      </c>
      <c r="AC2632" t="s">
        <v>49</v>
      </c>
      <c r="AD2632">
        <v>0</v>
      </c>
      <c r="AE2632">
        <v>10391780</v>
      </c>
      <c r="AF2632" t="s">
        <v>50</v>
      </c>
      <c r="AG2632" t="s">
        <v>118</v>
      </c>
    </row>
    <row r="2633" spans="1:33" x14ac:dyDescent="0.35">
      <c r="A2633" s="1">
        <v>44827.618750000001</v>
      </c>
      <c r="B2633">
        <v>357992</v>
      </c>
      <c r="C2633" t="s">
        <v>5391</v>
      </c>
      <c r="D2633" t="s">
        <v>5392</v>
      </c>
      <c r="E2633" s="2">
        <v>39569</v>
      </c>
      <c r="F2633" t="str">
        <f>"9780833045317"</f>
        <v>9780833045317</v>
      </c>
      <c r="G2633" t="str">
        <f>"9780833044570"</f>
        <v>9780833044570</v>
      </c>
      <c r="H2633" t="s">
        <v>425</v>
      </c>
      <c r="I2633" t="s">
        <v>5393</v>
      </c>
      <c r="J2633" t="s">
        <v>5394</v>
      </c>
      <c r="K2633" t="s">
        <v>44</v>
      </c>
      <c r="N2633" t="s">
        <v>45</v>
      </c>
      <c r="O2633" t="s">
        <v>46</v>
      </c>
      <c r="P2633" t="s">
        <v>177</v>
      </c>
      <c r="Q2633" t="s">
        <v>47</v>
      </c>
      <c r="R2633" t="s">
        <v>55</v>
      </c>
      <c r="S2633">
        <v>0</v>
      </c>
      <c r="W2633" s="3">
        <v>7.905092592592592E-3</v>
      </c>
      <c r="X2633" t="s">
        <v>5505</v>
      </c>
      <c r="Y2633">
        <v>13</v>
      </c>
      <c r="Z2633">
        <v>0</v>
      </c>
      <c r="AA2633" t="s">
        <v>49</v>
      </c>
      <c r="AB2633">
        <v>0</v>
      </c>
      <c r="AC2633" t="s">
        <v>49</v>
      </c>
      <c r="AD2633">
        <v>0</v>
      </c>
      <c r="AE2633">
        <v>10246314</v>
      </c>
      <c r="AF2633" t="s">
        <v>50</v>
      </c>
      <c r="AG2633" t="s">
        <v>1355</v>
      </c>
    </row>
    <row r="2634" spans="1:33" x14ac:dyDescent="0.35">
      <c r="A2634" s="1">
        <v>44827.508333333331</v>
      </c>
      <c r="B2634">
        <v>6420775</v>
      </c>
      <c r="C2634" t="s">
        <v>236</v>
      </c>
      <c r="D2634" t="s">
        <v>213</v>
      </c>
      <c r="E2634" s="2">
        <v>44147</v>
      </c>
      <c r="F2634" t="str">
        <f>"9780128243619"</f>
        <v>9780128243619</v>
      </c>
      <c r="G2634" t="str">
        <f>"9780128243602"</f>
        <v>9780128243602</v>
      </c>
      <c r="H2634" t="s">
        <v>237</v>
      </c>
      <c r="I2634">
        <v>551.70100000000002</v>
      </c>
      <c r="J2634" t="s">
        <v>238</v>
      </c>
      <c r="K2634" t="s">
        <v>55</v>
      </c>
      <c r="N2634" t="s">
        <v>79</v>
      </c>
      <c r="P2634" t="s">
        <v>80</v>
      </c>
      <c r="Q2634" t="s">
        <v>47</v>
      </c>
      <c r="R2634" t="s">
        <v>44</v>
      </c>
      <c r="S2634">
        <v>1</v>
      </c>
      <c r="T2634">
        <v>90</v>
      </c>
      <c r="U2634" s="1">
        <v>44827.508333333331</v>
      </c>
      <c r="V2634" s="1">
        <v>44917.508333333331</v>
      </c>
      <c r="W2634" s="3">
        <v>6.5740740740740733E-3</v>
      </c>
      <c r="X2634" t="s">
        <v>5506</v>
      </c>
      <c r="Y2634">
        <v>12</v>
      </c>
      <c r="Z2634">
        <v>1</v>
      </c>
      <c r="AA2634" t="s">
        <v>5507</v>
      </c>
      <c r="AB2634">
        <v>44</v>
      </c>
      <c r="AC2634" t="s">
        <v>49</v>
      </c>
      <c r="AD2634">
        <v>0</v>
      </c>
      <c r="AE2634">
        <v>-1</v>
      </c>
      <c r="AF2634" t="s">
        <v>63</v>
      </c>
      <c r="AG2634" t="s">
        <v>5126</v>
      </c>
    </row>
    <row r="2635" spans="1:33" x14ac:dyDescent="0.35">
      <c r="A2635" s="1">
        <v>44827.506944444445</v>
      </c>
      <c r="B2635">
        <v>6420775</v>
      </c>
      <c r="C2635" t="s">
        <v>236</v>
      </c>
      <c r="D2635" t="s">
        <v>213</v>
      </c>
      <c r="E2635" s="2">
        <v>44147</v>
      </c>
      <c r="F2635" t="str">
        <f>"9780128243619"</f>
        <v>9780128243619</v>
      </c>
      <c r="G2635" t="str">
        <f>"9780128243602"</f>
        <v>9780128243602</v>
      </c>
      <c r="H2635" t="s">
        <v>237</v>
      </c>
      <c r="I2635">
        <v>551.70100000000002</v>
      </c>
      <c r="J2635" t="s">
        <v>238</v>
      </c>
      <c r="K2635" t="s">
        <v>55</v>
      </c>
      <c r="N2635" t="s">
        <v>79</v>
      </c>
      <c r="P2635" t="s">
        <v>80</v>
      </c>
      <c r="Q2635" t="s">
        <v>47</v>
      </c>
      <c r="R2635" t="s">
        <v>44</v>
      </c>
      <c r="S2635">
        <v>0</v>
      </c>
      <c r="W2635" s="3">
        <v>1.5393518518518519E-3</v>
      </c>
      <c r="X2635" t="s">
        <v>5508</v>
      </c>
      <c r="Y2635">
        <v>7</v>
      </c>
      <c r="Z2635">
        <v>0</v>
      </c>
      <c r="AA2635" t="s">
        <v>49</v>
      </c>
      <c r="AB2635">
        <v>0</v>
      </c>
      <c r="AC2635" t="s">
        <v>49</v>
      </c>
      <c r="AD2635">
        <v>0</v>
      </c>
      <c r="AE2635">
        <v>-1</v>
      </c>
      <c r="AF2635" t="s">
        <v>63</v>
      </c>
      <c r="AG2635" t="s">
        <v>5126</v>
      </c>
    </row>
    <row r="2636" spans="1:33" x14ac:dyDescent="0.35">
      <c r="A2636" s="1">
        <v>44827.488194444442</v>
      </c>
      <c r="B2636">
        <v>252672</v>
      </c>
      <c r="C2636" t="s">
        <v>5509</v>
      </c>
      <c r="D2636" t="s">
        <v>65</v>
      </c>
      <c r="E2636" s="2">
        <v>38505</v>
      </c>
      <c r="F2636" t="str">
        <f>"9780080479699"</f>
        <v>9780080479699</v>
      </c>
      <c r="G2636" t="str">
        <f>"9780750662680"</f>
        <v>9780750662680</v>
      </c>
      <c r="H2636" t="s">
        <v>546</v>
      </c>
      <c r="I2636">
        <v>621.29999999999995</v>
      </c>
      <c r="J2636" t="s">
        <v>5510</v>
      </c>
      <c r="K2636" t="s">
        <v>44</v>
      </c>
      <c r="N2636" t="s">
        <v>45</v>
      </c>
      <c r="O2636" t="s">
        <v>46</v>
      </c>
      <c r="P2636" t="s">
        <v>45</v>
      </c>
      <c r="Q2636" t="s">
        <v>47</v>
      </c>
      <c r="R2636" t="s">
        <v>44</v>
      </c>
      <c r="S2636">
        <v>0</v>
      </c>
      <c r="W2636" s="3">
        <v>1.1574074074074073E-4</v>
      </c>
      <c r="X2636" t="s">
        <v>205</v>
      </c>
      <c r="Y2636">
        <v>2</v>
      </c>
      <c r="Z2636">
        <v>0</v>
      </c>
      <c r="AA2636" t="s">
        <v>49</v>
      </c>
      <c r="AB2636">
        <v>0</v>
      </c>
      <c r="AC2636" t="s">
        <v>49</v>
      </c>
      <c r="AD2636">
        <v>0</v>
      </c>
      <c r="AE2636">
        <v>10128043</v>
      </c>
      <c r="AF2636" t="s">
        <v>50</v>
      </c>
      <c r="AG2636" t="s">
        <v>118</v>
      </c>
    </row>
    <row r="2637" spans="1:33" x14ac:dyDescent="0.35">
      <c r="A2637" s="1">
        <v>44827.478472222225</v>
      </c>
      <c r="B2637">
        <v>4189569</v>
      </c>
      <c r="C2637" t="s">
        <v>5285</v>
      </c>
      <c r="D2637" t="s">
        <v>59</v>
      </c>
      <c r="E2637" s="2">
        <v>42408</v>
      </c>
      <c r="F2637" t="str">
        <f>"9781118957851"</f>
        <v>9781118957851</v>
      </c>
      <c r="G2637" t="str">
        <f>"9781118957875"</f>
        <v>9781118957875</v>
      </c>
      <c r="H2637" t="s">
        <v>1073</v>
      </c>
      <c r="I2637" t="s">
        <v>5286</v>
      </c>
      <c r="J2637" t="s">
        <v>5287</v>
      </c>
      <c r="K2637" t="s">
        <v>44</v>
      </c>
      <c r="N2637" t="s">
        <v>45</v>
      </c>
      <c r="O2637" t="s">
        <v>46</v>
      </c>
      <c r="P2637" t="s">
        <v>45</v>
      </c>
      <c r="Q2637" t="s">
        <v>47</v>
      </c>
      <c r="R2637" t="s">
        <v>44</v>
      </c>
      <c r="S2637">
        <v>0</v>
      </c>
      <c r="W2637" s="3">
        <v>8.9236111111111113E-3</v>
      </c>
      <c r="X2637" t="s">
        <v>5511</v>
      </c>
      <c r="Y2637">
        <v>103</v>
      </c>
      <c r="Z2637">
        <v>0</v>
      </c>
      <c r="AA2637" t="s">
        <v>49</v>
      </c>
      <c r="AB2637">
        <v>0</v>
      </c>
      <c r="AC2637" t="s">
        <v>49</v>
      </c>
      <c r="AD2637">
        <v>0</v>
      </c>
      <c r="AE2637">
        <v>11129189</v>
      </c>
      <c r="AF2637" t="s">
        <v>50</v>
      </c>
      <c r="AG2637" t="s">
        <v>1309</v>
      </c>
    </row>
    <row r="2638" spans="1:33" x14ac:dyDescent="0.35">
      <c r="A2638" s="1">
        <v>44827.476388888892</v>
      </c>
      <c r="B2638">
        <v>6404631</v>
      </c>
      <c r="C2638" t="s">
        <v>2668</v>
      </c>
      <c r="D2638" t="s">
        <v>844</v>
      </c>
      <c r="E2638" s="2">
        <v>44165</v>
      </c>
      <c r="F2638" t="str">
        <f>"9781787699311"</f>
        <v>9781787699311</v>
      </c>
      <c r="G2638" t="str">
        <f>"9781787699304"</f>
        <v>9781787699304</v>
      </c>
      <c r="H2638" t="s">
        <v>90</v>
      </c>
      <c r="I2638" t="s">
        <v>2669</v>
      </c>
      <c r="J2638" t="s">
        <v>2670</v>
      </c>
      <c r="K2638" t="s">
        <v>44</v>
      </c>
      <c r="N2638" t="s">
        <v>45</v>
      </c>
      <c r="O2638" t="s">
        <v>46</v>
      </c>
      <c r="P2638" t="s">
        <v>45</v>
      </c>
      <c r="Q2638" t="s">
        <v>47</v>
      </c>
      <c r="R2638" t="s">
        <v>44</v>
      </c>
      <c r="S2638">
        <v>0</v>
      </c>
      <c r="W2638" s="3">
        <v>3.3333333333333335E-3</v>
      </c>
      <c r="X2638" t="s">
        <v>5512</v>
      </c>
      <c r="Y2638">
        <v>8</v>
      </c>
      <c r="Z2638">
        <v>0</v>
      </c>
      <c r="AA2638" t="s">
        <v>49</v>
      </c>
      <c r="AB2638">
        <v>0</v>
      </c>
      <c r="AC2638" t="s">
        <v>49</v>
      </c>
      <c r="AD2638">
        <v>0</v>
      </c>
      <c r="AE2638">
        <v>-1</v>
      </c>
      <c r="AF2638" t="s">
        <v>50</v>
      </c>
      <c r="AG2638" t="s">
        <v>5436</v>
      </c>
    </row>
    <row r="2639" spans="1:33" x14ac:dyDescent="0.35">
      <c r="A2639" s="1">
        <v>44827.472222222219</v>
      </c>
      <c r="B2639">
        <v>3030307</v>
      </c>
      <c r="C2639" t="s">
        <v>5220</v>
      </c>
      <c r="D2639" t="s">
        <v>53</v>
      </c>
      <c r="E2639" s="2">
        <v>35997</v>
      </c>
      <c r="F2639" t="str">
        <f>"9781400843916"</f>
        <v>9781400843916</v>
      </c>
      <c r="G2639" t="str">
        <f>"9780691016924"</f>
        <v>9780691016924</v>
      </c>
      <c r="H2639" t="s">
        <v>1046</v>
      </c>
      <c r="I2639" t="s">
        <v>5221</v>
      </c>
      <c r="J2639" t="s">
        <v>5222</v>
      </c>
      <c r="K2639" t="s">
        <v>44</v>
      </c>
      <c r="N2639" t="s">
        <v>45</v>
      </c>
      <c r="O2639" t="s">
        <v>46</v>
      </c>
      <c r="P2639" t="s">
        <v>45</v>
      </c>
      <c r="Q2639" t="s">
        <v>47</v>
      </c>
      <c r="R2639" t="s">
        <v>44</v>
      </c>
      <c r="S2639">
        <v>0</v>
      </c>
      <c r="W2639" s="3">
        <v>5.5555555555555558E-3</v>
      </c>
      <c r="X2639" t="s">
        <v>5513</v>
      </c>
      <c r="Y2639">
        <v>32</v>
      </c>
      <c r="Z2639">
        <v>1</v>
      </c>
      <c r="AA2639" t="s">
        <v>3791</v>
      </c>
      <c r="AB2639">
        <v>25</v>
      </c>
      <c r="AC2639" t="s">
        <v>49</v>
      </c>
      <c r="AD2639">
        <v>0</v>
      </c>
      <c r="AE2639">
        <v>10652018</v>
      </c>
      <c r="AF2639" t="s">
        <v>50</v>
      </c>
      <c r="AG2639" t="s">
        <v>118</v>
      </c>
    </row>
    <row r="2640" spans="1:33" x14ac:dyDescent="0.35">
      <c r="A2640" s="1">
        <v>44827.461805555555</v>
      </c>
      <c r="B2640">
        <v>6419157</v>
      </c>
      <c r="C2640" t="s">
        <v>5471</v>
      </c>
      <c r="D2640" t="s">
        <v>1922</v>
      </c>
      <c r="E2640" s="2">
        <v>44252</v>
      </c>
      <c r="F2640" t="str">
        <f>"9780755607259"</f>
        <v>9780755607259</v>
      </c>
      <c r="G2640" t="str">
        <f>"9780755607242"</f>
        <v>9780755607242</v>
      </c>
      <c r="H2640" t="s">
        <v>3476</v>
      </c>
      <c r="I2640">
        <v>492.78041021000001</v>
      </c>
      <c r="J2640" t="s">
        <v>5472</v>
      </c>
      <c r="K2640" t="s">
        <v>55</v>
      </c>
      <c r="Q2640" t="s">
        <v>47</v>
      </c>
      <c r="R2640" t="s">
        <v>44</v>
      </c>
      <c r="S2640">
        <v>0</v>
      </c>
      <c r="W2640" s="3">
        <v>1.7361111111111112E-4</v>
      </c>
      <c r="X2640" t="s">
        <v>196</v>
      </c>
      <c r="Y2640">
        <v>2</v>
      </c>
      <c r="Z2640">
        <v>0</v>
      </c>
      <c r="AA2640" t="s">
        <v>49</v>
      </c>
      <c r="AB2640">
        <v>0</v>
      </c>
      <c r="AC2640" t="s">
        <v>49</v>
      </c>
      <c r="AD2640">
        <v>0</v>
      </c>
      <c r="AE2640">
        <v>-1</v>
      </c>
      <c r="AF2640" t="s">
        <v>50</v>
      </c>
      <c r="AG2640" t="s">
        <v>118</v>
      </c>
    </row>
    <row r="2641" spans="1:33" x14ac:dyDescent="0.35">
      <c r="A2641" s="1">
        <v>44827.316666666666</v>
      </c>
      <c r="B2641">
        <v>5554541</v>
      </c>
      <c r="C2641" t="s">
        <v>4242</v>
      </c>
      <c r="D2641" t="s">
        <v>213</v>
      </c>
      <c r="E2641" s="2">
        <v>43390</v>
      </c>
      <c r="F2641" t="str">
        <f>"9780128138977"</f>
        <v>9780128138977</v>
      </c>
      <c r="G2641" t="str">
        <f>"9780128138960"</f>
        <v>9780128138960</v>
      </c>
      <c r="H2641" t="s">
        <v>4243</v>
      </c>
      <c r="I2641">
        <v>621.36</v>
      </c>
      <c r="J2641" t="s">
        <v>4244</v>
      </c>
      <c r="K2641" t="s">
        <v>55</v>
      </c>
      <c r="Q2641" t="s">
        <v>47</v>
      </c>
      <c r="R2641" t="s">
        <v>44</v>
      </c>
      <c r="S2641">
        <v>0</v>
      </c>
      <c r="W2641" s="3">
        <v>1.5046296296296294E-3</v>
      </c>
      <c r="X2641" t="s">
        <v>5514</v>
      </c>
      <c r="Y2641">
        <v>8</v>
      </c>
      <c r="Z2641">
        <v>0</v>
      </c>
      <c r="AA2641" t="s">
        <v>49</v>
      </c>
      <c r="AB2641">
        <v>0</v>
      </c>
      <c r="AC2641" t="s">
        <v>49</v>
      </c>
      <c r="AD2641">
        <v>0</v>
      </c>
      <c r="AE2641">
        <v>-1</v>
      </c>
      <c r="AF2641" t="s">
        <v>63</v>
      </c>
      <c r="AG2641" t="s">
        <v>118</v>
      </c>
    </row>
    <row r="2642" spans="1:33" x14ac:dyDescent="0.35">
      <c r="A2642" s="1">
        <v>44827.311111111114</v>
      </c>
      <c r="B2642">
        <v>1120065</v>
      </c>
      <c r="C2642" t="s">
        <v>5515</v>
      </c>
      <c r="D2642" t="s">
        <v>59</v>
      </c>
      <c r="E2642" s="2">
        <v>41386</v>
      </c>
      <c r="F2642" t="str">
        <f>"9781118560419"</f>
        <v>9781118560419</v>
      </c>
      <c r="G2642" t="str">
        <f>"9780470674369"</f>
        <v>9780470674369</v>
      </c>
      <c r="H2642" t="s">
        <v>77</v>
      </c>
      <c r="I2642" t="s">
        <v>5516</v>
      </c>
      <c r="J2642" t="s">
        <v>5517</v>
      </c>
      <c r="K2642" t="s">
        <v>44</v>
      </c>
      <c r="N2642" t="s">
        <v>45</v>
      </c>
      <c r="O2642" t="s">
        <v>46</v>
      </c>
      <c r="P2642" t="s">
        <v>45</v>
      </c>
      <c r="Q2642" t="s">
        <v>47</v>
      </c>
      <c r="R2642" t="s">
        <v>44</v>
      </c>
      <c r="S2642">
        <v>0</v>
      </c>
      <c r="W2642" s="3">
        <v>2.199074074074074E-4</v>
      </c>
      <c r="X2642" t="s">
        <v>5518</v>
      </c>
      <c r="Y2642">
        <v>2</v>
      </c>
      <c r="Z2642">
        <v>0</v>
      </c>
      <c r="AA2642" t="s">
        <v>49</v>
      </c>
      <c r="AB2642">
        <v>0</v>
      </c>
      <c r="AC2642" t="s">
        <v>49</v>
      </c>
      <c r="AD2642">
        <v>0</v>
      </c>
      <c r="AE2642">
        <v>10653591</v>
      </c>
      <c r="AF2642" t="s">
        <v>50</v>
      </c>
      <c r="AG2642" t="s">
        <v>118</v>
      </c>
    </row>
    <row r="2643" spans="1:33" x14ac:dyDescent="0.35">
      <c r="A2643" s="1">
        <v>44827.272916666669</v>
      </c>
      <c r="B2643">
        <v>5517269</v>
      </c>
      <c r="C2643" t="s">
        <v>5163</v>
      </c>
      <c r="D2643" t="s">
        <v>266</v>
      </c>
      <c r="E2643" s="2">
        <v>43364</v>
      </c>
      <c r="F2643" t="str">
        <f>"9780857013279"</f>
        <v>9780857013279</v>
      </c>
      <c r="G2643" t="str">
        <f>"9781848193697"</f>
        <v>9781848193697</v>
      </c>
      <c r="H2643" t="s">
        <v>77</v>
      </c>
      <c r="I2643">
        <v>616.81060000000002</v>
      </c>
      <c r="J2643" t="s">
        <v>5164</v>
      </c>
      <c r="K2643" t="s">
        <v>55</v>
      </c>
      <c r="Q2643" t="s">
        <v>47</v>
      </c>
      <c r="R2643" t="s">
        <v>44</v>
      </c>
      <c r="S2643">
        <v>0</v>
      </c>
      <c r="W2643" s="3">
        <v>2.7083333333333334E-3</v>
      </c>
      <c r="X2643" t="s">
        <v>5519</v>
      </c>
      <c r="Y2643">
        <v>6</v>
      </c>
      <c r="Z2643">
        <v>0</v>
      </c>
      <c r="AA2643" t="s">
        <v>49</v>
      </c>
      <c r="AB2643">
        <v>0</v>
      </c>
      <c r="AC2643" t="s">
        <v>49</v>
      </c>
      <c r="AD2643">
        <v>0</v>
      </c>
      <c r="AE2643">
        <v>-1</v>
      </c>
      <c r="AF2643" t="s">
        <v>50</v>
      </c>
      <c r="AG2643" t="s">
        <v>118</v>
      </c>
    </row>
    <row r="2644" spans="1:33" x14ac:dyDescent="0.35">
      <c r="A2644" s="1">
        <v>44826.976388888892</v>
      </c>
      <c r="B2644">
        <v>5314417</v>
      </c>
      <c r="C2644" t="s">
        <v>5520</v>
      </c>
      <c r="D2644" t="s">
        <v>5521</v>
      </c>
      <c r="E2644" s="2">
        <v>42622</v>
      </c>
      <c r="F2644" t="str">
        <f>"9788793379671"</f>
        <v>9788793379671</v>
      </c>
      <c r="G2644" t="str">
        <f>"9788793379688"</f>
        <v>9788793379688</v>
      </c>
      <c r="H2644" t="s">
        <v>1046</v>
      </c>
      <c r="I2644">
        <v>305.42</v>
      </c>
      <c r="J2644" t="s">
        <v>5522</v>
      </c>
      <c r="K2644" t="s">
        <v>44</v>
      </c>
      <c r="N2644" t="s">
        <v>45</v>
      </c>
      <c r="O2644" t="s">
        <v>46</v>
      </c>
      <c r="P2644" t="s">
        <v>45</v>
      </c>
      <c r="Q2644" t="s">
        <v>47</v>
      </c>
      <c r="R2644" t="s">
        <v>44</v>
      </c>
      <c r="S2644">
        <v>0</v>
      </c>
      <c r="W2644" s="3">
        <v>8.1249999999999985E-3</v>
      </c>
      <c r="X2644" t="s">
        <v>5523</v>
      </c>
      <c r="Y2644">
        <v>28</v>
      </c>
      <c r="Z2644">
        <v>0</v>
      </c>
      <c r="AA2644" t="s">
        <v>49</v>
      </c>
      <c r="AB2644">
        <v>0</v>
      </c>
      <c r="AC2644" t="s">
        <v>49</v>
      </c>
      <c r="AD2644">
        <v>0</v>
      </c>
      <c r="AE2644">
        <v>11520173</v>
      </c>
      <c r="AF2644" t="s">
        <v>50</v>
      </c>
      <c r="AG2644" t="s">
        <v>2642</v>
      </c>
    </row>
    <row r="2645" spans="1:33" x14ac:dyDescent="0.35">
      <c r="A2645" s="1">
        <v>44826.972222222219</v>
      </c>
      <c r="B2645">
        <v>6275338</v>
      </c>
      <c r="C2645" t="s">
        <v>5524</v>
      </c>
      <c r="D2645" t="s">
        <v>76</v>
      </c>
      <c r="E2645" s="2">
        <v>44089</v>
      </c>
      <c r="F2645" t="str">
        <f>"9781000175929"</f>
        <v>9781000175929</v>
      </c>
      <c r="G2645" t="str">
        <f>"9780367481056"</f>
        <v>9780367481056</v>
      </c>
      <c r="H2645" t="s">
        <v>2915</v>
      </c>
      <c r="I2645">
        <v>953.6</v>
      </c>
      <c r="J2645" t="s">
        <v>5525</v>
      </c>
      <c r="K2645" t="s">
        <v>55</v>
      </c>
      <c r="Q2645" t="s">
        <v>47</v>
      </c>
      <c r="R2645" t="s">
        <v>44</v>
      </c>
      <c r="S2645">
        <v>0</v>
      </c>
      <c r="W2645" s="3">
        <v>8.9120370370370362E-4</v>
      </c>
      <c r="X2645" t="s">
        <v>5526</v>
      </c>
      <c r="Y2645">
        <v>6</v>
      </c>
      <c r="Z2645">
        <v>0</v>
      </c>
      <c r="AA2645" t="s">
        <v>49</v>
      </c>
      <c r="AB2645">
        <v>0</v>
      </c>
      <c r="AC2645" t="s">
        <v>49</v>
      </c>
      <c r="AD2645">
        <v>0</v>
      </c>
      <c r="AE2645">
        <v>-1</v>
      </c>
      <c r="AF2645" t="s">
        <v>50</v>
      </c>
      <c r="AG2645" t="s">
        <v>2642</v>
      </c>
    </row>
    <row r="2646" spans="1:33" x14ac:dyDescent="0.35">
      <c r="A2646" s="1">
        <v>44826.969444444447</v>
      </c>
      <c r="B2646">
        <v>5746991</v>
      </c>
      <c r="C2646" t="s">
        <v>5527</v>
      </c>
      <c r="D2646" t="s">
        <v>76</v>
      </c>
      <c r="E2646" s="2">
        <v>43588</v>
      </c>
      <c r="F2646" t="str">
        <f>"9781351064972"</f>
        <v>9781351064972</v>
      </c>
      <c r="G2646" t="str">
        <f>"9781138479708"</f>
        <v>9781138479708</v>
      </c>
      <c r="H2646" t="s">
        <v>3824</v>
      </c>
      <c r="I2646">
        <v>659.20953599999996</v>
      </c>
      <c r="J2646" t="s">
        <v>5528</v>
      </c>
      <c r="K2646" t="s">
        <v>55</v>
      </c>
      <c r="Q2646" t="s">
        <v>47</v>
      </c>
      <c r="R2646" t="s">
        <v>44</v>
      </c>
      <c r="S2646">
        <v>0</v>
      </c>
      <c r="W2646" s="3">
        <v>1.3194444444444443E-3</v>
      </c>
      <c r="X2646" t="s">
        <v>5529</v>
      </c>
      <c r="Y2646">
        <v>20</v>
      </c>
      <c r="Z2646">
        <v>0</v>
      </c>
      <c r="AA2646" t="s">
        <v>49</v>
      </c>
      <c r="AB2646">
        <v>0</v>
      </c>
      <c r="AC2646" t="s">
        <v>49</v>
      </c>
      <c r="AD2646">
        <v>0</v>
      </c>
      <c r="AE2646">
        <v>-1</v>
      </c>
      <c r="AF2646" t="s">
        <v>50</v>
      </c>
      <c r="AG2646" t="s">
        <v>2642</v>
      </c>
    </row>
    <row r="2647" spans="1:33" x14ac:dyDescent="0.35">
      <c r="A2647" s="1">
        <v>44826.947222222225</v>
      </c>
      <c r="B2647">
        <v>574496</v>
      </c>
      <c r="C2647" t="s">
        <v>5530</v>
      </c>
      <c r="D2647" t="s">
        <v>76</v>
      </c>
      <c r="E2647" s="2">
        <v>40438</v>
      </c>
      <c r="F2647" t="str">
        <f>"9780203846650"</f>
        <v>9780203846650</v>
      </c>
      <c r="G2647" t="str">
        <f>"9780415780353"</f>
        <v>9780415780353</v>
      </c>
      <c r="H2647" t="s">
        <v>900</v>
      </c>
      <c r="I2647">
        <v>330.95299999999997</v>
      </c>
      <c r="J2647" t="s">
        <v>5531</v>
      </c>
      <c r="K2647" t="s">
        <v>44</v>
      </c>
      <c r="N2647" t="s">
        <v>45</v>
      </c>
      <c r="O2647" t="s">
        <v>46</v>
      </c>
      <c r="P2647" t="s">
        <v>45</v>
      </c>
      <c r="Q2647" t="s">
        <v>47</v>
      </c>
      <c r="R2647" t="s">
        <v>44</v>
      </c>
      <c r="S2647">
        <v>0</v>
      </c>
      <c r="W2647" s="3">
        <v>1.8402777777777778E-2</v>
      </c>
      <c r="X2647" t="s">
        <v>5532</v>
      </c>
      <c r="Y2647">
        <v>30</v>
      </c>
      <c r="Z2647">
        <v>0</v>
      </c>
      <c r="AA2647" t="s">
        <v>49</v>
      </c>
      <c r="AB2647">
        <v>0</v>
      </c>
      <c r="AC2647" t="s">
        <v>49</v>
      </c>
      <c r="AD2647">
        <v>0</v>
      </c>
      <c r="AE2647">
        <v>10416684</v>
      </c>
      <c r="AF2647" t="s">
        <v>50</v>
      </c>
      <c r="AG2647" t="s">
        <v>2642</v>
      </c>
    </row>
    <row r="2648" spans="1:33" x14ac:dyDescent="0.35">
      <c r="A2648" s="1">
        <v>44826.878472222219</v>
      </c>
      <c r="B2648">
        <v>957290</v>
      </c>
      <c r="C2648" t="s">
        <v>4280</v>
      </c>
      <c r="D2648" t="s">
        <v>76</v>
      </c>
      <c r="E2648" s="2">
        <v>40941</v>
      </c>
      <c r="F2648" t="str">
        <f>"9780203127711"</f>
        <v>9780203127711</v>
      </c>
      <c r="G2648" t="str">
        <f>"9780415895347"</f>
        <v>9780415895347</v>
      </c>
      <c r="H2648" t="s">
        <v>1046</v>
      </c>
      <c r="I2648">
        <v>302.23099999999999</v>
      </c>
      <c r="J2648" t="s">
        <v>4281</v>
      </c>
      <c r="K2648" t="s">
        <v>44</v>
      </c>
      <c r="N2648" t="s">
        <v>45</v>
      </c>
      <c r="O2648" t="s">
        <v>46</v>
      </c>
      <c r="P2648" t="s">
        <v>45</v>
      </c>
      <c r="Q2648" t="s">
        <v>47</v>
      </c>
      <c r="R2648" t="s">
        <v>44</v>
      </c>
      <c r="S2648">
        <v>0</v>
      </c>
      <c r="W2648" s="3">
        <v>0</v>
      </c>
      <c r="X2648" t="s">
        <v>49</v>
      </c>
      <c r="Y2648">
        <v>0</v>
      </c>
      <c r="Z2648">
        <v>1</v>
      </c>
      <c r="AA2648" t="s">
        <v>4897</v>
      </c>
      <c r="AB2648">
        <v>20</v>
      </c>
      <c r="AC2648" t="s">
        <v>49</v>
      </c>
      <c r="AD2648">
        <v>0</v>
      </c>
      <c r="AE2648">
        <v>10535074</v>
      </c>
      <c r="AF2648" t="s">
        <v>50</v>
      </c>
      <c r="AG2648" t="s">
        <v>5533</v>
      </c>
    </row>
    <row r="2649" spans="1:33" x14ac:dyDescent="0.35">
      <c r="A2649" s="1">
        <v>44826.86041666667</v>
      </c>
      <c r="B2649">
        <v>574496</v>
      </c>
      <c r="C2649" t="s">
        <v>5530</v>
      </c>
      <c r="D2649" t="s">
        <v>76</v>
      </c>
      <c r="E2649" s="2">
        <v>40438</v>
      </c>
      <c r="F2649" t="str">
        <f>"9780203846650"</f>
        <v>9780203846650</v>
      </c>
      <c r="G2649" t="str">
        <f>"9780415780353"</f>
        <v>9780415780353</v>
      </c>
      <c r="H2649" t="s">
        <v>900</v>
      </c>
      <c r="I2649">
        <v>330.95299999999997</v>
      </c>
      <c r="J2649" t="s">
        <v>5531</v>
      </c>
      <c r="K2649" t="s">
        <v>44</v>
      </c>
      <c r="N2649" t="s">
        <v>45</v>
      </c>
      <c r="O2649" t="s">
        <v>46</v>
      </c>
      <c r="P2649" t="s">
        <v>45</v>
      </c>
      <c r="Q2649" t="s">
        <v>47</v>
      </c>
      <c r="R2649" t="s">
        <v>44</v>
      </c>
      <c r="S2649">
        <v>0</v>
      </c>
      <c r="W2649" s="3">
        <v>2.7615740740740743E-2</v>
      </c>
      <c r="X2649" t="s">
        <v>5534</v>
      </c>
      <c r="Y2649">
        <v>36</v>
      </c>
      <c r="Z2649">
        <v>0</v>
      </c>
      <c r="AA2649" t="s">
        <v>49</v>
      </c>
      <c r="AB2649">
        <v>0</v>
      </c>
      <c r="AC2649" t="s">
        <v>49</v>
      </c>
      <c r="AD2649">
        <v>0</v>
      </c>
      <c r="AE2649">
        <v>10416684</v>
      </c>
      <c r="AF2649" t="s">
        <v>50</v>
      </c>
      <c r="AG2649" t="s">
        <v>2642</v>
      </c>
    </row>
    <row r="2650" spans="1:33" x14ac:dyDescent="0.35">
      <c r="A2650" s="1">
        <v>44826.856944444444</v>
      </c>
      <c r="B2650">
        <v>6275338</v>
      </c>
      <c r="C2650" t="s">
        <v>5524</v>
      </c>
      <c r="D2650" t="s">
        <v>76</v>
      </c>
      <c r="E2650" s="2">
        <v>44089</v>
      </c>
      <c r="F2650" t="str">
        <f>"9781000175929"</f>
        <v>9781000175929</v>
      </c>
      <c r="G2650" t="str">
        <f>"9780367481056"</f>
        <v>9780367481056</v>
      </c>
      <c r="H2650" t="s">
        <v>2915</v>
      </c>
      <c r="I2650">
        <v>953.6</v>
      </c>
      <c r="J2650" t="s">
        <v>5525</v>
      </c>
      <c r="K2650" t="s">
        <v>55</v>
      </c>
      <c r="Q2650" t="s">
        <v>47</v>
      </c>
      <c r="R2650" t="s">
        <v>44</v>
      </c>
      <c r="S2650">
        <v>0</v>
      </c>
      <c r="W2650" s="3">
        <v>2.8009259259259259E-3</v>
      </c>
      <c r="X2650" t="s">
        <v>5535</v>
      </c>
      <c r="Y2650">
        <v>23</v>
      </c>
      <c r="Z2650">
        <v>0</v>
      </c>
      <c r="AA2650" t="s">
        <v>49</v>
      </c>
      <c r="AB2650">
        <v>0</v>
      </c>
      <c r="AC2650" t="s">
        <v>49</v>
      </c>
      <c r="AD2650">
        <v>0</v>
      </c>
      <c r="AE2650">
        <v>-1</v>
      </c>
      <c r="AF2650" t="s">
        <v>50</v>
      </c>
      <c r="AG2650" t="s">
        <v>2642</v>
      </c>
    </row>
    <row r="2651" spans="1:33" x14ac:dyDescent="0.35">
      <c r="A2651" s="1">
        <v>44826.84375</v>
      </c>
      <c r="B2651">
        <v>5785290</v>
      </c>
      <c r="C2651" t="s">
        <v>5536</v>
      </c>
      <c r="D2651" t="s">
        <v>371</v>
      </c>
      <c r="E2651" s="2">
        <v>43649</v>
      </c>
      <c r="F2651" t="str">
        <f>"9783035734751"</f>
        <v>9783035734751</v>
      </c>
      <c r="G2651" t="str">
        <f>"9783035714753"</f>
        <v>9783035714753</v>
      </c>
      <c r="H2651" t="s">
        <v>831</v>
      </c>
      <c r="K2651" t="s">
        <v>55</v>
      </c>
      <c r="Q2651" t="s">
        <v>47</v>
      </c>
      <c r="R2651" t="s">
        <v>44</v>
      </c>
      <c r="S2651">
        <v>0</v>
      </c>
      <c r="W2651" s="3">
        <v>1.0416666666666667E-3</v>
      </c>
      <c r="X2651" t="s">
        <v>1143</v>
      </c>
      <c r="Y2651">
        <v>7</v>
      </c>
      <c r="Z2651">
        <v>0</v>
      </c>
      <c r="AA2651" t="s">
        <v>49</v>
      </c>
      <c r="AB2651">
        <v>0</v>
      </c>
      <c r="AC2651" t="s">
        <v>49</v>
      </c>
      <c r="AD2651">
        <v>0</v>
      </c>
      <c r="AE2651">
        <v>-1</v>
      </c>
      <c r="AF2651" t="s">
        <v>50</v>
      </c>
      <c r="AG2651" t="s">
        <v>5126</v>
      </c>
    </row>
    <row r="2652" spans="1:33" x14ac:dyDescent="0.35">
      <c r="A2652" s="1">
        <v>44826.80972222222</v>
      </c>
      <c r="B2652">
        <v>1120065</v>
      </c>
      <c r="C2652" t="s">
        <v>5515</v>
      </c>
      <c r="D2652" t="s">
        <v>59</v>
      </c>
      <c r="E2652" s="2">
        <v>41386</v>
      </c>
      <c r="F2652" t="str">
        <f>"9781118560419"</f>
        <v>9781118560419</v>
      </c>
      <c r="G2652" t="str">
        <f>"9780470674369"</f>
        <v>9780470674369</v>
      </c>
      <c r="H2652" t="s">
        <v>77</v>
      </c>
      <c r="I2652" t="s">
        <v>5516</v>
      </c>
      <c r="J2652" t="s">
        <v>5517</v>
      </c>
      <c r="K2652" t="s">
        <v>44</v>
      </c>
      <c r="N2652" t="s">
        <v>45</v>
      </c>
      <c r="O2652" t="s">
        <v>46</v>
      </c>
      <c r="P2652" t="s">
        <v>45</v>
      </c>
      <c r="Q2652" t="s">
        <v>47</v>
      </c>
      <c r="R2652" t="s">
        <v>44</v>
      </c>
      <c r="S2652">
        <v>0</v>
      </c>
      <c r="W2652" s="3">
        <v>1.7824074074074072E-3</v>
      </c>
      <c r="X2652" t="s">
        <v>5537</v>
      </c>
      <c r="Y2652">
        <v>7</v>
      </c>
      <c r="Z2652">
        <v>0</v>
      </c>
      <c r="AA2652" t="s">
        <v>49</v>
      </c>
      <c r="AB2652">
        <v>0</v>
      </c>
      <c r="AC2652" t="s">
        <v>49</v>
      </c>
      <c r="AD2652">
        <v>0</v>
      </c>
      <c r="AE2652">
        <v>10653591</v>
      </c>
      <c r="AF2652" t="s">
        <v>50</v>
      </c>
      <c r="AG2652" t="s">
        <v>118</v>
      </c>
    </row>
    <row r="2653" spans="1:33" x14ac:dyDescent="0.35">
      <c r="A2653" s="1">
        <v>44826.767361111109</v>
      </c>
      <c r="B2653">
        <v>3425852</v>
      </c>
      <c r="C2653" t="s">
        <v>5538</v>
      </c>
      <c r="D2653" t="s">
        <v>4811</v>
      </c>
      <c r="E2653" s="2">
        <v>42120</v>
      </c>
      <c r="F2653" t="str">
        <f>"9781780407319"</f>
        <v>9781780407319</v>
      </c>
      <c r="G2653" t="str">
        <f>""</f>
        <v/>
      </c>
      <c r="H2653" t="s">
        <v>261</v>
      </c>
      <c r="I2653">
        <v>628.29999999999995</v>
      </c>
      <c r="J2653" t="s">
        <v>5539</v>
      </c>
      <c r="K2653" t="s">
        <v>44</v>
      </c>
      <c r="N2653" t="s">
        <v>45</v>
      </c>
      <c r="O2653" t="s">
        <v>46</v>
      </c>
      <c r="P2653" t="s">
        <v>45</v>
      </c>
      <c r="Q2653" t="s">
        <v>47</v>
      </c>
      <c r="R2653" t="s">
        <v>44</v>
      </c>
      <c r="S2653">
        <v>0</v>
      </c>
      <c r="W2653" s="3">
        <v>1.7824074074074072E-3</v>
      </c>
      <c r="X2653" t="s">
        <v>5540</v>
      </c>
      <c r="Y2653">
        <v>12</v>
      </c>
      <c r="Z2653">
        <v>0</v>
      </c>
      <c r="AA2653" t="s">
        <v>49</v>
      </c>
      <c r="AB2653">
        <v>0</v>
      </c>
      <c r="AC2653" t="s">
        <v>49</v>
      </c>
      <c r="AD2653">
        <v>0</v>
      </c>
      <c r="AE2653">
        <v>11080160</v>
      </c>
      <c r="AF2653" t="s">
        <v>50</v>
      </c>
      <c r="AG2653" t="s">
        <v>5541</v>
      </c>
    </row>
    <row r="2654" spans="1:33" x14ac:dyDescent="0.35">
      <c r="A2654" s="1">
        <v>44826.760416666664</v>
      </c>
      <c r="B2654">
        <v>3425852</v>
      </c>
      <c r="C2654" t="s">
        <v>5538</v>
      </c>
      <c r="D2654" t="s">
        <v>4811</v>
      </c>
      <c r="E2654" s="2">
        <v>42120</v>
      </c>
      <c r="F2654" t="str">
        <f>"9781780407319"</f>
        <v>9781780407319</v>
      </c>
      <c r="G2654" t="str">
        <f>""</f>
        <v/>
      </c>
      <c r="H2654" t="s">
        <v>261</v>
      </c>
      <c r="I2654">
        <v>628.29999999999995</v>
      </c>
      <c r="J2654" t="s">
        <v>5539</v>
      </c>
      <c r="K2654" t="s">
        <v>44</v>
      </c>
      <c r="N2654" t="s">
        <v>45</v>
      </c>
      <c r="O2654" t="s">
        <v>46</v>
      </c>
      <c r="P2654" t="s">
        <v>45</v>
      </c>
      <c r="Q2654" t="s">
        <v>47</v>
      </c>
      <c r="R2654" t="s">
        <v>44</v>
      </c>
      <c r="S2654">
        <v>0</v>
      </c>
      <c r="W2654" s="3">
        <v>1.0416666666666667E-4</v>
      </c>
      <c r="X2654" t="s">
        <v>577</v>
      </c>
      <c r="Y2654">
        <v>2</v>
      </c>
      <c r="Z2654">
        <v>0</v>
      </c>
      <c r="AA2654" t="s">
        <v>49</v>
      </c>
      <c r="AB2654">
        <v>0</v>
      </c>
      <c r="AC2654" t="s">
        <v>49</v>
      </c>
      <c r="AD2654">
        <v>0</v>
      </c>
      <c r="AE2654">
        <v>11080160</v>
      </c>
      <c r="AF2654" t="s">
        <v>50</v>
      </c>
      <c r="AG2654" t="s">
        <v>505</v>
      </c>
    </row>
    <row r="2655" spans="1:33" x14ac:dyDescent="0.35">
      <c r="A2655" s="1">
        <v>44826.743055555555</v>
      </c>
      <c r="B2655">
        <v>6419157</v>
      </c>
      <c r="C2655" t="s">
        <v>5471</v>
      </c>
      <c r="D2655" t="s">
        <v>1922</v>
      </c>
      <c r="E2655" s="2">
        <v>44252</v>
      </c>
      <c r="F2655" t="str">
        <f>"9780755607259"</f>
        <v>9780755607259</v>
      </c>
      <c r="G2655" t="str">
        <f>"9780755607242"</f>
        <v>9780755607242</v>
      </c>
      <c r="H2655" t="s">
        <v>3476</v>
      </c>
      <c r="I2655">
        <v>492.78041021000001</v>
      </c>
      <c r="J2655" t="s">
        <v>5472</v>
      </c>
      <c r="K2655" t="s">
        <v>55</v>
      </c>
      <c r="Q2655" t="s">
        <v>47</v>
      </c>
      <c r="R2655" t="s">
        <v>44</v>
      </c>
      <c r="S2655">
        <v>0</v>
      </c>
      <c r="W2655" s="3">
        <v>8.1018518518518516E-5</v>
      </c>
      <c r="X2655" t="s">
        <v>121</v>
      </c>
      <c r="Y2655">
        <v>1</v>
      </c>
      <c r="Z2655">
        <v>0</v>
      </c>
      <c r="AA2655" t="s">
        <v>49</v>
      </c>
      <c r="AB2655">
        <v>0</v>
      </c>
      <c r="AC2655" t="s">
        <v>49</v>
      </c>
      <c r="AD2655">
        <v>0</v>
      </c>
      <c r="AE2655">
        <v>-1</v>
      </c>
      <c r="AF2655" t="s">
        <v>50</v>
      </c>
      <c r="AG2655" t="s">
        <v>118</v>
      </c>
    </row>
    <row r="2656" spans="1:33" x14ac:dyDescent="0.35">
      <c r="A2656" s="1">
        <v>44826.734722222223</v>
      </c>
      <c r="B2656">
        <v>5517269</v>
      </c>
      <c r="C2656" t="s">
        <v>5163</v>
      </c>
      <c r="D2656" t="s">
        <v>266</v>
      </c>
      <c r="E2656" s="2">
        <v>43364</v>
      </c>
      <c r="F2656" t="str">
        <f>"9780857013279"</f>
        <v>9780857013279</v>
      </c>
      <c r="G2656" t="str">
        <f>"9781848193697"</f>
        <v>9781848193697</v>
      </c>
      <c r="H2656" t="s">
        <v>77</v>
      </c>
      <c r="I2656">
        <v>616.81060000000002</v>
      </c>
      <c r="J2656" t="s">
        <v>5164</v>
      </c>
      <c r="K2656" t="s">
        <v>55</v>
      </c>
      <c r="Q2656" t="s">
        <v>47</v>
      </c>
      <c r="R2656" t="s">
        <v>44</v>
      </c>
      <c r="S2656">
        <v>0</v>
      </c>
      <c r="W2656" s="3">
        <v>9.9421296296296289E-3</v>
      </c>
      <c r="X2656" t="s">
        <v>5542</v>
      </c>
      <c r="Y2656">
        <v>13</v>
      </c>
      <c r="Z2656">
        <v>0</v>
      </c>
      <c r="AA2656" t="s">
        <v>49</v>
      </c>
      <c r="AB2656">
        <v>0</v>
      </c>
      <c r="AC2656" t="s">
        <v>49</v>
      </c>
      <c r="AD2656">
        <v>0</v>
      </c>
      <c r="AE2656">
        <v>-1</v>
      </c>
      <c r="AF2656" t="s">
        <v>63</v>
      </c>
      <c r="AG2656" t="s">
        <v>118</v>
      </c>
    </row>
    <row r="2657" spans="1:33" x14ac:dyDescent="0.35">
      <c r="A2657" s="1">
        <v>44826.705555555556</v>
      </c>
      <c r="B2657">
        <v>449272</v>
      </c>
      <c r="C2657" t="s">
        <v>5543</v>
      </c>
      <c r="D2657" t="s">
        <v>2150</v>
      </c>
      <c r="E2657" s="2">
        <v>39783</v>
      </c>
      <c r="F2657" t="str">
        <f>"9781935281054"</f>
        <v>9781935281054</v>
      </c>
      <c r="G2657" t="str">
        <f>"9781933864129"</f>
        <v>9781933864129</v>
      </c>
      <c r="H2657" t="s">
        <v>77</v>
      </c>
      <c r="I2657" t="s">
        <v>5544</v>
      </c>
      <c r="J2657" t="s">
        <v>5545</v>
      </c>
      <c r="K2657" t="s">
        <v>44</v>
      </c>
      <c r="N2657" t="s">
        <v>45</v>
      </c>
      <c r="O2657" t="s">
        <v>46</v>
      </c>
      <c r="P2657" t="s">
        <v>45</v>
      </c>
      <c r="Q2657" t="s">
        <v>47</v>
      </c>
      <c r="R2657" t="s">
        <v>44</v>
      </c>
      <c r="S2657">
        <v>0</v>
      </c>
      <c r="W2657" s="3">
        <v>2.7685185185185188E-2</v>
      </c>
      <c r="X2657" t="s">
        <v>5546</v>
      </c>
      <c r="Y2657">
        <v>36</v>
      </c>
      <c r="Z2657">
        <v>0</v>
      </c>
      <c r="AA2657" t="s">
        <v>49</v>
      </c>
      <c r="AB2657">
        <v>0</v>
      </c>
      <c r="AC2657" t="s">
        <v>5547</v>
      </c>
      <c r="AD2657">
        <v>6</v>
      </c>
      <c r="AE2657">
        <v>10309147</v>
      </c>
      <c r="AF2657" t="s">
        <v>50</v>
      </c>
      <c r="AG2657" t="s">
        <v>118</v>
      </c>
    </row>
    <row r="2658" spans="1:33" x14ac:dyDescent="0.35">
      <c r="A2658" s="1">
        <v>44826.698611111111</v>
      </c>
      <c r="B2658">
        <v>469749</v>
      </c>
      <c r="C2658" t="s">
        <v>2784</v>
      </c>
      <c r="D2658" t="s">
        <v>1458</v>
      </c>
      <c r="E2658" s="2">
        <v>39693</v>
      </c>
      <c r="F2658" t="str">
        <f>"9780470282069"</f>
        <v>9780470282069</v>
      </c>
      <c r="G2658" t="str">
        <f>"9780470105252"</f>
        <v>9780470105252</v>
      </c>
      <c r="H2658" t="s">
        <v>1112</v>
      </c>
      <c r="I2658">
        <v>660.28319999999997</v>
      </c>
      <c r="J2658" t="s">
        <v>2785</v>
      </c>
      <c r="K2658" t="s">
        <v>44</v>
      </c>
      <c r="N2658" t="s">
        <v>45</v>
      </c>
      <c r="O2658" t="s">
        <v>46</v>
      </c>
      <c r="P2658" t="s">
        <v>45</v>
      </c>
      <c r="Q2658" t="s">
        <v>47</v>
      </c>
      <c r="R2658" t="s">
        <v>44</v>
      </c>
      <c r="S2658">
        <v>0</v>
      </c>
      <c r="W2658" s="3">
        <v>1.1782407407407406E-2</v>
      </c>
      <c r="X2658" t="s">
        <v>5548</v>
      </c>
      <c r="Y2658">
        <v>4</v>
      </c>
      <c r="Z2658">
        <v>0</v>
      </c>
      <c r="AA2658" t="s">
        <v>49</v>
      </c>
      <c r="AB2658">
        <v>0</v>
      </c>
      <c r="AC2658" t="s">
        <v>49</v>
      </c>
      <c r="AD2658">
        <v>0</v>
      </c>
      <c r="AE2658">
        <v>10296771</v>
      </c>
      <c r="AF2658" t="s">
        <v>50</v>
      </c>
      <c r="AG2658" t="s">
        <v>1355</v>
      </c>
    </row>
    <row r="2659" spans="1:33" x14ac:dyDescent="0.35">
      <c r="A2659" s="1">
        <v>44826.695833333331</v>
      </c>
      <c r="B2659">
        <v>1810276</v>
      </c>
      <c r="C2659" t="s">
        <v>5549</v>
      </c>
      <c r="D2659" t="s">
        <v>2022</v>
      </c>
      <c r="E2659" s="2">
        <v>41472</v>
      </c>
      <c r="F2659" t="str">
        <f>"9781443868358"</f>
        <v>9781443868358</v>
      </c>
      <c r="G2659" t="str">
        <f>"9781443847766"</f>
        <v>9781443847766</v>
      </c>
      <c r="H2659" t="s">
        <v>1256</v>
      </c>
      <c r="I2659">
        <v>620</v>
      </c>
      <c r="J2659" t="s">
        <v>5550</v>
      </c>
      <c r="K2659" t="s">
        <v>44</v>
      </c>
      <c r="N2659" t="s">
        <v>45</v>
      </c>
      <c r="O2659" t="s">
        <v>46</v>
      </c>
      <c r="P2659" t="s">
        <v>45</v>
      </c>
      <c r="Q2659" t="s">
        <v>47</v>
      </c>
      <c r="R2659" t="s">
        <v>44</v>
      </c>
      <c r="S2659">
        <v>0</v>
      </c>
      <c r="W2659" s="3">
        <v>5.5555555555555556E-4</v>
      </c>
      <c r="X2659" t="s">
        <v>5551</v>
      </c>
      <c r="Y2659">
        <v>5</v>
      </c>
      <c r="Z2659">
        <v>0</v>
      </c>
      <c r="AA2659" t="s">
        <v>49</v>
      </c>
      <c r="AB2659">
        <v>0</v>
      </c>
      <c r="AC2659" t="s">
        <v>49</v>
      </c>
      <c r="AD2659">
        <v>0</v>
      </c>
      <c r="AE2659">
        <v>10949444</v>
      </c>
      <c r="AF2659" t="s">
        <v>50</v>
      </c>
      <c r="AG2659" t="s">
        <v>1355</v>
      </c>
    </row>
    <row r="2660" spans="1:33" x14ac:dyDescent="0.35">
      <c r="A2660" s="1">
        <v>44826.668749999997</v>
      </c>
      <c r="B2660">
        <v>1185558</v>
      </c>
      <c r="C2660" t="s">
        <v>2189</v>
      </c>
      <c r="D2660" t="s">
        <v>465</v>
      </c>
      <c r="E2660" s="2">
        <v>40318</v>
      </c>
      <c r="F2660" t="str">
        <f>"9781849731089"</f>
        <v>9781849731089</v>
      </c>
      <c r="G2660" t="str">
        <f>"9781849730464"</f>
        <v>9781849730464</v>
      </c>
      <c r="H2660" t="s">
        <v>1112</v>
      </c>
      <c r="I2660">
        <v>665.53800000000001</v>
      </c>
      <c r="J2660" t="s">
        <v>2190</v>
      </c>
      <c r="K2660" t="s">
        <v>44</v>
      </c>
      <c r="N2660" t="s">
        <v>45</v>
      </c>
      <c r="O2660" t="s">
        <v>46</v>
      </c>
      <c r="P2660" t="s">
        <v>45</v>
      </c>
      <c r="Q2660" t="s">
        <v>47</v>
      </c>
      <c r="R2660" t="s">
        <v>44</v>
      </c>
      <c r="S2660">
        <v>1</v>
      </c>
      <c r="W2660" s="3">
        <v>2.673611111111111E-3</v>
      </c>
      <c r="X2660" t="s">
        <v>5552</v>
      </c>
      <c r="Y2660">
        <v>5</v>
      </c>
      <c r="Z2660">
        <v>1</v>
      </c>
      <c r="AA2660" t="s">
        <v>5553</v>
      </c>
      <c r="AB2660">
        <v>17</v>
      </c>
      <c r="AC2660" t="s">
        <v>49</v>
      </c>
      <c r="AD2660">
        <v>0</v>
      </c>
      <c r="AE2660">
        <v>10627671</v>
      </c>
      <c r="AF2660" t="s">
        <v>63</v>
      </c>
      <c r="AG2660" t="s">
        <v>1355</v>
      </c>
    </row>
    <row r="2661" spans="1:33" x14ac:dyDescent="0.35">
      <c r="A2661" s="1">
        <v>44826.658333333333</v>
      </c>
      <c r="B2661">
        <v>1185558</v>
      </c>
      <c r="C2661" t="s">
        <v>2189</v>
      </c>
      <c r="D2661" t="s">
        <v>465</v>
      </c>
      <c r="E2661" s="2">
        <v>40318</v>
      </c>
      <c r="F2661" t="str">
        <f>"9781849731089"</f>
        <v>9781849731089</v>
      </c>
      <c r="G2661" t="str">
        <f>"9781849730464"</f>
        <v>9781849730464</v>
      </c>
      <c r="H2661" t="s">
        <v>1112</v>
      </c>
      <c r="I2661">
        <v>665.53800000000001</v>
      </c>
      <c r="J2661" t="s">
        <v>2190</v>
      </c>
      <c r="K2661" t="s">
        <v>44</v>
      </c>
      <c r="N2661" t="s">
        <v>45</v>
      </c>
      <c r="O2661" t="s">
        <v>46</v>
      </c>
      <c r="P2661" t="s">
        <v>45</v>
      </c>
      <c r="Q2661" t="s">
        <v>47</v>
      </c>
      <c r="R2661" t="s">
        <v>44</v>
      </c>
      <c r="S2661">
        <v>0</v>
      </c>
      <c r="W2661" s="3">
        <v>1.0289351851851852E-2</v>
      </c>
      <c r="X2661" t="s">
        <v>5554</v>
      </c>
      <c r="Y2661">
        <v>15</v>
      </c>
      <c r="Z2661">
        <v>0</v>
      </c>
      <c r="AA2661" t="s">
        <v>49</v>
      </c>
      <c r="AB2661">
        <v>0</v>
      </c>
      <c r="AC2661" t="s">
        <v>49</v>
      </c>
      <c r="AD2661">
        <v>0</v>
      </c>
      <c r="AE2661">
        <v>10627671</v>
      </c>
      <c r="AF2661" t="s">
        <v>63</v>
      </c>
      <c r="AG2661" t="s">
        <v>1355</v>
      </c>
    </row>
    <row r="2662" spans="1:33" x14ac:dyDescent="0.35">
      <c r="A2662" s="1">
        <v>44826.62777777778</v>
      </c>
      <c r="B2662">
        <v>6546218</v>
      </c>
      <c r="C2662" t="s">
        <v>5555</v>
      </c>
      <c r="D2662" t="s">
        <v>213</v>
      </c>
      <c r="E2662" s="2">
        <v>44300</v>
      </c>
      <c r="F2662" t="str">
        <f>"9780128172377"</f>
        <v>9780128172377</v>
      </c>
      <c r="G2662" t="str">
        <f>"9780128172360"</f>
        <v>9780128172360</v>
      </c>
      <c r="H2662" t="s">
        <v>297</v>
      </c>
      <c r="I2662">
        <v>622.33820000000003</v>
      </c>
      <c r="J2662" t="s">
        <v>5556</v>
      </c>
      <c r="K2662" t="s">
        <v>55</v>
      </c>
      <c r="N2662" t="s">
        <v>293</v>
      </c>
      <c r="P2662" t="s">
        <v>80</v>
      </c>
      <c r="Q2662" t="s">
        <v>47</v>
      </c>
      <c r="R2662" t="s">
        <v>44</v>
      </c>
      <c r="S2662">
        <v>0</v>
      </c>
      <c r="W2662" s="3">
        <v>2.4421296296296296E-3</v>
      </c>
      <c r="X2662" t="s">
        <v>5557</v>
      </c>
      <c r="Y2662">
        <v>7</v>
      </c>
      <c r="Z2662">
        <v>0</v>
      </c>
      <c r="AA2662" t="s">
        <v>49</v>
      </c>
      <c r="AB2662">
        <v>0</v>
      </c>
      <c r="AC2662" t="s">
        <v>49</v>
      </c>
      <c r="AD2662">
        <v>0</v>
      </c>
      <c r="AE2662">
        <v>-1</v>
      </c>
      <c r="AF2662" t="s">
        <v>63</v>
      </c>
      <c r="AG2662" t="s">
        <v>118</v>
      </c>
    </row>
    <row r="2663" spans="1:33" x14ac:dyDescent="0.35">
      <c r="A2663" s="1">
        <v>44826.545138888891</v>
      </c>
      <c r="B2663">
        <v>7078283</v>
      </c>
      <c r="C2663" t="s">
        <v>5481</v>
      </c>
      <c r="D2663" t="s">
        <v>1166</v>
      </c>
      <c r="E2663" s="2">
        <v>44803</v>
      </c>
      <c r="F2663" t="str">
        <f>"9789811937439"</f>
        <v>9789811937439</v>
      </c>
      <c r="G2663" t="str">
        <f>"9789811937422"</f>
        <v>9789811937422</v>
      </c>
      <c r="H2663" t="s">
        <v>60</v>
      </c>
      <c r="J2663" t="s">
        <v>2160</v>
      </c>
      <c r="K2663" t="s">
        <v>55</v>
      </c>
      <c r="N2663" t="s">
        <v>79</v>
      </c>
      <c r="P2663" t="s">
        <v>97</v>
      </c>
      <c r="Q2663" t="s">
        <v>47</v>
      </c>
      <c r="R2663" t="s">
        <v>44</v>
      </c>
      <c r="S2663">
        <v>2</v>
      </c>
      <c r="T2663">
        <v>1</v>
      </c>
      <c r="U2663" s="1">
        <v>44826.545138888891</v>
      </c>
      <c r="V2663" s="1">
        <v>44827.545138888891</v>
      </c>
      <c r="W2663" s="3">
        <v>1.7476851851851852E-3</v>
      </c>
      <c r="X2663" t="s">
        <v>5558</v>
      </c>
      <c r="Y2663">
        <v>15</v>
      </c>
      <c r="Z2663">
        <v>7</v>
      </c>
      <c r="AA2663" t="s">
        <v>5559</v>
      </c>
      <c r="AB2663">
        <v>50</v>
      </c>
      <c r="AC2663" t="s">
        <v>49</v>
      </c>
      <c r="AD2663">
        <v>0</v>
      </c>
      <c r="AE2663">
        <v>-1</v>
      </c>
      <c r="AF2663" t="s">
        <v>63</v>
      </c>
      <c r="AG2663" t="s">
        <v>3037</v>
      </c>
    </row>
    <row r="2664" spans="1:33" x14ac:dyDescent="0.35">
      <c r="A2664" s="1">
        <v>44826.541666666664</v>
      </c>
      <c r="B2664">
        <v>449272</v>
      </c>
      <c r="C2664" t="s">
        <v>5543</v>
      </c>
      <c r="D2664" t="s">
        <v>2150</v>
      </c>
      <c r="E2664" s="2">
        <v>39783</v>
      </c>
      <c r="F2664" t="str">
        <f>"9781935281054"</f>
        <v>9781935281054</v>
      </c>
      <c r="G2664" t="str">
        <f>"9781933864129"</f>
        <v>9781933864129</v>
      </c>
      <c r="H2664" t="s">
        <v>77</v>
      </c>
      <c r="I2664" t="s">
        <v>5544</v>
      </c>
      <c r="J2664" t="s">
        <v>5545</v>
      </c>
      <c r="K2664" t="s">
        <v>44</v>
      </c>
      <c r="N2664" t="s">
        <v>45</v>
      </c>
      <c r="O2664" t="s">
        <v>46</v>
      </c>
      <c r="P2664" t="s">
        <v>45</v>
      </c>
      <c r="Q2664" t="s">
        <v>47</v>
      </c>
      <c r="R2664" t="s">
        <v>44</v>
      </c>
      <c r="S2664">
        <v>0</v>
      </c>
      <c r="W2664" s="3">
        <v>4.0046296296296297E-3</v>
      </c>
      <c r="X2664" t="s">
        <v>5560</v>
      </c>
      <c r="Y2664">
        <v>13</v>
      </c>
      <c r="Z2664">
        <v>0</v>
      </c>
      <c r="AA2664" t="s">
        <v>49</v>
      </c>
      <c r="AB2664">
        <v>0</v>
      </c>
      <c r="AC2664" t="s">
        <v>5561</v>
      </c>
      <c r="AD2664">
        <v>2</v>
      </c>
      <c r="AE2664">
        <v>10309147</v>
      </c>
      <c r="AF2664" t="s">
        <v>50</v>
      </c>
      <c r="AG2664" t="s">
        <v>5126</v>
      </c>
    </row>
    <row r="2665" spans="1:33" x14ac:dyDescent="0.35">
      <c r="A2665" s="1">
        <v>44826.53125</v>
      </c>
      <c r="B2665">
        <v>957290</v>
      </c>
      <c r="C2665" t="s">
        <v>4280</v>
      </c>
      <c r="D2665" t="s">
        <v>76</v>
      </c>
      <c r="E2665" s="2">
        <v>40941</v>
      </c>
      <c r="F2665" t="str">
        <f t="shared" ref="F2665:F2677" si="4">"9780203127711"</f>
        <v>9780203127711</v>
      </c>
      <c r="G2665" t="str">
        <f t="shared" ref="G2665:G2677" si="5">"9780415895347"</f>
        <v>9780415895347</v>
      </c>
      <c r="H2665" t="s">
        <v>1046</v>
      </c>
      <c r="I2665">
        <v>302.23099999999999</v>
      </c>
      <c r="J2665" t="s">
        <v>4281</v>
      </c>
      <c r="K2665" t="s">
        <v>44</v>
      </c>
      <c r="N2665" t="s">
        <v>45</v>
      </c>
      <c r="O2665" t="s">
        <v>46</v>
      </c>
      <c r="P2665" t="s">
        <v>45</v>
      </c>
      <c r="Q2665" t="s">
        <v>47</v>
      </c>
      <c r="R2665" t="s">
        <v>44</v>
      </c>
      <c r="S2665">
        <v>0</v>
      </c>
      <c r="W2665" s="3">
        <v>8.1018518518518516E-5</v>
      </c>
      <c r="X2665" t="s">
        <v>5562</v>
      </c>
      <c r="Y2665">
        <v>1</v>
      </c>
      <c r="Z2665">
        <v>1</v>
      </c>
      <c r="AA2665" t="s">
        <v>4897</v>
      </c>
      <c r="AB2665">
        <v>20</v>
      </c>
      <c r="AC2665" t="s">
        <v>49</v>
      </c>
      <c r="AD2665">
        <v>0</v>
      </c>
      <c r="AE2665">
        <v>10535074</v>
      </c>
      <c r="AF2665" t="s">
        <v>50</v>
      </c>
      <c r="AG2665" t="s">
        <v>2972</v>
      </c>
    </row>
    <row r="2666" spans="1:33" x14ac:dyDescent="0.35">
      <c r="A2666" s="1">
        <v>44826.530555555553</v>
      </c>
      <c r="B2666">
        <v>957290</v>
      </c>
      <c r="C2666" t="s">
        <v>4280</v>
      </c>
      <c r="D2666" t="s">
        <v>76</v>
      </c>
      <c r="E2666" s="2">
        <v>40941</v>
      </c>
      <c r="F2666" t="str">
        <f t="shared" si="4"/>
        <v>9780203127711</v>
      </c>
      <c r="G2666" t="str">
        <f t="shared" si="5"/>
        <v>9780415895347</v>
      </c>
      <c r="H2666" t="s">
        <v>1046</v>
      </c>
      <c r="I2666">
        <v>302.23099999999999</v>
      </c>
      <c r="J2666" t="s">
        <v>4281</v>
      </c>
      <c r="K2666" t="s">
        <v>44</v>
      </c>
      <c r="N2666" t="s">
        <v>45</v>
      </c>
      <c r="O2666" t="s">
        <v>46</v>
      </c>
      <c r="P2666" t="s">
        <v>45</v>
      </c>
      <c r="Q2666" t="s">
        <v>47</v>
      </c>
      <c r="R2666" t="s">
        <v>44</v>
      </c>
      <c r="S2666">
        <v>0</v>
      </c>
      <c r="W2666" s="3">
        <v>1.5046296296296297E-4</v>
      </c>
      <c r="X2666" t="s">
        <v>5563</v>
      </c>
      <c r="Y2666">
        <v>4</v>
      </c>
      <c r="Z2666">
        <v>0</v>
      </c>
      <c r="AA2666" t="s">
        <v>49</v>
      </c>
      <c r="AB2666">
        <v>0</v>
      </c>
      <c r="AC2666" t="s">
        <v>49</v>
      </c>
      <c r="AD2666">
        <v>0</v>
      </c>
      <c r="AE2666">
        <v>10535074</v>
      </c>
      <c r="AF2666" t="s">
        <v>50</v>
      </c>
      <c r="AG2666" t="s">
        <v>835</v>
      </c>
    </row>
    <row r="2667" spans="1:33" x14ac:dyDescent="0.35">
      <c r="A2667" s="1">
        <v>44826.529166666667</v>
      </c>
      <c r="B2667">
        <v>957290</v>
      </c>
      <c r="C2667" t="s">
        <v>4280</v>
      </c>
      <c r="D2667" t="s">
        <v>76</v>
      </c>
      <c r="E2667" s="2">
        <v>40941</v>
      </c>
      <c r="F2667" t="str">
        <f t="shared" si="4"/>
        <v>9780203127711</v>
      </c>
      <c r="G2667" t="str">
        <f t="shared" si="5"/>
        <v>9780415895347</v>
      </c>
      <c r="H2667" t="s">
        <v>1046</v>
      </c>
      <c r="I2667">
        <v>302.23099999999999</v>
      </c>
      <c r="J2667" t="s">
        <v>4281</v>
      </c>
      <c r="K2667" t="s">
        <v>44</v>
      </c>
      <c r="N2667" t="s">
        <v>45</v>
      </c>
      <c r="O2667" t="s">
        <v>46</v>
      </c>
      <c r="P2667" t="s">
        <v>45</v>
      </c>
      <c r="Q2667" t="s">
        <v>47</v>
      </c>
      <c r="R2667" t="s">
        <v>44</v>
      </c>
      <c r="S2667">
        <v>0</v>
      </c>
      <c r="W2667" s="3">
        <v>7.2569444444444443E-3</v>
      </c>
      <c r="X2667" t="s">
        <v>5564</v>
      </c>
      <c r="Y2667">
        <v>15</v>
      </c>
      <c r="Z2667">
        <v>0</v>
      </c>
      <c r="AA2667" t="s">
        <v>49</v>
      </c>
      <c r="AB2667">
        <v>0</v>
      </c>
      <c r="AC2667" t="s">
        <v>49</v>
      </c>
      <c r="AD2667">
        <v>0</v>
      </c>
      <c r="AE2667">
        <v>10535074</v>
      </c>
      <c r="AF2667" t="s">
        <v>50</v>
      </c>
      <c r="AG2667" t="s">
        <v>2128</v>
      </c>
    </row>
    <row r="2668" spans="1:33" x14ac:dyDescent="0.35">
      <c r="A2668" s="1">
        <v>44826.529166666667</v>
      </c>
      <c r="B2668">
        <v>957290</v>
      </c>
      <c r="C2668" t="s">
        <v>4280</v>
      </c>
      <c r="D2668" t="s">
        <v>76</v>
      </c>
      <c r="E2668" s="2">
        <v>40941</v>
      </c>
      <c r="F2668" t="str">
        <f t="shared" si="4"/>
        <v>9780203127711</v>
      </c>
      <c r="G2668" t="str">
        <f t="shared" si="5"/>
        <v>9780415895347</v>
      </c>
      <c r="H2668" t="s">
        <v>1046</v>
      </c>
      <c r="I2668">
        <v>302.23099999999999</v>
      </c>
      <c r="J2668" t="s">
        <v>4281</v>
      </c>
      <c r="K2668" t="s">
        <v>44</v>
      </c>
      <c r="N2668" t="s">
        <v>45</v>
      </c>
      <c r="O2668" t="s">
        <v>46</v>
      </c>
      <c r="P2668" t="s">
        <v>45</v>
      </c>
      <c r="Q2668" t="s">
        <v>47</v>
      </c>
      <c r="R2668" t="s">
        <v>44</v>
      </c>
      <c r="S2668">
        <v>0</v>
      </c>
      <c r="W2668" s="3">
        <v>1.5393518518518519E-3</v>
      </c>
      <c r="X2668" t="s">
        <v>5565</v>
      </c>
      <c r="Y2668">
        <v>13</v>
      </c>
      <c r="Z2668">
        <v>0</v>
      </c>
      <c r="AA2668" t="s">
        <v>49</v>
      </c>
      <c r="AB2668">
        <v>0</v>
      </c>
      <c r="AC2668" t="s">
        <v>49</v>
      </c>
      <c r="AD2668">
        <v>0</v>
      </c>
      <c r="AE2668">
        <v>10535074</v>
      </c>
      <c r="AF2668" t="s">
        <v>50</v>
      </c>
      <c r="AG2668" t="s">
        <v>118</v>
      </c>
    </row>
    <row r="2669" spans="1:33" x14ac:dyDescent="0.35">
      <c r="A2669" s="1">
        <v>44826.52847222222</v>
      </c>
      <c r="B2669">
        <v>957290</v>
      </c>
      <c r="C2669" t="s">
        <v>4280</v>
      </c>
      <c r="D2669" t="s">
        <v>76</v>
      </c>
      <c r="E2669" s="2">
        <v>40941</v>
      </c>
      <c r="F2669" t="str">
        <f t="shared" si="4"/>
        <v>9780203127711</v>
      </c>
      <c r="G2669" t="str">
        <f t="shared" si="5"/>
        <v>9780415895347</v>
      </c>
      <c r="H2669" t="s">
        <v>1046</v>
      </c>
      <c r="I2669">
        <v>302.23099999999999</v>
      </c>
      <c r="J2669" t="s">
        <v>4281</v>
      </c>
      <c r="K2669" t="s">
        <v>44</v>
      </c>
      <c r="N2669" t="s">
        <v>45</v>
      </c>
      <c r="O2669" t="s">
        <v>46</v>
      </c>
      <c r="P2669" t="s">
        <v>45</v>
      </c>
      <c r="Q2669" t="s">
        <v>47</v>
      </c>
      <c r="R2669" t="s">
        <v>44</v>
      </c>
      <c r="S2669">
        <v>0</v>
      </c>
      <c r="W2669" s="3">
        <v>1.5740740740740741E-3</v>
      </c>
      <c r="X2669" t="s">
        <v>5566</v>
      </c>
      <c r="Y2669">
        <v>8</v>
      </c>
      <c r="Z2669">
        <v>0</v>
      </c>
      <c r="AA2669" t="s">
        <v>49</v>
      </c>
      <c r="AB2669">
        <v>0</v>
      </c>
      <c r="AC2669" t="s">
        <v>49</v>
      </c>
      <c r="AD2669">
        <v>0</v>
      </c>
      <c r="AE2669">
        <v>10535074</v>
      </c>
      <c r="AF2669" t="s">
        <v>50</v>
      </c>
      <c r="AG2669" t="s">
        <v>118</v>
      </c>
    </row>
    <row r="2670" spans="1:33" x14ac:dyDescent="0.35">
      <c r="A2670" s="1">
        <v>44826.52847222222</v>
      </c>
      <c r="B2670">
        <v>957290</v>
      </c>
      <c r="C2670" t="s">
        <v>4280</v>
      </c>
      <c r="D2670" t="s">
        <v>76</v>
      </c>
      <c r="E2670" s="2">
        <v>40941</v>
      </c>
      <c r="F2670" t="str">
        <f t="shared" si="4"/>
        <v>9780203127711</v>
      </c>
      <c r="G2670" t="str">
        <f t="shared" si="5"/>
        <v>9780415895347</v>
      </c>
      <c r="H2670" t="s">
        <v>1046</v>
      </c>
      <c r="I2670">
        <v>302.23099999999999</v>
      </c>
      <c r="J2670" t="s">
        <v>4281</v>
      </c>
      <c r="K2670" t="s">
        <v>44</v>
      </c>
      <c r="N2670" t="s">
        <v>45</v>
      </c>
      <c r="O2670" t="s">
        <v>46</v>
      </c>
      <c r="P2670" t="s">
        <v>45</v>
      </c>
      <c r="Q2670" t="s">
        <v>47</v>
      </c>
      <c r="R2670" t="s">
        <v>44</v>
      </c>
      <c r="S2670">
        <v>0</v>
      </c>
      <c r="W2670" s="3">
        <v>6.9444444444444447E-4</v>
      </c>
      <c r="X2670" t="s">
        <v>5567</v>
      </c>
      <c r="Y2670">
        <v>9</v>
      </c>
      <c r="Z2670">
        <v>0</v>
      </c>
      <c r="AA2670" t="s">
        <v>49</v>
      </c>
      <c r="AB2670">
        <v>0</v>
      </c>
      <c r="AC2670" t="s">
        <v>49</v>
      </c>
      <c r="AD2670">
        <v>0</v>
      </c>
      <c r="AE2670">
        <v>10535074</v>
      </c>
      <c r="AF2670" t="s">
        <v>50</v>
      </c>
      <c r="AG2670" t="s">
        <v>118</v>
      </c>
    </row>
    <row r="2671" spans="1:33" x14ac:dyDescent="0.35">
      <c r="A2671" s="1">
        <v>44826.52847222222</v>
      </c>
      <c r="B2671">
        <v>957290</v>
      </c>
      <c r="C2671" t="s">
        <v>4280</v>
      </c>
      <c r="D2671" t="s">
        <v>76</v>
      </c>
      <c r="E2671" s="2">
        <v>40941</v>
      </c>
      <c r="F2671" t="str">
        <f t="shared" si="4"/>
        <v>9780203127711</v>
      </c>
      <c r="G2671" t="str">
        <f t="shared" si="5"/>
        <v>9780415895347</v>
      </c>
      <c r="H2671" t="s">
        <v>1046</v>
      </c>
      <c r="I2671">
        <v>302.23099999999999</v>
      </c>
      <c r="J2671" t="s">
        <v>4281</v>
      </c>
      <c r="K2671" t="s">
        <v>44</v>
      </c>
      <c r="N2671" t="s">
        <v>45</v>
      </c>
      <c r="O2671" t="s">
        <v>46</v>
      </c>
      <c r="P2671" t="s">
        <v>45</v>
      </c>
      <c r="Q2671" t="s">
        <v>47</v>
      </c>
      <c r="R2671" t="s">
        <v>44</v>
      </c>
      <c r="S2671">
        <v>0</v>
      </c>
      <c r="W2671" s="3">
        <v>0</v>
      </c>
      <c r="X2671" t="s">
        <v>49</v>
      </c>
      <c r="Y2671">
        <v>0</v>
      </c>
      <c r="Z2671">
        <v>1</v>
      </c>
      <c r="AA2671" t="s">
        <v>4897</v>
      </c>
      <c r="AB2671">
        <v>20</v>
      </c>
      <c r="AC2671" t="s">
        <v>49</v>
      </c>
      <c r="AD2671">
        <v>0</v>
      </c>
      <c r="AE2671">
        <v>10535074</v>
      </c>
      <c r="AF2671" t="s">
        <v>50</v>
      </c>
      <c r="AG2671" t="s">
        <v>264</v>
      </c>
    </row>
    <row r="2672" spans="1:33" x14ac:dyDescent="0.35">
      <c r="A2672" s="1">
        <v>44826.52847222222</v>
      </c>
      <c r="B2672">
        <v>957290</v>
      </c>
      <c r="C2672" t="s">
        <v>4280</v>
      </c>
      <c r="D2672" t="s">
        <v>76</v>
      </c>
      <c r="E2672" s="2">
        <v>40941</v>
      </c>
      <c r="F2672" t="str">
        <f t="shared" si="4"/>
        <v>9780203127711</v>
      </c>
      <c r="G2672" t="str">
        <f t="shared" si="5"/>
        <v>9780415895347</v>
      </c>
      <c r="H2672" t="s">
        <v>1046</v>
      </c>
      <c r="I2672">
        <v>302.23099999999999</v>
      </c>
      <c r="J2672" t="s">
        <v>4281</v>
      </c>
      <c r="K2672" t="s">
        <v>44</v>
      </c>
      <c r="N2672" t="s">
        <v>45</v>
      </c>
      <c r="O2672" t="s">
        <v>46</v>
      </c>
      <c r="P2672" t="s">
        <v>45</v>
      </c>
      <c r="Q2672" t="s">
        <v>47</v>
      </c>
      <c r="R2672" t="s">
        <v>44</v>
      </c>
      <c r="S2672">
        <v>0</v>
      </c>
      <c r="W2672" s="3">
        <v>2.0486111111111113E-3</v>
      </c>
      <c r="X2672" t="s">
        <v>5568</v>
      </c>
      <c r="Y2672">
        <v>7</v>
      </c>
      <c r="Z2672">
        <v>0</v>
      </c>
      <c r="AA2672" t="s">
        <v>49</v>
      </c>
      <c r="AB2672">
        <v>0</v>
      </c>
      <c r="AC2672" t="s">
        <v>49</v>
      </c>
      <c r="AD2672">
        <v>0</v>
      </c>
      <c r="AE2672">
        <v>10535074</v>
      </c>
      <c r="AF2672" t="s">
        <v>50</v>
      </c>
      <c r="AG2672" t="s">
        <v>118</v>
      </c>
    </row>
    <row r="2673" spans="1:33" x14ac:dyDescent="0.35">
      <c r="A2673" s="1">
        <v>44826.52847222222</v>
      </c>
      <c r="B2673">
        <v>957290</v>
      </c>
      <c r="C2673" t="s">
        <v>4280</v>
      </c>
      <c r="D2673" t="s">
        <v>76</v>
      </c>
      <c r="E2673" s="2">
        <v>40941</v>
      </c>
      <c r="F2673" t="str">
        <f t="shared" si="4"/>
        <v>9780203127711</v>
      </c>
      <c r="G2673" t="str">
        <f t="shared" si="5"/>
        <v>9780415895347</v>
      </c>
      <c r="H2673" t="s">
        <v>1046</v>
      </c>
      <c r="I2673">
        <v>302.23099999999999</v>
      </c>
      <c r="J2673" t="s">
        <v>4281</v>
      </c>
      <c r="K2673" t="s">
        <v>44</v>
      </c>
      <c r="N2673" t="s">
        <v>45</v>
      </c>
      <c r="O2673" t="s">
        <v>46</v>
      </c>
      <c r="P2673" t="s">
        <v>45</v>
      </c>
      <c r="Q2673" t="s">
        <v>47</v>
      </c>
      <c r="R2673" t="s">
        <v>44</v>
      </c>
      <c r="S2673">
        <v>0</v>
      </c>
      <c r="W2673" s="3">
        <v>1.8865740740740742E-3</v>
      </c>
      <c r="X2673" t="s">
        <v>5569</v>
      </c>
      <c r="Y2673">
        <v>9</v>
      </c>
      <c r="Z2673">
        <v>0</v>
      </c>
      <c r="AA2673" t="s">
        <v>49</v>
      </c>
      <c r="AB2673">
        <v>0</v>
      </c>
      <c r="AC2673" t="s">
        <v>49</v>
      </c>
      <c r="AD2673">
        <v>0</v>
      </c>
      <c r="AE2673">
        <v>10535074</v>
      </c>
      <c r="AF2673" t="s">
        <v>50</v>
      </c>
      <c r="AG2673" t="s">
        <v>1216</v>
      </c>
    </row>
    <row r="2674" spans="1:33" x14ac:dyDescent="0.35">
      <c r="A2674" s="1">
        <v>44826.52847222222</v>
      </c>
      <c r="B2674">
        <v>957290</v>
      </c>
      <c r="C2674" t="s">
        <v>4280</v>
      </c>
      <c r="D2674" t="s">
        <v>76</v>
      </c>
      <c r="E2674" s="2">
        <v>40941</v>
      </c>
      <c r="F2674" t="str">
        <f t="shared" si="4"/>
        <v>9780203127711</v>
      </c>
      <c r="G2674" t="str">
        <f t="shared" si="5"/>
        <v>9780415895347</v>
      </c>
      <c r="H2674" t="s">
        <v>1046</v>
      </c>
      <c r="I2674">
        <v>302.23099999999999</v>
      </c>
      <c r="J2674" t="s">
        <v>4281</v>
      </c>
      <c r="K2674" t="s">
        <v>44</v>
      </c>
      <c r="N2674" t="s">
        <v>45</v>
      </c>
      <c r="O2674" t="s">
        <v>46</v>
      </c>
      <c r="P2674" t="s">
        <v>45</v>
      </c>
      <c r="Q2674" t="s">
        <v>47</v>
      </c>
      <c r="R2674" t="s">
        <v>44</v>
      </c>
      <c r="S2674">
        <v>0</v>
      </c>
      <c r="W2674" s="3">
        <v>2.4305555555555552E-4</v>
      </c>
      <c r="X2674" t="s">
        <v>4940</v>
      </c>
      <c r="Y2674">
        <v>5</v>
      </c>
      <c r="Z2674">
        <v>0</v>
      </c>
      <c r="AA2674" t="s">
        <v>49</v>
      </c>
      <c r="AB2674">
        <v>0</v>
      </c>
      <c r="AC2674" t="s">
        <v>49</v>
      </c>
      <c r="AD2674">
        <v>0</v>
      </c>
      <c r="AE2674">
        <v>10535074</v>
      </c>
      <c r="AF2674" t="s">
        <v>50</v>
      </c>
      <c r="AG2674" t="s">
        <v>1355</v>
      </c>
    </row>
    <row r="2675" spans="1:33" x14ac:dyDescent="0.35">
      <c r="A2675" s="1">
        <v>44826.52847222222</v>
      </c>
      <c r="B2675">
        <v>957290</v>
      </c>
      <c r="C2675" t="s">
        <v>4280</v>
      </c>
      <c r="D2675" t="s">
        <v>76</v>
      </c>
      <c r="E2675" s="2">
        <v>40941</v>
      </c>
      <c r="F2675" t="str">
        <f t="shared" si="4"/>
        <v>9780203127711</v>
      </c>
      <c r="G2675" t="str">
        <f t="shared" si="5"/>
        <v>9780415895347</v>
      </c>
      <c r="H2675" t="s">
        <v>1046</v>
      </c>
      <c r="I2675">
        <v>302.23099999999999</v>
      </c>
      <c r="J2675" t="s">
        <v>4281</v>
      </c>
      <c r="K2675" t="s">
        <v>44</v>
      </c>
      <c r="N2675" t="s">
        <v>45</v>
      </c>
      <c r="O2675" t="s">
        <v>46</v>
      </c>
      <c r="P2675" t="s">
        <v>45</v>
      </c>
      <c r="Q2675" t="s">
        <v>47</v>
      </c>
      <c r="R2675" t="s">
        <v>44</v>
      </c>
      <c r="S2675">
        <v>0</v>
      </c>
      <c r="W2675" s="3">
        <v>1.261574074074074E-3</v>
      </c>
      <c r="X2675" t="s">
        <v>5570</v>
      </c>
      <c r="Y2675">
        <v>10</v>
      </c>
      <c r="Z2675">
        <v>0</v>
      </c>
      <c r="AA2675" t="s">
        <v>49</v>
      </c>
      <c r="AB2675">
        <v>0</v>
      </c>
      <c r="AC2675" t="s">
        <v>49</v>
      </c>
      <c r="AD2675">
        <v>0</v>
      </c>
      <c r="AE2675">
        <v>10535074</v>
      </c>
      <c r="AF2675" t="s">
        <v>50</v>
      </c>
      <c r="AG2675" t="s">
        <v>118</v>
      </c>
    </row>
    <row r="2676" spans="1:33" x14ac:dyDescent="0.35">
      <c r="A2676" s="1">
        <v>44826.527083333334</v>
      </c>
      <c r="B2676">
        <v>957290</v>
      </c>
      <c r="C2676" t="s">
        <v>4280</v>
      </c>
      <c r="D2676" t="s">
        <v>76</v>
      </c>
      <c r="E2676" s="2">
        <v>40941</v>
      </c>
      <c r="F2676" t="str">
        <f t="shared" si="4"/>
        <v>9780203127711</v>
      </c>
      <c r="G2676" t="str">
        <f t="shared" si="5"/>
        <v>9780415895347</v>
      </c>
      <c r="H2676" t="s">
        <v>1046</v>
      </c>
      <c r="I2676">
        <v>302.23099999999999</v>
      </c>
      <c r="J2676" t="s">
        <v>4281</v>
      </c>
      <c r="K2676" t="s">
        <v>44</v>
      </c>
      <c r="N2676" t="s">
        <v>45</v>
      </c>
      <c r="O2676" t="s">
        <v>46</v>
      </c>
      <c r="P2676" t="s">
        <v>45</v>
      </c>
      <c r="Q2676" t="s">
        <v>47</v>
      </c>
      <c r="R2676" t="s">
        <v>44</v>
      </c>
      <c r="S2676">
        <v>0</v>
      </c>
      <c r="W2676" s="3">
        <v>6.5046296296296302E-3</v>
      </c>
      <c r="X2676" t="s">
        <v>5571</v>
      </c>
      <c r="Y2676">
        <v>21</v>
      </c>
      <c r="Z2676">
        <v>0</v>
      </c>
      <c r="AA2676" t="s">
        <v>49</v>
      </c>
      <c r="AB2676">
        <v>0</v>
      </c>
      <c r="AC2676" t="s">
        <v>49</v>
      </c>
      <c r="AD2676">
        <v>0</v>
      </c>
      <c r="AE2676">
        <v>10535074</v>
      </c>
      <c r="AF2676" t="s">
        <v>50</v>
      </c>
      <c r="AG2676" t="s">
        <v>118</v>
      </c>
    </row>
    <row r="2677" spans="1:33" x14ac:dyDescent="0.35">
      <c r="A2677" s="1">
        <v>44826.526388888888</v>
      </c>
      <c r="B2677">
        <v>957290</v>
      </c>
      <c r="C2677" t="s">
        <v>4280</v>
      </c>
      <c r="D2677" t="s">
        <v>76</v>
      </c>
      <c r="E2677" s="2">
        <v>40941</v>
      </c>
      <c r="F2677" t="str">
        <f t="shared" si="4"/>
        <v>9780203127711</v>
      </c>
      <c r="G2677" t="str">
        <f t="shared" si="5"/>
        <v>9780415895347</v>
      </c>
      <c r="H2677" t="s">
        <v>1046</v>
      </c>
      <c r="I2677">
        <v>302.23099999999999</v>
      </c>
      <c r="J2677" t="s">
        <v>4281</v>
      </c>
      <c r="K2677" t="s">
        <v>44</v>
      </c>
      <c r="N2677" t="s">
        <v>45</v>
      </c>
      <c r="O2677" t="s">
        <v>46</v>
      </c>
      <c r="P2677" t="s">
        <v>45</v>
      </c>
      <c r="Q2677" t="s">
        <v>47</v>
      </c>
      <c r="R2677" t="s">
        <v>44</v>
      </c>
      <c r="S2677">
        <v>0</v>
      </c>
      <c r="W2677" s="3">
        <v>2.8240740740740739E-3</v>
      </c>
      <c r="X2677" t="s">
        <v>5572</v>
      </c>
      <c r="Y2677">
        <v>7</v>
      </c>
      <c r="Z2677">
        <v>0</v>
      </c>
      <c r="AA2677" t="s">
        <v>49</v>
      </c>
      <c r="AB2677">
        <v>0</v>
      </c>
      <c r="AC2677" t="s">
        <v>49</v>
      </c>
      <c r="AD2677">
        <v>0</v>
      </c>
      <c r="AE2677">
        <v>10535074</v>
      </c>
      <c r="AF2677" t="s">
        <v>50</v>
      </c>
      <c r="AG2677" t="s">
        <v>630</v>
      </c>
    </row>
    <row r="2678" spans="1:33" x14ac:dyDescent="0.35">
      <c r="A2678" s="1">
        <v>44826.484027777777</v>
      </c>
      <c r="B2678">
        <v>454386</v>
      </c>
      <c r="C2678" t="s">
        <v>2339</v>
      </c>
      <c r="D2678" t="s">
        <v>59</v>
      </c>
      <c r="E2678" s="2">
        <v>40014</v>
      </c>
      <c r="F2678" t="str">
        <f>"9781444316377"</f>
        <v>9781444316377</v>
      </c>
      <c r="G2678" t="str">
        <f>"9781405194181"</f>
        <v>9781405194181</v>
      </c>
      <c r="H2678" t="s">
        <v>1945</v>
      </c>
      <c r="I2678">
        <v>624.20000000000005</v>
      </c>
      <c r="J2678" t="s">
        <v>2340</v>
      </c>
      <c r="K2678" t="s">
        <v>44</v>
      </c>
      <c r="N2678" t="s">
        <v>45</v>
      </c>
      <c r="O2678" t="s">
        <v>46</v>
      </c>
      <c r="P2678" t="s">
        <v>45</v>
      </c>
      <c r="Q2678" t="s">
        <v>47</v>
      </c>
      <c r="R2678" t="s">
        <v>44</v>
      </c>
      <c r="S2678">
        <v>0</v>
      </c>
      <c r="W2678" s="3">
        <v>1.8865740740740742E-3</v>
      </c>
      <c r="X2678" t="s">
        <v>5573</v>
      </c>
      <c r="Y2678">
        <v>4</v>
      </c>
      <c r="Z2678">
        <v>0</v>
      </c>
      <c r="AA2678" t="s">
        <v>49</v>
      </c>
      <c r="AB2678">
        <v>0</v>
      </c>
      <c r="AC2678" t="s">
        <v>49</v>
      </c>
      <c r="AD2678">
        <v>0</v>
      </c>
      <c r="AE2678">
        <v>10315619</v>
      </c>
      <c r="AF2678" t="s">
        <v>63</v>
      </c>
      <c r="AG2678" t="s">
        <v>82</v>
      </c>
    </row>
    <row r="2679" spans="1:33" x14ac:dyDescent="0.35">
      <c r="A2679" s="1">
        <v>44826.409722222219</v>
      </c>
      <c r="B2679">
        <v>6845697</v>
      </c>
      <c r="C2679" t="s">
        <v>2365</v>
      </c>
      <c r="D2679" t="s">
        <v>213</v>
      </c>
      <c r="E2679" s="2">
        <v>44585</v>
      </c>
      <c r="F2679" t="str">
        <f>"9780323903233"</f>
        <v>9780323903233</v>
      </c>
      <c r="G2679" t="str">
        <f>"9780323909648"</f>
        <v>9780323909648</v>
      </c>
      <c r="H2679" t="s">
        <v>546</v>
      </c>
      <c r="I2679">
        <v>621.31359999999995</v>
      </c>
      <c r="J2679" t="s">
        <v>2366</v>
      </c>
      <c r="K2679" t="s">
        <v>55</v>
      </c>
      <c r="N2679" t="s">
        <v>293</v>
      </c>
      <c r="P2679" t="s">
        <v>80</v>
      </c>
      <c r="Q2679" t="s">
        <v>47</v>
      </c>
      <c r="R2679" t="s">
        <v>44</v>
      </c>
      <c r="S2679">
        <v>1</v>
      </c>
      <c r="T2679">
        <v>90</v>
      </c>
      <c r="U2679" s="1">
        <v>44826.409722222219</v>
      </c>
      <c r="V2679" s="1">
        <v>44916.409722222219</v>
      </c>
      <c r="W2679" s="3">
        <v>0</v>
      </c>
      <c r="X2679" t="s">
        <v>49</v>
      </c>
      <c r="Y2679">
        <v>0</v>
      </c>
      <c r="Z2679">
        <v>1</v>
      </c>
      <c r="AA2679" t="s">
        <v>5574</v>
      </c>
      <c r="AB2679">
        <v>34</v>
      </c>
      <c r="AC2679" t="s">
        <v>49</v>
      </c>
      <c r="AD2679">
        <v>0</v>
      </c>
      <c r="AE2679">
        <v>-1</v>
      </c>
      <c r="AF2679" t="s">
        <v>63</v>
      </c>
      <c r="AG2679" t="s">
        <v>118</v>
      </c>
    </row>
    <row r="2680" spans="1:33" x14ac:dyDescent="0.35">
      <c r="A2680" s="1">
        <v>44826.407638888886</v>
      </c>
      <c r="B2680">
        <v>6546218</v>
      </c>
      <c r="C2680" t="s">
        <v>5555</v>
      </c>
      <c r="D2680" t="s">
        <v>213</v>
      </c>
      <c r="E2680" s="2">
        <v>44300</v>
      </c>
      <c r="F2680" t="str">
        <f>"9780128172377"</f>
        <v>9780128172377</v>
      </c>
      <c r="G2680" t="str">
        <f>"9780128172360"</f>
        <v>9780128172360</v>
      </c>
      <c r="H2680" t="s">
        <v>297</v>
      </c>
      <c r="I2680">
        <v>622.33820000000003</v>
      </c>
      <c r="J2680" t="s">
        <v>5556</v>
      </c>
      <c r="K2680" t="s">
        <v>55</v>
      </c>
      <c r="N2680" t="s">
        <v>293</v>
      </c>
      <c r="P2680" t="s">
        <v>80</v>
      </c>
      <c r="Q2680" t="s">
        <v>47</v>
      </c>
      <c r="R2680" t="s">
        <v>44</v>
      </c>
      <c r="S2680">
        <v>0</v>
      </c>
      <c r="W2680" s="3">
        <v>2.0833333333333335E-4</v>
      </c>
      <c r="X2680" t="s">
        <v>5575</v>
      </c>
      <c r="Y2680">
        <v>3</v>
      </c>
      <c r="Z2680">
        <v>0</v>
      </c>
      <c r="AA2680" t="s">
        <v>49</v>
      </c>
      <c r="AB2680">
        <v>0</v>
      </c>
      <c r="AC2680" t="s">
        <v>49</v>
      </c>
      <c r="AD2680">
        <v>0</v>
      </c>
      <c r="AE2680">
        <v>-1</v>
      </c>
      <c r="AF2680" t="s">
        <v>63</v>
      </c>
      <c r="AG2680" t="s">
        <v>118</v>
      </c>
    </row>
    <row r="2681" spans="1:33" x14ac:dyDescent="0.35">
      <c r="A2681" s="1">
        <v>44826.37222222222</v>
      </c>
      <c r="B2681">
        <v>6546218</v>
      </c>
      <c r="C2681" t="s">
        <v>5555</v>
      </c>
      <c r="D2681" t="s">
        <v>213</v>
      </c>
      <c r="E2681" s="2">
        <v>44300</v>
      </c>
      <c r="F2681" t="str">
        <f>"9780128172377"</f>
        <v>9780128172377</v>
      </c>
      <c r="G2681" t="str">
        <f>"9780128172360"</f>
        <v>9780128172360</v>
      </c>
      <c r="H2681" t="s">
        <v>297</v>
      </c>
      <c r="I2681">
        <v>622.33820000000003</v>
      </c>
      <c r="J2681" t="s">
        <v>5556</v>
      </c>
      <c r="K2681" t="s">
        <v>55</v>
      </c>
      <c r="Q2681" t="s">
        <v>47</v>
      </c>
      <c r="R2681" t="s">
        <v>44</v>
      </c>
      <c r="S2681">
        <v>0</v>
      </c>
      <c r="W2681" s="3">
        <v>7.9629629629629634E-3</v>
      </c>
      <c r="X2681" t="s">
        <v>5576</v>
      </c>
      <c r="Y2681">
        <v>7</v>
      </c>
      <c r="Z2681">
        <v>0</v>
      </c>
      <c r="AA2681" t="s">
        <v>49</v>
      </c>
      <c r="AB2681">
        <v>0</v>
      </c>
      <c r="AC2681" t="s">
        <v>49</v>
      </c>
      <c r="AD2681">
        <v>0</v>
      </c>
      <c r="AE2681">
        <v>-1</v>
      </c>
      <c r="AF2681" t="s">
        <v>63</v>
      </c>
      <c r="AG2681" t="s">
        <v>118</v>
      </c>
    </row>
    <row r="2682" spans="1:33" x14ac:dyDescent="0.35">
      <c r="A2682" s="1">
        <v>44826.351388888892</v>
      </c>
      <c r="B2682">
        <v>957290</v>
      </c>
      <c r="C2682" t="s">
        <v>4280</v>
      </c>
      <c r="D2682" t="s">
        <v>76</v>
      </c>
      <c r="E2682" s="2">
        <v>40941</v>
      </c>
      <c r="F2682" t="str">
        <f>"9780203127711"</f>
        <v>9780203127711</v>
      </c>
      <c r="G2682" t="str">
        <f>"9780415895347"</f>
        <v>9780415895347</v>
      </c>
      <c r="H2682" t="s">
        <v>1046</v>
      </c>
      <c r="I2682">
        <v>302.23099999999999</v>
      </c>
      <c r="J2682" t="s">
        <v>4281</v>
      </c>
      <c r="K2682" t="s">
        <v>44</v>
      </c>
      <c r="N2682" t="s">
        <v>45</v>
      </c>
      <c r="O2682" t="s">
        <v>46</v>
      </c>
      <c r="P2682" t="s">
        <v>45</v>
      </c>
      <c r="Q2682" t="s">
        <v>47</v>
      </c>
      <c r="R2682" t="s">
        <v>44</v>
      </c>
      <c r="S2682">
        <v>0</v>
      </c>
      <c r="W2682" s="3">
        <v>1.7013888888888892E-3</v>
      </c>
      <c r="X2682" t="s">
        <v>5577</v>
      </c>
      <c r="Y2682">
        <v>9</v>
      </c>
      <c r="Z2682">
        <v>1</v>
      </c>
      <c r="AA2682" t="s">
        <v>4897</v>
      </c>
      <c r="AB2682">
        <v>20</v>
      </c>
      <c r="AC2682" t="s">
        <v>49</v>
      </c>
      <c r="AD2682">
        <v>0</v>
      </c>
      <c r="AE2682">
        <v>10535074</v>
      </c>
      <c r="AF2682" t="s">
        <v>63</v>
      </c>
      <c r="AG2682" t="s">
        <v>2972</v>
      </c>
    </row>
    <row r="2683" spans="1:33" x14ac:dyDescent="0.35">
      <c r="A2683" s="1">
        <v>44825.923611111109</v>
      </c>
      <c r="B2683">
        <v>454386</v>
      </c>
      <c r="C2683" t="s">
        <v>2339</v>
      </c>
      <c r="D2683" t="s">
        <v>59</v>
      </c>
      <c r="E2683" s="2">
        <v>40014</v>
      </c>
      <c r="F2683" t="str">
        <f>"9781444316377"</f>
        <v>9781444316377</v>
      </c>
      <c r="G2683" t="str">
        <f>"9781405194181"</f>
        <v>9781405194181</v>
      </c>
      <c r="H2683" t="s">
        <v>1945</v>
      </c>
      <c r="I2683">
        <v>624.20000000000005</v>
      </c>
      <c r="J2683" t="s">
        <v>2340</v>
      </c>
      <c r="K2683" t="s">
        <v>44</v>
      </c>
      <c r="N2683" t="s">
        <v>45</v>
      </c>
      <c r="O2683" t="s">
        <v>46</v>
      </c>
      <c r="P2683" t="s">
        <v>45</v>
      </c>
      <c r="Q2683" t="s">
        <v>47</v>
      </c>
      <c r="R2683" t="s">
        <v>44</v>
      </c>
      <c r="S2683">
        <v>0</v>
      </c>
      <c r="W2683" s="3">
        <v>3.9930555555555561E-3</v>
      </c>
      <c r="X2683" t="s">
        <v>5578</v>
      </c>
      <c r="Y2683">
        <v>26</v>
      </c>
      <c r="Z2683">
        <v>0</v>
      </c>
      <c r="AA2683" t="s">
        <v>49</v>
      </c>
      <c r="AB2683">
        <v>0</v>
      </c>
      <c r="AC2683" t="s">
        <v>5579</v>
      </c>
      <c r="AD2683">
        <v>2</v>
      </c>
      <c r="AE2683">
        <v>10315619</v>
      </c>
      <c r="AF2683" t="s">
        <v>63</v>
      </c>
      <c r="AG2683" t="s">
        <v>5126</v>
      </c>
    </row>
    <row r="2684" spans="1:33" x14ac:dyDescent="0.35">
      <c r="A2684" s="1">
        <v>44825.909722222219</v>
      </c>
      <c r="B2684">
        <v>312872</v>
      </c>
      <c r="C2684" t="s">
        <v>5580</v>
      </c>
      <c r="D2684" t="s">
        <v>65</v>
      </c>
      <c r="E2684" s="2">
        <v>38336</v>
      </c>
      <c r="F2684" t="str">
        <f>"9780080516011"</f>
        <v>9780080516011</v>
      </c>
      <c r="G2684" t="str">
        <f>"9781856174503"</f>
        <v>9781856174503</v>
      </c>
      <c r="H2684" t="s">
        <v>116</v>
      </c>
      <c r="I2684">
        <v>668.49400000000003</v>
      </c>
      <c r="J2684" t="s">
        <v>5581</v>
      </c>
      <c r="K2684" t="s">
        <v>55</v>
      </c>
      <c r="N2684" t="s">
        <v>79</v>
      </c>
      <c r="P2684" t="s">
        <v>80</v>
      </c>
      <c r="Q2684" t="s">
        <v>47</v>
      </c>
      <c r="R2684" t="s">
        <v>44</v>
      </c>
      <c r="S2684">
        <v>0</v>
      </c>
      <c r="W2684" s="3">
        <v>1.6435185185185188E-2</v>
      </c>
      <c r="X2684" t="s">
        <v>5582</v>
      </c>
      <c r="Y2684">
        <v>28</v>
      </c>
      <c r="Z2684">
        <v>0</v>
      </c>
      <c r="AA2684" t="s">
        <v>49</v>
      </c>
      <c r="AB2684">
        <v>0</v>
      </c>
      <c r="AC2684" t="s">
        <v>49</v>
      </c>
      <c r="AD2684">
        <v>0</v>
      </c>
      <c r="AE2684">
        <v>10190241</v>
      </c>
      <c r="AF2684" t="s">
        <v>50</v>
      </c>
      <c r="AG2684" t="s">
        <v>118</v>
      </c>
    </row>
    <row r="2685" spans="1:33" x14ac:dyDescent="0.35">
      <c r="A2685" s="1">
        <v>44825.898611111108</v>
      </c>
      <c r="B2685">
        <v>169699</v>
      </c>
      <c r="C2685" t="s">
        <v>5583</v>
      </c>
      <c r="D2685" t="s">
        <v>76</v>
      </c>
      <c r="E2685" s="2">
        <v>36389</v>
      </c>
      <c r="F2685" t="str">
        <f>"9780203202678"</f>
        <v>9780203202678</v>
      </c>
      <c r="G2685" t="str">
        <f>"9780415194860"</f>
        <v>9780415194860</v>
      </c>
      <c r="H2685" t="s">
        <v>162</v>
      </c>
      <c r="I2685">
        <v>296.18</v>
      </c>
      <c r="J2685" t="s">
        <v>5584</v>
      </c>
      <c r="K2685" t="s">
        <v>44</v>
      </c>
      <c r="N2685" t="s">
        <v>45</v>
      </c>
      <c r="O2685" t="s">
        <v>46</v>
      </c>
      <c r="P2685" t="s">
        <v>45</v>
      </c>
      <c r="Q2685" t="s">
        <v>47</v>
      </c>
      <c r="R2685" t="s">
        <v>44</v>
      </c>
      <c r="S2685">
        <v>0</v>
      </c>
      <c r="W2685" s="3">
        <v>1.1574074074074073E-3</v>
      </c>
      <c r="X2685" t="s">
        <v>5585</v>
      </c>
      <c r="Y2685">
        <v>9</v>
      </c>
      <c r="Z2685">
        <v>0</v>
      </c>
      <c r="AA2685" t="s">
        <v>49</v>
      </c>
      <c r="AB2685">
        <v>0</v>
      </c>
      <c r="AC2685" t="s">
        <v>49</v>
      </c>
      <c r="AD2685">
        <v>0</v>
      </c>
      <c r="AE2685">
        <v>10054726</v>
      </c>
      <c r="AF2685" t="s">
        <v>63</v>
      </c>
      <c r="AG2685" t="s">
        <v>118</v>
      </c>
    </row>
    <row r="2686" spans="1:33" x14ac:dyDescent="0.35">
      <c r="A2686" s="1">
        <v>44825.805555555555</v>
      </c>
      <c r="B2686">
        <v>957290</v>
      </c>
      <c r="C2686" t="s">
        <v>4280</v>
      </c>
      <c r="D2686" t="s">
        <v>76</v>
      </c>
      <c r="E2686" s="2">
        <v>40941</v>
      </c>
      <c r="F2686" t="str">
        <f>"9780203127711"</f>
        <v>9780203127711</v>
      </c>
      <c r="G2686" t="str">
        <f>"9780415895347"</f>
        <v>9780415895347</v>
      </c>
      <c r="H2686" t="s">
        <v>1046</v>
      </c>
      <c r="I2686">
        <v>302.23099999999999</v>
      </c>
      <c r="J2686" t="s">
        <v>4281</v>
      </c>
      <c r="K2686" t="s">
        <v>44</v>
      </c>
      <c r="N2686" t="s">
        <v>45</v>
      </c>
      <c r="O2686" t="s">
        <v>46</v>
      </c>
      <c r="P2686" t="s">
        <v>45</v>
      </c>
      <c r="Q2686" t="s">
        <v>47</v>
      </c>
      <c r="R2686" t="s">
        <v>44</v>
      </c>
      <c r="S2686">
        <v>0</v>
      </c>
      <c r="W2686" s="3">
        <v>1.5046296296296295E-2</v>
      </c>
      <c r="X2686" t="s">
        <v>4282</v>
      </c>
      <c r="Y2686">
        <v>9</v>
      </c>
      <c r="Z2686">
        <v>0</v>
      </c>
      <c r="AA2686" t="s">
        <v>49</v>
      </c>
      <c r="AB2686">
        <v>0</v>
      </c>
      <c r="AC2686" t="s">
        <v>49</v>
      </c>
      <c r="AD2686">
        <v>0</v>
      </c>
      <c r="AE2686">
        <v>10535074</v>
      </c>
      <c r="AF2686" t="s">
        <v>50</v>
      </c>
      <c r="AG2686" t="s">
        <v>1355</v>
      </c>
    </row>
    <row r="2687" spans="1:33" x14ac:dyDescent="0.35">
      <c r="A2687" s="1">
        <v>44825.76666666667</v>
      </c>
      <c r="B2687">
        <v>3407606</v>
      </c>
      <c r="C2687" t="s">
        <v>5586</v>
      </c>
      <c r="D2687" t="s">
        <v>645</v>
      </c>
      <c r="E2687" s="2">
        <v>38538</v>
      </c>
      <c r="F2687" t="str">
        <f>"9780791483374"</f>
        <v>9780791483374</v>
      </c>
      <c r="G2687" t="str">
        <f>"9780791464359"</f>
        <v>9780791464359</v>
      </c>
      <c r="H2687" t="s">
        <v>1540</v>
      </c>
      <c r="I2687" t="s">
        <v>5587</v>
      </c>
      <c r="J2687" t="s">
        <v>5588</v>
      </c>
      <c r="K2687" t="s">
        <v>44</v>
      </c>
      <c r="N2687" t="s">
        <v>45</v>
      </c>
      <c r="O2687" t="s">
        <v>46</v>
      </c>
      <c r="P2687" t="s">
        <v>45</v>
      </c>
      <c r="Q2687" t="s">
        <v>47</v>
      </c>
      <c r="R2687" t="s">
        <v>44</v>
      </c>
      <c r="S2687">
        <v>0</v>
      </c>
      <c r="W2687" s="3">
        <v>1.0648148148148147E-3</v>
      </c>
      <c r="X2687" t="s">
        <v>5589</v>
      </c>
      <c r="Y2687">
        <v>14</v>
      </c>
      <c r="Z2687">
        <v>0</v>
      </c>
      <c r="AA2687" t="s">
        <v>49</v>
      </c>
      <c r="AB2687">
        <v>0</v>
      </c>
      <c r="AC2687" t="s">
        <v>49</v>
      </c>
      <c r="AD2687">
        <v>0</v>
      </c>
      <c r="AE2687">
        <v>10579029</v>
      </c>
      <c r="AF2687" t="s">
        <v>63</v>
      </c>
      <c r="AG2687" t="s">
        <v>118</v>
      </c>
    </row>
    <row r="2688" spans="1:33" x14ac:dyDescent="0.35">
      <c r="A2688" s="1">
        <v>44825.751388888886</v>
      </c>
      <c r="B2688">
        <v>5672678</v>
      </c>
      <c r="C2688" t="s">
        <v>5590</v>
      </c>
      <c r="D2688" t="s">
        <v>5591</v>
      </c>
      <c r="E2688" s="2">
        <v>43529</v>
      </c>
      <c r="F2688" t="str">
        <f>"9781722523084"</f>
        <v>9781722523084</v>
      </c>
      <c r="G2688" t="str">
        <f>""</f>
        <v/>
      </c>
      <c r="H2688" t="s">
        <v>900</v>
      </c>
      <c r="I2688">
        <v>332.024</v>
      </c>
      <c r="J2688" t="s">
        <v>5592</v>
      </c>
      <c r="K2688" t="s">
        <v>55</v>
      </c>
      <c r="N2688" t="s">
        <v>293</v>
      </c>
      <c r="P2688" t="s">
        <v>80</v>
      </c>
      <c r="Q2688" t="s">
        <v>47</v>
      </c>
      <c r="R2688" t="s">
        <v>44</v>
      </c>
      <c r="S2688">
        <v>0</v>
      </c>
      <c r="W2688" s="3">
        <v>2.3148148148148147E-5</v>
      </c>
      <c r="X2688" t="s">
        <v>121</v>
      </c>
      <c r="Y2688">
        <v>1</v>
      </c>
      <c r="Z2688">
        <v>0</v>
      </c>
      <c r="AA2688" t="s">
        <v>49</v>
      </c>
      <c r="AB2688">
        <v>0</v>
      </c>
      <c r="AC2688" t="s">
        <v>49</v>
      </c>
      <c r="AD2688">
        <v>0</v>
      </c>
      <c r="AE2688">
        <v>-1</v>
      </c>
      <c r="AF2688" t="s">
        <v>63</v>
      </c>
      <c r="AG2688" t="s">
        <v>118</v>
      </c>
    </row>
    <row r="2689" spans="1:33" x14ac:dyDescent="0.35">
      <c r="A2689" s="1">
        <v>44825.689583333333</v>
      </c>
      <c r="B2689">
        <v>510127</v>
      </c>
      <c r="C2689" t="s">
        <v>558</v>
      </c>
      <c r="D2689" t="s">
        <v>59</v>
      </c>
      <c r="E2689" s="2">
        <v>40224</v>
      </c>
      <c r="F2689" t="str">
        <f>"9780470551561"</f>
        <v>9780470551561</v>
      </c>
      <c r="G2689" t="str">
        <f>"9780470521564"</f>
        <v>9780470521564</v>
      </c>
      <c r="H2689" t="s">
        <v>542</v>
      </c>
      <c r="I2689" t="s">
        <v>559</v>
      </c>
      <c r="J2689" t="s">
        <v>560</v>
      </c>
      <c r="K2689" t="s">
        <v>44</v>
      </c>
      <c r="N2689" t="s">
        <v>45</v>
      </c>
      <c r="O2689" t="s">
        <v>46</v>
      </c>
      <c r="P2689" t="s">
        <v>45</v>
      </c>
      <c r="Q2689" t="s">
        <v>47</v>
      </c>
      <c r="R2689" t="s">
        <v>44</v>
      </c>
      <c r="S2689">
        <v>1</v>
      </c>
      <c r="W2689" s="3">
        <v>3.9236111111111112E-3</v>
      </c>
      <c r="X2689" t="s">
        <v>5593</v>
      </c>
      <c r="Y2689">
        <v>35</v>
      </c>
      <c r="Z2689">
        <v>1</v>
      </c>
      <c r="AA2689" t="s">
        <v>5594</v>
      </c>
      <c r="AB2689">
        <v>17</v>
      </c>
      <c r="AC2689" t="s">
        <v>49</v>
      </c>
      <c r="AD2689">
        <v>0</v>
      </c>
      <c r="AE2689">
        <v>10381083</v>
      </c>
      <c r="AF2689" t="s">
        <v>63</v>
      </c>
      <c r="AG2689" t="s">
        <v>5049</v>
      </c>
    </row>
    <row r="2690" spans="1:33" x14ac:dyDescent="0.35">
      <c r="A2690" s="1">
        <v>44825.602777777778</v>
      </c>
      <c r="B2690">
        <v>6213230</v>
      </c>
      <c r="C2690" t="s">
        <v>5053</v>
      </c>
      <c r="D2690" t="s">
        <v>65</v>
      </c>
      <c r="E2690" s="2">
        <v>43982</v>
      </c>
      <c r="F2690" t="str">
        <f>"9780128226087"</f>
        <v>9780128226087</v>
      </c>
      <c r="G2690" t="str">
        <f>"9780128197646"</f>
        <v>9780128197646</v>
      </c>
      <c r="H2690" t="s">
        <v>454</v>
      </c>
      <c r="I2690">
        <v>6.31</v>
      </c>
      <c r="J2690" t="s">
        <v>5054</v>
      </c>
      <c r="K2690" t="s">
        <v>55</v>
      </c>
      <c r="Q2690" t="s">
        <v>47</v>
      </c>
      <c r="R2690" t="s">
        <v>44</v>
      </c>
      <c r="S2690">
        <v>0</v>
      </c>
      <c r="W2690" s="3">
        <v>9.2592592592592588E-5</v>
      </c>
      <c r="X2690" t="s">
        <v>5595</v>
      </c>
      <c r="Y2690">
        <v>1</v>
      </c>
      <c r="Z2690">
        <v>0</v>
      </c>
      <c r="AA2690" t="s">
        <v>49</v>
      </c>
      <c r="AB2690">
        <v>0</v>
      </c>
      <c r="AC2690" t="s">
        <v>49</v>
      </c>
      <c r="AD2690">
        <v>0</v>
      </c>
      <c r="AE2690">
        <v>-1</v>
      </c>
      <c r="AF2690" t="s">
        <v>50</v>
      </c>
      <c r="AG2690" t="s">
        <v>5126</v>
      </c>
    </row>
    <row r="2691" spans="1:33" x14ac:dyDescent="0.35">
      <c r="A2691" s="1">
        <v>44825.600694444445</v>
      </c>
      <c r="B2691">
        <v>886555</v>
      </c>
      <c r="C2691" t="s">
        <v>5596</v>
      </c>
      <c r="D2691" t="s">
        <v>125</v>
      </c>
      <c r="E2691" s="2">
        <v>37399</v>
      </c>
      <c r="F2691" t="str">
        <f>"9780191587665"</f>
        <v>9780191587665</v>
      </c>
      <c r="G2691" t="str">
        <f>"9780192803108"</f>
        <v>9780192803108</v>
      </c>
      <c r="H2691" t="s">
        <v>1984</v>
      </c>
      <c r="I2691">
        <v>910.90917492699998</v>
      </c>
      <c r="J2691" t="s">
        <v>5597</v>
      </c>
      <c r="K2691" t="s">
        <v>44</v>
      </c>
      <c r="N2691" t="s">
        <v>45</v>
      </c>
      <c r="O2691" t="s">
        <v>46</v>
      </c>
      <c r="P2691" t="s">
        <v>45</v>
      </c>
      <c r="Q2691" t="s">
        <v>47</v>
      </c>
      <c r="R2691" t="s">
        <v>44</v>
      </c>
      <c r="S2691">
        <v>0</v>
      </c>
      <c r="W2691" s="3">
        <v>3.2986111111111111E-3</v>
      </c>
      <c r="X2691" t="s">
        <v>5598</v>
      </c>
      <c r="Y2691">
        <v>12</v>
      </c>
      <c r="Z2691">
        <v>0</v>
      </c>
      <c r="AA2691" t="s">
        <v>49</v>
      </c>
      <c r="AB2691">
        <v>0</v>
      </c>
      <c r="AC2691" t="s">
        <v>49</v>
      </c>
      <c r="AD2691">
        <v>0</v>
      </c>
      <c r="AE2691">
        <v>10537851</v>
      </c>
      <c r="AF2691" t="s">
        <v>50</v>
      </c>
      <c r="AG2691" t="s">
        <v>118</v>
      </c>
    </row>
    <row r="2692" spans="1:33" x14ac:dyDescent="0.35">
      <c r="A2692" s="1">
        <v>44825.581250000003</v>
      </c>
      <c r="B2692">
        <v>312872</v>
      </c>
      <c r="C2692" t="s">
        <v>5580</v>
      </c>
      <c r="D2692" t="s">
        <v>65</v>
      </c>
      <c r="E2692" s="2">
        <v>38336</v>
      </c>
      <c r="F2692" t="str">
        <f>"9780080516011"</f>
        <v>9780080516011</v>
      </c>
      <c r="G2692" t="str">
        <f>"9781856174503"</f>
        <v>9781856174503</v>
      </c>
      <c r="H2692" t="s">
        <v>116</v>
      </c>
      <c r="I2692">
        <v>668.49400000000003</v>
      </c>
      <c r="J2692" t="s">
        <v>5581</v>
      </c>
      <c r="K2692" t="s">
        <v>55</v>
      </c>
      <c r="N2692" t="s">
        <v>79</v>
      </c>
      <c r="P2692" t="s">
        <v>80</v>
      </c>
      <c r="Q2692" t="s">
        <v>47</v>
      </c>
      <c r="R2692" t="s">
        <v>44</v>
      </c>
      <c r="S2692">
        <v>0</v>
      </c>
      <c r="W2692" s="3">
        <v>9.8726851851851857E-3</v>
      </c>
      <c r="X2692" t="s">
        <v>5599</v>
      </c>
      <c r="Y2692">
        <v>4</v>
      </c>
      <c r="Z2692">
        <v>0</v>
      </c>
      <c r="AA2692" t="s">
        <v>49</v>
      </c>
      <c r="AB2692">
        <v>0</v>
      </c>
      <c r="AC2692" t="s">
        <v>49</v>
      </c>
      <c r="AD2692">
        <v>0</v>
      </c>
      <c r="AE2692">
        <v>10190241</v>
      </c>
      <c r="AF2692" t="s">
        <v>50</v>
      </c>
      <c r="AG2692" t="s">
        <v>118</v>
      </c>
    </row>
    <row r="2693" spans="1:33" x14ac:dyDescent="0.35">
      <c r="A2693" s="1">
        <v>44825.580555555556</v>
      </c>
      <c r="B2693">
        <v>2073969</v>
      </c>
      <c r="C2693" t="s">
        <v>5600</v>
      </c>
      <c r="D2693" t="s">
        <v>1224</v>
      </c>
      <c r="E2693" s="2">
        <v>42153</v>
      </c>
      <c r="F2693" t="str">
        <f>"9783110292251"</f>
        <v>9783110292251</v>
      </c>
      <c r="G2693" t="str">
        <f>"9783110292220"</f>
        <v>9783110292220</v>
      </c>
      <c r="H2693" t="s">
        <v>1256</v>
      </c>
      <c r="I2693">
        <v>620.19230000000005</v>
      </c>
      <c r="J2693" t="s">
        <v>5601</v>
      </c>
      <c r="K2693" t="s">
        <v>44</v>
      </c>
      <c r="N2693" t="s">
        <v>45</v>
      </c>
      <c r="O2693" t="s">
        <v>46</v>
      </c>
      <c r="P2693" t="s">
        <v>45</v>
      </c>
      <c r="Q2693" t="s">
        <v>47</v>
      </c>
      <c r="R2693" t="s">
        <v>44</v>
      </c>
      <c r="S2693">
        <v>0</v>
      </c>
      <c r="W2693" s="3">
        <v>4.3749999999999995E-3</v>
      </c>
      <c r="X2693" t="s">
        <v>5602</v>
      </c>
      <c r="Y2693">
        <v>9</v>
      </c>
      <c r="Z2693">
        <v>0</v>
      </c>
      <c r="AA2693" t="s">
        <v>49</v>
      </c>
      <c r="AB2693">
        <v>0</v>
      </c>
      <c r="AC2693" t="s">
        <v>49</v>
      </c>
      <c r="AD2693">
        <v>0</v>
      </c>
      <c r="AE2693">
        <v>11072816</v>
      </c>
      <c r="AF2693" t="s">
        <v>50</v>
      </c>
      <c r="AG2693" t="s">
        <v>118</v>
      </c>
    </row>
    <row r="2694" spans="1:33" x14ac:dyDescent="0.35">
      <c r="A2694" s="1">
        <v>44825.489583333336</v>
      </c>
      <c r="B2694">
        <v>957290</v>
      </c>
      <c r="C2694" t="s">
        <v>4280</v>
      </c>
      <c r="D2694" t="s">
        <v>76</v>
      </c>
      <c r="E2694" s="2">
        <v>40941</v>
      </c>
      <c r="F2694" t="str">
        <f>"9780203127711"</f>
        <v>9780203127711</v>
      </c>
      <c r="G2694" t="str">
        <f>"9780415895347"</f>
        <v>9780415895347</v>
      </c>
      <c r="H2694" t="s">
        <v>1046</v>
      </c>
      <c r="I2694">
        <v>302.23099999999999</v>
      </c>
      <c r="J2694" t="s">
        <v>4281</v>
      </c>
      <c r="K2694" t="s">
        <v>44</v>
      </c>
      <c r="N2694" t="s">
        <v>45</v>
      </c>
      <c r="O2694" t="s">
        <v>46</v>
      </c>
      <c r="P2694" t="s">
        <v>45</v>
      </c>
      <c r="Q2694" t="s">
        <v>47</v>
      </c>
      <c r="R2694" t="s">
        <v>44</v>
      </c>
      <c r="S2694">
        <v>0</v>
      </c>
      <c r="W2694" s="3">
        <v>1.7361111111111112E-4</v>
      </c>
      <c r="X2694" t="s">
        <v>5603</v>
      </c>
      <c r="Y2694">
        <v>4</v>
      </c>
      <c r="Z2694">
        <v>0</v>
      </c>
      <c r="AA2694" t="s">
        <v>49</v>
      </c>
      <c r="AB2694">
        <v>0</v>
      </c>
      <c r="AC2694" t="s">
        <v>49</v>
      </c>
      <c r="AD2694">
        <v>0</v>
      </c>
      <c r="AE2694">
        <v>10535074</v>
      </c>
      <c r="AF2694" t="s">
        <v>50</v>
      </c>
      <c r="AG2694" t="s">
        <v>835</v>
      </c>
    </row>
    <row r="2695" spans="1:33" x14ac:dyDescent="0.35">
      <c r="A2695" s="1">
        <v>44824.924305555556</v>
      </c>
      <c r="B2695">
        <v>169699</v>
      </c>
      <c r="C2695" t="s">
        <v>5583</v>
      </c>
      <c r="D2695" t="s">
        <v>76</v>
      </c>
      <c r="E2695" s="2">
        <v>36389</v>
      </c>
      <c r="F2695" t="str">
        <f>"9780203202678"</f>
        <v>9780203202678</v>
      </c>
      <c r="G2695" t="str">
        <f>"9780415194860"</f>
        <v>9780415194860</v>
      </c>
      <c r="H2695" t="s">
        <v>162</v>
      </c>
      <c r="I2695">
        <v>296.18</v>
      </c>
      <c r="J2695" t="s">
        <v>5584</v>
      </c>
      <c r="K2695" t="s">
        <v>44</v>
      </c>
      <c r="N2695" t="s">
        <v>45</v>
      </c>
      <c r="O2695" t="s">
        <v>46</v>
      </c>
      <c r="P2695" t="s">
        <v>45</v>
      </c>
      <c r="Q2695" t="s">
        <v>47</v>
      </c>
      <c r="R2695" t="s">
        <v>44</v>
      </c>
      <c r="S2695">
        <v>0</v>
      </c>
      <c r="W2695" s="3">
        <v>5.2048611111111108E-2</v>
      </c>
      <c r="X2695" t="s">
        <v>5604</v>
      </c>
      <c r="Y2695">
        <v>17</v>
      </c>
      <c r="Z2695">
        <v>0</v>
      </c>
      <c r="AA2695" t="s">
        <v>49</v>
      </c>
      <c r="AB2695">
        <v>0</v>
      </c>
      <c r="AC2695" t="s">
        <v>49</v>
      </c>
      <c r="AD2695">
        <v>0</v>
      </c>
      <c r="AE2695">
        <v>10054726</v>
      </c>
      <c r="AF2695" t="s">
        <v>63</v>
      </c>
      <c r="AG2695" t="s">
        <v>118</v>
      </c>
    </row>
    <row r="2696" spans="1:33" x14ac:dyDescent="0.35">
      <c r="A2696" s="1">
        <v>44824.693055555559</v>
      </c>
      <c r="B2696">
        <v>6690462</v>
      </c>
      <c r="C2696" t="s">
        <v>5268</v>
      </c>
      <c r="D2696" t="s">
        <v>502</v>
      </c>
      <c r="E2696" s="2">
        <v>43979</v>
      </c>
      <c r="F2696" t="str">
        <f>"9781108877800"</f>
        <v>9781108877800</v>
      </c>
      <c r="G2696" t="str">
        <f>"9781108836524"</f>
        <v>9781108836524</v>
      </c>
      <c r="H2696" t="s">
        <v>1046</v>
      </c>
      <c r="I2696">
        <v>305.48697099999998</v>
      </c>
      <c r="J2696" t="s">
        <v>5269</v>
      </c>
      <c r="K2696" t="s">
        <v>55</v>
      </c>
      <c r="Q2696" t="s">
        <v>47</v>
      </c>
      <c r="R2696" t="s">
        <v>44</v>
      </c>
      <c r="S2696">
        <v>0</v>
      </c>
      <c r="W2696" s="3">
        <v>1.2037037037037038E-3</v>
      </c>
      <c r="X2696" t="s">
        <v>5605</v>
      </c>
      <c r="Y2696">
        <v>5</v>
      </c>
      <c r="Z2696">
        <v>0</v>
      </c>
      <c r="AA2696" t="s">
        <v>49</v>
      </c>
      <c r="AB2696">
        <v>0</v>
      </c>
      <c r="AC2696" t="s">
        <v>49</v>
      </c>
      <c r="AD2696">
        <v>0</v>
      </c>
      <c r="AE2696">
        <v>-1</v>
      </c>
      <c r="AF2696" t="s">
        <v>63</v>
      </c>
      <c r="AG2696" t="s">
        <v>118</v>
      </c>
    </row>
    <row r="2697" spans="1:33" x14ac:dyDescent="0.35">
      <c r="A2697" s="1">
        <v>44824.677777777775</v>
      </c>
      <c r="B2697">
        <v>3407700</v>
      </c>
      <c r="C2697" t="s">
        <v>5251</v>
      </c>
      <c r="D2697" t="s">
        <v>645</v>
      </c>
      <c r="E2697" s="2">
        <v>38540</v>
      </c>
      <c r="F2697" t="str">
        <f>"9780791483169"</f>
        <v>9780791483169</v>
      </c>
      <c r="G2697" t="str">
        <f>"9780791464656"</f>
        <v>9780791464656</v>
      </c>
      <c r="H2697" t="s">
        <v>1046</v>
      </c>
      <c r="I2697" t="s">
        <v>5252</v>
      </c>
      <c r="J2697" t="s">
        <v>5253</v>
      </c>
      <c r="K2697" t="s">
        <v>44</v>
      </c>
      <c r="N2697" t="s">
        <v>45</v>
      </c>
      <c r="O2697" t="s">
        <v>46</v>
      </c>
      <c r="P2697" t="s">
        <v>45</v>
      </c>
      <c r="Q2697" t="s">
        <v>47</v>
      </c>
      <c r="R2697" t="s">
        <v>44</v>
      </c>
      <c r="S2697">
        <v>0</v>
      </c>
      <c r="W2697" s="3">
        <v>8.4259259259259253E-3</v>
      </c>
      <c r="X2697" t="s">
        <v>5606</v>
      </c>
      <c r="Y2697">
        <v>24</v>
      </c>
      <c r="Z2697">
        <v>0</v>
      </c>
      <c r="AA2697" t="s">
        <v>49</v>
      </c>
      <c r="AB2697">
        <v>0</v>
      </c>
      <c r="AC2697" t="s">
        <v>49</v>
      </c>
      <c r="AD2697">
        <v>0</v>
      </c>
      <c r="AE2697">
        <v>10579123</v>
      </c>
      <c r="AF2697" t="s">
        <v>63</v>
      </c>
      <c r="AG2697" t="s">
        <v>118</v>
      </c>
    </row>
    <row r="2698" spans="1:33" x14ac:dyDescent="0.35">
      <c r="A2698" s="1">
        <v>44824.674305555556</v>
      </c>
      <c r="B2698">
        <v>957784</v>
      </c>
      <c r="C2698" t="s">
        <v>5607</v>
      </c>
      <c r="D2698" t="s">
        <v>76</v>
      </c>
      <c r="E2698" s="2">
        <v>40890</v>
      </c>
      <c r="F2698" t="str">
        <f>"9780203154144"</f>
        <v>9780203154144</v>
      </c>
      <c r="G2698" t="str">
        <f>"9780415484732"</f>
        <v>9780415484732</v>
      </c>
      <c r="H2698" t="s">
        <v>1540</v>
      </c>
      <c r="I2698" t="s">
        <v>5608</v>
      </c>
      <c r="J2698" t="s">
        <v>5609</v>
      </c>
      <c r="K2698" t="s">
        <v>55</v>
      </c>
      <c r="P2698" t="s">
        <v>97</v>
      </c>
      <c r="Q2698" t="s">
        <v>47</v>
      </c>
      <c r="R2698" t="s">
        <v>44</v>
      </c>
      <c r="S2698">
        <v>0</v>
      </c>
      <c r="W2698" s="3">
        <v>2.2685185185185182E-3</v>
      </c>
      <c r="X2698" t="s">
        <v>5610</v>
      </c>
      <c r="Y2698">
        <v>42</v>
      </c>
      <c r="Z2698">
        <v>0</v>
      </c>
      <c r="AA2698" t="s">
        <v>49</v>
      </c>
      <c r="AB2698">
        <v>0</v>
      </c>
      <c r="AC2698" t="s">
        <v>49</v>
      </c>
      <c r="AD2698">
        <v>0</v>
      </c>
      <c r="AE2698">
        <v>10542383</v>
      </c>
      <c r="AF2698" t="s">
        <v>63</v>
      </c>
      <c r="AG2698" t="s">
        <v>118</v>
      </c>
    </row>
    <row r="2699" spans="1:33" x14ac:dyDescent="0.35">
      <c r="A2699" s="1">
        <v>44824.67083333333</v>
      </c>
      <c r="B2699">
        <v>380687</v>
      </c>
      <c r="C2699" t="s">
        <v>5250</v>
      </c>
      <c r="D2699" t="s">
        <v>3134</v>
      </c>
      <c r="E2699" s="2">
        <v>38018</v>
      </c>
      <c r="F2699" t="str">
        <f>"9781781388457"</f>
        <v>9781781388457</v>
      </c>
      <c r="G2699" t="str">
        <f>"9780853238881"</f>
        <v>9780853238881</v>
      </c>
      <c r="H2699" t="s">
        <v>667</v>
      </c>
      <c r="I2699">
        <v>956.1</v>
      </c>
      <c r="K2699" t="s">
        <v>44</v>
      </c>
      <c r="N2699" t="s">
        <v>45</v>
      </c>
      <c r="O2699" t="s">
        <v>46</v>
      </c>
      <c r="P2699" t="s">
        <v>45</v>
      </c>
      <c r="Q2699" t="s">
        <v>47</v>
      </c>
      <c r="R2699" t="s">
        <v>44</v>
      </c>
      <c r="S2699">
        <v>0</v>
      </c>
      <c r="W2699" s="3">
        <v>1.5914351851851853E-2</v>
      </c>
      <c r="X2699" t="s">
        <v>5611</v>
      </c>
      <c r="Y2699">
        <v>15</v>
      </c>
      <c r="Z2699">
        <v>0</v>
      </c>
      <c r="AA2699" t="s">
        <v>49</v>
      </c>
      <c r="AB2699">
        <v>0</v>
      </c>
      <c r="AC2699" t="s">
        <v>49</v>
      </c>
      <c r="AD2699">
        <v>0</v>
      </c>
      <c r="AE2699">
        <v>10369615</v>
      </c>
      <c r="AF2699" t="s">
        <v>63</v>
      </c>
      <c r="AG2699" t="s">
        <v>118</v>
      </c>
    </row>
    <row r="2700" spans="1:33" x14ac:dyDescent="0.35">
      <c r="A2700" s="1">
        <v>44824.670138888891</v>
      </c>
      <c r="B2700">
        <v>3421001</v>
      </c>
      <c r="C2700" t="s">
        <v>5612</v>
      </c>
      <c r="D2700" t="s">
        <v>347</v>
      </c>
      <c r="E2700" s="2">
        <v>40442</v>
      </c>
      <c r="F2700" t="str">
        <f>"9780300152623"</f>
        <v>9780300152623</v>
      </c>
      <c r="G2700" t="str">
        <f>"9780300152609"</f>
        <v>9780300152609</v>
      </c>
      <c r="H2700" t="s">
        <v>667</v>
      </c>
      <c r="I2700">
        <v>956.1</v>
      </c>
      <c r="J2700" t="s">
        <v>5613</v>
      </c>
      <c r="K2700" t="s">
        <v>44</v>
      </c>
      <c r="N2700" t="s">
        <v>45</v>
      </c>
      <c r="O2700" t="s">
        <v>46</v>
      </c>
      <c r="P2700" t="s">
        <v>45</v>
      </c>
      <c r="Q2700" t="s">
        <v>47</v>
      </c>
      <c r="R2700" t="s">
        <v>44</v>
      </c>
      <c r="S2700">
        <v>0</v>
      </c>
      <c r="W2700" s="3">
        <v>4.2824074074074075E-4</v>
      </c>
      <c r="X2700" t="s">
        <v>5237</v>
      </c>
      <c r="Y2700">
        <v>9</v>
      </c>
      <c r="Z2700">
        <v>0</v>
      </c>
      <c r="AA2700" t="s">
        <v>49</v>
      </c>
      <c r="AB2700">
        <v>0</v>
      </c>
      <c r="AC2700" t="s">
        <v>49</v>
      </c>
      <c r="AD2700">
        <v>0</v>
      </c>
      <c r="AE2700">
        <v>10579400</v>
      </c>
      <c r="AF2700" t="s">
        <v>63</v>
      </c>
      <c r="AG2700" t="s">
        <v>118</v>
      </c>
    </row>
    <row r="2701" spans="1:33" x14ac:dyDescent="0.35">
      <c r="A2701" s="1">
        <v>44824.5625</v>
      </c>
      <c r="B2701">
        <v>6516141</v>
      </c>
      <c r="C2701" t="s">
        <v>5614</v>
      </c>
      <c r="D2701" t="s">
        <v>59</v>
      </c>
      <c r="E2701" s="2">
        <v>44299</v>
      </c>
      <c r="F2701" t="str">
        <f>"9781119710875"</f>
        <v>9781119710875</v>
      </c>
      <c r="G2701" t="str">
        <f>"9781119710790"</f>
        <v>9781119710790</v>
      </c>
      <c r="H2701" t="s">
        <v>546</v>
      </c>
      <c r="I2701">
        <v>621.30999999999995</v>
      </c>
      <c r="J2701" t="s">
        <v>5615</v>
      </c>
      <c r="K2701" t="s">
        <v>55</v>
      </c>
      <c r="Q2701" t="s">
        <v>47</v>
      </c>
      <c r="R2701" t="s">
        <v>44</v>
      </c>
      <c r="S2701">
        <v>0</v>
      </c>
      <c r="W2701" s="3">
        <v>9.1319444444444443E-3</v>
      </c>
      <c r="X2701" t="s">
        <v>5616</v>
      </c>
      <c r="Y2701">
        <v>10</v>
      </c>
      <c r="Z2701">
        <v>0</v>
      </c>
      <c r="AA2701" t="s">
        <v>49</v>
      </c>
      <c r="AB2701">
        <v>0</v>
      </c>
      <c r="AC2701" t="s">
        <v>49</v>
      </c>
      <c r="AD2701">
        <v>0</v>
      </c>
      <c r="AE2701">
        <v>-1</v>
      </c>
      <c r="AF2701" t="s">
        <v>63</v>
      </c>
      <c r="AG2701" t="s">
        <v>118</v>
      </c>
    </row>
    <row r="2702" spans="1:33" x14ac:dyDescent="0.35">
      <c r="A2702" s="1">
        <v>44824.553472222222</v>
      </c>
      <c r="B2702">
        <v>1343427</v>
      </c>
      <c r="C2702" t="s">
        <v>5617</v>
      </c>
      <c r="D2702" t="s">
        <v>213</v>
      </c>
      <c r="E2702" s="2">
        <v>41514</v>
      </c>
      <c r="F2702" t="str">
        <f>"9780444538321"</f>
        <v>9780444538321</v>
      </c>
      <c r="G2702" t="str">
        <f>"9780444538314"</f>
        <v>9780444538314</v>
      </c>
      <c r="H2702" t="s">
        <v>237</v>
      </c>
      <c r="I2702">
        <v>552.58000000000004</v>
      </c>
      <c r="J2702" t="s">
        <v>5618</v>
      </c>
      <c r="K2702" t="s">
        <v>44</v>
      </c>
      <c r="N2702" t="s">
        <v>45</v>
      </c>
      <c r="O2702" t="s">
        <v>46</v>
      </c>
      <c r="P2702" t="s">
        <v>45</v>
      </c>
      <c r="Q2702" t="s">
        <v>47</v>
      </c>
      <c r="R2702" t="s">
        <v>44</v>
      </c>
      <c r="S2702">
        <v>2</v>
      </c>
      <c r="W2702" s="3">
        <v>2.1944444444444447E-2</v>
      </c>
      <c r="X2702" t="s">
        <v>5619</v>
      </c>
      <c r="Y2702">
        <v>35</v>
      </c>
      <c r="Z2702">
        <v>0</v>
      </c>
      <c r="AA2702" t="s">
        <v>49</v>
      </c>
      <c r="AB2702">
        <v>0</v>
      </c>
      <c r="AC2702" t="s">
        <v>49</v>
      </c>
      <c r="AD2702">
        <v>0</v>
      </c>
      <c r="AE2702">
        <v>10745985</v>
      </c>
      <c r="AF2702" t="s">
        <v>63</v>
      </c>
      <c r="AG2702" t="s">
        <v>118</v>
      </c>
    </row>
    <row r="2703" spans="1:33" x14ac:dyDescent="0.35">
      <c r="A2703" s="1">
        <v>44824.547222222223</v>
      </c>
      <c r="B2703">
        <v>689812</v>
      </c>
      <c r="C2703" t="s">
        <v>5620</v>
      </c>
      <c r="D2703" t="s">
        <v>76</v>
      </c>
      <c r="E2703" s="2">
        <v>40879</v>
      </c>
      <c r="F2703" t="str">
        <f>"9780080970431"</f>
        <v>9780080970431</v>
      </c>
      <c r="G2703" t="str">
        <f>"9780080970424"</f>
        <v>9780080970424</v>
      </c>
      <c r="H2703" t="s">
        <v>542</v>
      </c>
      <c r="I2703">
        <v>621.31924000000004</v>
      </c>
      <c r="J2703" t="s">
        <v>5621</v>
      </c>
      <c r="K2703" t="s">
        <v>44</v>
      </c>
      <c r="N2703" t="s">
        <v>45</v>
      </c>
      <c r="O2703" t="s">
        <v>46</v>
      </c>
      <c r="P2703" t="s">
        <v>45</v>
      </c>
      <c r="Q2703" t="s">
        <v>47</v>
      </c>
      <c r="R2703" t="s">
        <v>44</v>
      </c>
      <c r="S2703">
        <v>0</v>
      </c>
      <c r="W2703" s="3">
        <v>1.4004629629629629E-3</v>
      </c>
      <c r="X2703" t="s">
        <v>5622</v>
      </c>
      <c r="Y2703">
        <v>15</v>
      </c>
      <c r="Z2703">
        <v>6</v>
      </c>
      <c r="AA2703" t="s">
        <v>5623</v>
      </c>
      <c r="AB2703">
        <v>52</v>
      </c>
      <c r="AC2703" t="s">
        <v>49</v>
      </c>
      <c r="AD2703">
        <v>0</v>
      </c>
      <c r="AE2703">
        <v>10468910</v>
      </c>
      <c r="AF2703" t="s">
        <v>50</v>
      </c>
      <c r="AG2703" t="s">
        <v>118</v>
      </c>
    </row>
    <row r="2704" spans="1:33" x14ac:dyDescent="0.35">
      <c r="A2704" s="1">
        <v>44824.54583333333</v>
      </c>
      <c r="B2704">
        <v>5897406</v>
      </c>
      <c r="C2704" t="s">
        <v>5624</v>
      </c>
      <c r="D2704" t="s">
        <v>769</v>
      </c>
      <c r="E2704" s="2">
        <v>43726</v>
      </c>
      <c r="F2704" t="str">
        <f>"9781000701838"</f>
        <v>9781000701838</v>
      </c>
      <c r="G2704" t="str">
        <f>"9780367359751"</f>
        <v>9780367359751</v>
      </c>
      <c r="H2704" t="s">
        <v>542</v>
      </c>
      <c r="I2704" t="s">
        <v>5625</v>
      </c>
      <c r="J2704" t="s">
        <v>5626</v>
      </c>
      <c r="K2704" t="s">
        <v>55</v>
      </c>
      <c r="Q2704" t="s">
        <v>47</v>
      </c>
      <c r="R2704" t="s">
        <v>44</v>
      </c>
      <c r="S2704">
        <v>0</v>
      </c>
      <c r="W2704" s="3">
        <v>0</v>
      </c>
      <c r="X2704" t="s">
        <v>49</v>
      </c>
      <c r="Y2704">
        <v>0</v>
      </c>
      <c r="Z2704">
        <v>0</v>
      </c>
      <c r="AA2704" t="s">
        <v>49</v>
      </c>
      <c r="AB2704">
        <v>0</v>
      </c>
      <c r="AC2704" t="s">
        <v>49</v>
      </c>
      <c r="AD2704">
        <v>0</v>
      </c>
      <c r="AE2704">
        <v>-1</v>
      </c>
      <c r="AF2704" t="s">
        <v>50</v>
      </c>
      <c r="AG2704" t="s">
        <v>118</v>
      </c>
    </row>
    <row r="2705" spans="1:33" x14ac:dyDescent="0.35">
      <c r="A2705" s="1">
        <v>44824.538888888892</v>
      </c>
      <c r="B2705">
        <v>957290</v>
      </c>
      <c r="C2705" t="s">
        <v>4280</v>
      </c>
      <c r="D2705" t="s">
        <v>76</v>
      </c>
      <c r="E2705" s="2">
        <v>40941</v>
      </c>
      <c r="F2705" t="str">
        <f>"9780203127711"</f>
        <v>9780203127711</v>
      </c>
      <c r="G2705" t="str">
        <f>"9780415895347"</f>
        <v>9780415895347</v>
      </c>
      <c r="H2705" t="s">
        <v>1046</v>
      </c>
      <c r="I2705">
        <v>302.23099999999999</v>
      </c>
      <c r="J2705" t="s">
        <v>4281</v>
      </c>
      <c r="K2705" t="s">
        <v>44</v>
      </c>
      <c r="N2705" t="s">
        <v>45</v>
      </c>
      <c r="O2705" t="s">
        <v>46</v>
      </c>
      <c r="P2705" t="s">
        <v>45</v>
      </c>
      <c r="Q2705" t="s">
        <v>47</v>
      </c>
      <c r="R2705" t="s">
        <v>44</v>
      </c>
      <c r="S2705">
        <v>0</v>
      </c>
      <c r="W2705" s="3">
        <v>4.6296296296296294E-5</v>
      </c>
      <c r="X2705" t="s">
        <v>196</v>
      </c>
      <c r="Y2705">
        <v>2</v>
      </c>
      <c r="Z2705">
        <v>0</v>
      </c>
      <c r="AA2705" t="s">
        <v>49</v>
      </c>
      <c r="AB2705">
        <v>0</v>
      </c>
      <c r="AC2705" t="s">
        <v>49</v>
      </c>
      <c r="AD2705">
        <v>0</v>
      </c>
      <c r="AE2705">
        <v>10535074</v>
      </c>
      <c r="AF2705" t="s">
        <v>50</v>
      </c>
      <c r="AG2705" t="s">
        <v>630</v>
      </c>
    </row>
    <row r="2706" spans="1:33" x14ac:dyDescent="0.35">
      <c r="A2706" s="1">
        <v>44824.535416666666</v>
      </c>
      <c r="B2706">
        <v>6420775</v>
      </c>
      <c r="C2706" t="s">
        <v>236</v>
      </c>
      <c r="D2706" t="s">
        <v>213</v>
      </c>
      <c r="E2706" s="2">
        <v>44147</v>
      </c>
      <c r="F2706" t="str">
        <f>"9780128243619"</f>
        <v>9780128243619</v>
      </c>
      <c r="G2706" t="str">
        <f>"9780128243602"</f>
        <v>9780128243602</v>
      </c>
      <c r="H2706" t="s">
        <v>237</v>
      </c>
      <c r="I2706">
        <v>551.70100000000002</v>
      </c>
      <c r="J2706" t="s">
        <v>238</v>
      </c>
      <c r="K2706" t="s">
        <v>55</v>
      </c>
      <c r="N2706" t="s">
        <v>79</v>
      </c>
      <c r="P2706" t="s">
        <v>80</v>
      </c>
      <c r="Q2706" t="s">
        <v>47</v>
      </c>
      <c r="R2706" t="s">
        <v>44</v>
      </c>
      <c r="S2706">
        <v>2</v>
      </c>
      <c r="T2706">
        <v>90</v>
      </c>
      <c r="U2706" s="1">
        <v>44824.535416666666</v>
      </c>
      <c r="V2706" s="1">
        <v>44914.535416666666</v>
      </c>
      <c r="W2706" s="3">
        <v>1.2141203703703704E-2</v>
      </c>
      <c r="X2706" t="s">
        <v>5627</v>
      </c>
      <c r="Y2706">
        <v>41</v>
      </c>
      <c r="Z2706">
        <v>0</v>
      </c>
      <c r="AA2706" t="s">
        <v>49</v>
      </c>
      <c r="AB2706">
        <v>0</v>
      </c>
      <c r="AC2706" t="s">
        <v>49</v>
      </c>
      <c r="AD2706">
        <v>0</v>
      </c>
      <c r="AE2706">
        <v>-1</v>
      </c>
      <c r="AF2706" t="s">
        <v>63</v>
      </c>
      <c r="AG2706" t="s">
        <v>118</v>
      </c>
    </row>
    <row r="2707" spans="1:33" x14ac:dyDescent="0.35">
      <c r="A2707" s="1">
        <v>44824.520138888889</v>
      </c>
      <c r="B2707">
        <v>957290</v>
      </c>
      <c r="C2707" t="s">
        <v>4280</v>
      </c>
      <c r="D2707" t="s">
        <v>76</v>
      </c>
      <c r="E2707" s="2">
        <v>40941</v>
      </c>
      <c r="F2707" t="str">
        <f>"9780203127711"</f>
        <v>9780203127711</v>
      </c>
      <c r="G2707" t="str">
        <f>"9780415895347"</f>
        <v>9780415895347</v>
      </c>
      <c r="H2707" t="s">
        <v>1046</v>
      </c>
      <c r="I2707">
        <v>302.23099999999999</v>
      </c>
      <c r="J2707" t="s">
        <v>4281</v>
      </c>
      <c r="K2707" t="s">
        <v>44</v>
      </c>
      <c r="N2707" t="s">
        <v>45</v>
      </c>
      <c r="O2707" t="s">
        <v>46</v>
      </c>
      <c r="P2707" t="s">
        <v>45</v>
      </c>
      <c r="Q2707" t="s">
        <v>47</v>
      </c>
      <c r="R2707" t="s">
        <v>44</v>
      </c>
      <c r="S2707">
        <v>0</v>
      </c>
      <c r="W2707" s="3">
        <v>5.7870370370370366E-5</v>
      </c>
      <c r="X2707" t="s">
        <v>196</v>
      </c>
      <c r="Y2707">
        <v>2</v>
      </c>
      <c r="Z2707">
        <v>0</v>
      </c>
      <c r="AA2707" t="s">
        <v>49</v>
      </c>
      <c r="AB2707">
        <v>0</v>
      </c>
      <c r="AC2707" t="s">
        <v>49</v>
      </c>
      <c r="AD2707">
        <v>0</v>
      </c>
      <c r="AE2707">
        <v>10535074</v>
      </c>
      <c r="AF2707" t="s">
        <v>50</v>
      </c>
      <c r="AG2707" t="s">
        <v>2972</v>
      </c>
    </row>
    <row r="2708" spans="1:33" x14ac:dyDescent="0.35">
      <c r="A2708" s="1">
        <v>44824.51666666667</v>
      </c>
      <c r="B2708">
        <v>957290</v>
      </c>
      <c r="C2708" t="s">
        <v>4280</v>
      </c>
      <c r="D2708" t="s">
        <v>76</v>
      </c>
      <c r="E2708" s="2">
        <v>40941</v>
      </c>
      <c r="F2708" t="str">
        <f>"9780203127711"</f>
        <v>9780203127711</v>
      </c>
      <c r="G2708" t="str">
        <f>"9780415895347"</f>
        <v>9780415895347</v>
      </c>
      <c r="H2708" t="s">
        <v>1046</v>
      </c>
      <c r="I2708">
        <v>302.23099999999999</v>
      </c>
      <c r="J2708" t="s">
        <v>4281</v>
      </c>
      <c r="K2708" t="s">
        <v>44</v>
      </c>
      <c r="N2708" t="s">
        <v>45</v>
      </c>
      <c r="O2708" t="s">
        <v>46</v>
      </c>
      <c r="P2708" t="s">
        <v>45</v>
      </c>
      <c r="Q2708" t="s">
        <v>47</v>
      </c>
      <c r="R2708" t="s">
        <v>44</v>
      </c>
      <c r="S2708">
        <v>0</v>
      </c>
      <c r="W2708" s="3">
        <v>4.0509259259259258E-4</v>
      </c>
      <c r="X2708" t="s">
        <v>5603</v>
      </c>
      <c r="Y2708">
        <v>4</v>
      </c>
      <c r="Z2708">
        <v>0</v>
      </c>
      <c r="AA2708" t="s">
        <v>49</v>
      </c>
      <c r="AB2708">
        <v>0</v>
      </c>
      <c r="AC2708" t="s">
        <v>49</v>
      </c>
      <c r="AD2708">
        <v>0</v>
      </c>
      <c r="AE2708">
        <v>10535074</v>
      </c>
      <c r="AF2708" t="s">
        <v>50</v>
      </c>
      <c r="AG2708" t="s">
        <v>835</v>
      </c>
    </row>
    <row r="2709" spans="1:33" x14ac:dyDescent="0.35">
      <c r="A2709" s="1">
        <v>44824.501388888886</v>
      </c>
      <c r="B2709">
        <v>4183127</v>
      </c>
      <c r="C2709" t="s">
        <v>190</v>
      </c>
      <c r="D2709" t="s">
        <v>59</v>
      </c>
      <c r="E2709" s="2">
        <v>42310</v>
      </c>
      <c r="F2709" t="str">
        <f>"9783527684649"</f>
        <v>9783527684649</v>
      </c>
      <c r="G2709" t="str">
        <f>"9783527331659"</f>
        <v>9783527331659</v>
      </c>
      <c r="H2709" t="s">
        <v>191</v>
      </c>
      <c r="I2709" t="s">
        <v>192</v>
      </c>
      <c r="J2709" t="s">
        <v>193</v>
      </c>
      <c r="K2709" t="s">
        <v>44</v>
      </c>
      <c r="N2709" t="s">
        <v>45</v>
      </c>
      <c r="O2709" t="s">
        <v>46</v>
      </c>
      <c r="P2709" t="s">
        <v>45</v>
      </c>
      <c r="Q2709" t="s">
        <v>47</v>
      </c>
      <c r="R2709" t="s">
        <v>44</v>
      </c>
      <c r="S2709">
        <v>0</v>
      </c>
      <c r="W2709" s="3">
        <v>2.4305555555555556E-3</v>
      </c>
      <c r="X2709" t="s">
        <v>5628</v>
      </c>
      <c r="Y2709">
        <v>18</v>
      </c>
      <c r="Z2709">
        <v>0</v>
      </c>
      <c r="AA2709" t="s">
        <v>49</v>
      </c>
      <c r="AB2709">
        <v>0</v>
      </c>
      <c r="AC2709" t="s">
        <v>49</v>
      </c>
      <c r="AD2709">
        <v>0</v>
      </c>
      <c r="AE2709">
        <v>11125579</v>
      </c>
      <c r="AF2709" t="s">
        <v>63</v>
      </c>
      <c r="AG2709" t="s">
        <v>5140</v>
      </c>
    </row>
    <row r="2710" spans="1:33" x14ac:dyDescent="0.35">
      <c r="A2710" s="1">
        <v>44824.48333333333</v>
      </c>
      <c r="B2710">
        <v>169699</v>
      </c>
      <c r="C2710" t="s">
        <v>5583</v>
      </c>
      <c r="D2710" t="s">
        <v>76</v>
      </c>
      <c r="E2710" s="2">
        <v>36389</v>
      </c>
      <c r="F2710" t="str">
        <f>"9780203202678"</f>
        <v>9780203202678</v>
      </c>
      <c r="G2710" t="str">
        <f>"9780415194860"</f>
        <v>9780415194860</v>
      </c>
      <c r="H2710" t="s">
        <v>162</v>
      </c>
      <c r="I2710">
        <v>296.18</v>
      </c>
      <c r="J2710" t="s">
        <v>5584</v>
      </c>
      <c r="K2710" t="s">
        <v>44</v>
      </c>
      <c r="N2710" t="s">
        <v>45</v>
      </c>
      <c r="O2710" t="s">
        <v>46</v>
      </c>
      <c r="P2710" t="s">
        <v>45</v>
      </c>
      <c r="Q2710" t="s">
        <v>47</v>
      </c>
      <c r="R2710" t="s">
        <v>44</v>
      </c>
      <c r="S2710">
        <v>0</v>
      </c>
      <c r="W2710" s="3">
        <v>7.7777777777777767E-3</v>
      </c>
      <c r="X2710" t="s">
        <v>5629</v>
      </c>
      <c r="Y2710">
        <v>25</v>
      </c>
      <c r="Z2710">
        <v>0</v>
      </c>
      <c r="AA2710" t="s">
        <v>49</v>
      </c>
      <c r="AB2710">
        <v>0</v>
      </c>
      <c r="AC2710" t="s">
        <v>49</v>
      </c>
      <c r="AD2710">
        <v>0</v>
      </c>
      <c r="AE2710">
        <v>10054726</v>
      </c>
      <c r="AF2710" t="s">
        <v>63</v>
      </c>
      <c r="AG2710" t="s">
        <v>118</v>
      </c>
    </row>
    <row r="2711" spans="1:33" x14ac:dyDescent="0.35">
      <c r="A2711" s="1">
        <v>44824.369444444441</v>
      </c>
      <c r="B2711">
        <v>6845697</v>
      </c>
      <c r="C2711" t="s">
        <v>2365</v>
      </c>
      <c r="D2711" t="s">
        <v>213</v>
      </c>
      <c r="E2711" s="2">
        <v>44585</v>
      </c>
      <c r="F2711" t="str">
        <f>"9780323903233"</f>
        <v>9780323903233</v>
      </c>
      <c r="G2711" t="str">
        <f>"9780323909648"</f>
        <v>9780323909648</v>
      </c>
      <c r="H2711" t="s">
        <v>546</v>
      </c>
      <c r="I2711">
        <v>621.31359999999995</v>
      </c>
      <c r="J2711" t="s">
        <v>2366</v>
      </c>
      <c r="K2711" t="s">
        <v>55</v>
      </c>
      <c r="Q2711" t="s">
        <v>47</v>
      </c>
      <c r="R2711" t="s">
        <v>44</v>
      </c>
      <c r="S2711">
        <v>0</v>
      </c>
      <c r="W2711" s="3">
        <v>5.3356481481481484E-3</v>
      </c>
      <c r="X2711" t="s">
        <v>5630</v>
      </c>
      <c r="Y2711">
        <v>81</v>
      </c>
      <c r="Z2711">
        <v>0</v>
      </c>
      <c r="AA2711" t="s">
        <v>49</v>
      </c>
      <c r="AB2711">
        <v>0</v>
      </c>
      <c r="AC2711" t="s">
        <v>49</v>
      </c>
      <c r="AD2711">
        <v>0</v>
      </c>
      <c r="AE2711">
        <v>-1</v>
      </c>
      <c r="AF2711" t="s">
        <v>63</v>
      </c>
      <c r="AG2711" t="s">
        <v>118</v>
      </c>
    </row>
    <row r="2712" spans="1:33" x14ac:dyDescent="0.35">
      <c r="A2712" s="1">
        <v>44824.365277777775</v>
      </c>
      <c r="B2712">
        <v>5341376</v>
      </c>
      <c r="C2712" t="s">
        <v>5631</v>
      </c>
      <c r="D2712" t="s">
        <v>4269</v>
      </c>
      <c r="E2712" s="2">
        <v>43059</v>
      </c>
      <c r="F2712" t="str">
        <f>"9781626235144"</f>
        <v>9781626235144</v>
      </c>
      <c r="G2712" t="str">
        <f>"9781626235137"</f>
        <v>9781626235137</v>
      </c>
      <c r="H2712" t="s">
        <v>77</v>
      </c>
      <c r="I2712" t="s">
        <v>5632</v>
      </c>
      <c r="J2712" t="s">
        <v>5633</v>
      </c>
      <c r="K2712" t="s">
        <v>44</v>
      </c>
      <c r="N2712" t="s">
        <v>45</v>
      </c>
      <c r="O2712" t="s">
        <v>46</v>
      </c>
      <c r="P2712" t="s">
        <v>45</v>
      </c>
      <c r="Q2712" t="s">
        <v>47</v>
      </c>
      <c r="R2712" t="s">
        <v>44</v>
      </c>
      <c r="S2712">
        <v>1</v>
      </c>
      <c r="W2712" s="3">
        <v>1.1574074074074073E-5</v>
      </c>
      <c r="X2712" t="s">
        <v>3020</v>
      </c>
      <c r="Y2712">
        <v>1</v>
      </c>
      <c r="Z2712">
        <v>0</v>
      </c>
      <c r="AA2712" t="s">
        <v>49</v>
      </c>
      <c r="AB2712">
        <v>0</v>
      </c>
      <c r="AC2712" t="s">
        <v>49</v>
      </c>
      <c r="AD2712">
        <v>0</v>
      </c>
      <c r="AE2712">
        <v>11541323</v>
      </c>
      <c r="AF2712" t="s">
        <v>63</v>
      </c>
      <c r="AG2712" t="s">
        <v>118</v>
      </c>
    </row>
    <row r="2713" spans="1:33" x14ac:dyDescent="0.35">
      <c r="A2713" s="1">
        <v>44824.363194444442</v>
      </c>
      <c r="B2713">
        <v>5341376</v>
      </c>
      <c r="C2713" t="s">
        <v>5631</v>
      </c>
      <c r="D2713" t="s">
        <v>4269</v>
      </c>
      <c r="E2713" s="2">
        <v>43059</v>
      </c>
      <c r="F2713" t="str">
        <f>"9781626235144"</f>
        <v>9781626235144</v>
      </c>
      <c r="G2713" t="str">
        <f>"9781626235137"</f>
        <v>9781626235137</v>
      </c>
      <c r="H2713" t="s">
        <v>77</v>
      </c>
      <c r="I2713" t="s">
        <v>5632</v>
      </c>
      <c r="J2713" t="s">
        <v>5633</v>
      </c>
      <c r="K2713" t="s">
        <v>44</v>
      </c>
      <c r="N2713" t="s">
        <v>45</v>
      </c>
      <c r="O2713" t="s">
        <v>46</v>
      </c>
      <c r="P2713" t="s">
        <v>45</v>
      </c>
      <c r="Q2713" t="s">
        <v>47</v>
      </c>
      <c r="R2713" t="s">
        <v>44</v>
      </c>
      <c r="S2713">
        <v>0</v>
      </c>
      <c r="W2713" s="3">
        <v>1.9097222222222222E-3</v>
      </c>
      <c r="X2713" t="s">
        <v>5634</v>
      </c>
      <c r="Y2713">
        <v>5</v>
      </c>
      <c r="Z2713">
        <v>0</v>
      </c>
      <c r="AA2713" t="s">
        <v>49</v>
      </c>
      <c r="AB2713">
        <v>0</v>
      </c>
      <c r="AC2713" t="s">
        <v>49</v>
      </c>
      <c r="AD2713">
        <v>0</v>
      </c>
      <c r="AE2713">
        <v>11541323</v>
      </c>
      <c r="AF2713" t="s">
        <v>63</v>
      </c>
      <c r="AG2713" t="s">
        <v>118</v>
      </c>
    </row>
    <row r="2714" spans="1:33" x14ac:dyDescent="0.35">
      <c r="A2714" s="1">
        <v>44824.329861111109</v>
      </c>
      <c r="B2714">
        <v>5341376</v>
      </c>
      <c r="C2714" t="s">
        <v>5631</v>
      </c>
      <c r="D2714" t="s">
        <v>4269</v>
      </c>
      <c r="E2714" s="2">
        <v>43059</v>
      </c>
      <c r="F2714" t="str">
        <f>"9781626235144"</f>
        <v>9781626235144</v>
      </c>
      <c r="G2714" t="str">
        <f>"9781626235137"</f>
        <v>9781626235137</v>
      </c>
      <c r="H2714" t="s">
        <v>77</v>
      </c>
      <c r="I2714" t="s">
        <v>5632</v>
      </c>
      <c r="J2714" t="s">
        <v>5633</v>
      </c>
      <c r="K2714" t="s">
        <v>44</v>
      </c>
      <c r="N2714" t="s">
        <v>45</v>
      </c>
      <c r="O2714" t="s">
        <v>46</v>
      </c>
      <c r="P2714" t="s">
        <v>45</v>
      </c>
      <c r="Q2714" t="s">
        <v>47</v>
      </c>
      <c r="R2714" t="s">
        <v>44</v>
      </c>
      <c r="S2714">
        <v>0</v>
      </c>
      <c r="W2714" s="3">
        <v>1.6319444444444445E-3</v>
      </c>
      <c r="X2714" t="s">
        <v>5635</v>
      </c>
      <c r="Y2714">
        <v>8</v>
      </c>
      <c r="Z2714">
        <v>0</v>
      </c>
      <c r="AA2714" t="s">
        <v>49</v>
      </c>
      <c r="AB2714">
        <v>0</v>
      </c>
      <c r="AC2714" t="s">
        <v>49</v>
      </c>
      <c r="AD2714">
        <v>0</v>
      </c>
      <c r="AE2714">
        <v>11541323</v>
      </c>
      <c r="AF2714" t="s">
        <v>63</v>
      </c>
      <c r="AG2714" t="s">
        <v>118</v>
      </c>
    </row>
    <row r="2715" spans="1:33" x14ac:dyDescent="0.35">
      <c r="A2715" s="1">
        <v>44823.964583333334</v>
      </c>
      <c r="B2715">
        <v>5598997</v>
      </c>
      <c r="C2715" t="s">
        <v>5636</v>
      </c>
      <c r="D2715" t="s">
        <v>213</v>
      </c>
      <c r="E2715" s="2">
        <v>43425</v>
      </c>
      <c r="F2715" t="str">
        <f>"9780128139035"</f>
        <v>9780128139035</v>
      </c>
      <c r="G2715" t="str">
        <f>"9780128139028"</f>
        <v>9780128139028</v>
      </c>
      <c r="H2715" t="s">
        <v>290</v>
      </c>
      <c r="I2715">
        <v>628.16200000000003</v>
      </c>
      <c r="J2715" t="s">
        <v>5637</v>
      </c>
      <c r="K2715" t="s">
        <v>55</v>
      </c>
      <c r="Q2715" t="s">
        <v>47</v>
      </c>
      <c r="R2715" t="s">
        <v>44</v>
      </c>
      <c r="S2715">
        <v>0</v>
      </c>
      <c r="W2715" s="3">
        <v>0</v>
      </c>
      <c r="X2715" t="s">
        <v>49</v>
      </c>
      <c r="Y2715">
        <v>0</v>
      </c>
      <c r="Z2715">
        <v>0</v>
      </c>
      <c r="AA2715" t="s">
        <v>49</v>
      </c>
      <c r="AB2715">
        <v>0</v>
      </c>
      <c r="AC2715" t="s">
        <v>49</v>
      </c>
      <c r="AD2715">
        <v>0</v>
      </c>
      <c r="AE2715">
        <v>11637575</v>
      </c>
      <c r="AF2715" t="s">
        <v>63</v>
      </c>
      <c r="AG2715" t="s">
        <v>118</v>
      </c>
    </row>
    <row r="2716" spans="1:33" x14ac:dyDescent="0.35">
      <c r="A2716" s="1">
        <v>44823.90902777778</v>
      </c>
      <c r="B2716">
        <v>957290</v>
      </c>
      <c r="C2716" t="s">
        <v>4280</v>
      </c>
      <c r="D2716" t="s">
        <v>76</v>
      </c>
      <c r="E2716" s="2">
        <v>40941</v>
      </c>
      <c r="F2716" t="str">
        <f>"9780203127711"</f>
        <v>9780203127711</v>
      </c>
      <c r="G2716" t="str">
        <f>"9780415895347"</f>
        <v>9780415895347</v>
      </c>
      <c r="H2716" t="s">
        <v>1046</v>
      </c>
      <c r="I2716">
        <v>302.23099999999999</v>
      </c>
      <c r="J2716" t="s">
        <v>4281</v>
      </c>
      <c r="K2716" t="s">
        <v>44</v>
      </c>
      <c r="N2716" t="s">
        <v>45</v>
      </c>
      <c r="O2716" t="s">
        <v>46</v>
      </c>
      <c r="P2716" t="s">
        <v>45</v>
      </c>
      <c r="Q2716" t="s">
        <v>47</v>
      </c>
      <c r="R2716" t="s">
        <v>44</v>
      </c>
      <c r="S2716">
        <v>0</v>
      </c>
      <c r="W2716" s="3">
        <v>2.2708333333333334E-2</v>
      </c>
      <c r="X2716" t="s">
        <v>5638</v>
      </c>
      <c r="Y2716">
        <v>8</v>
      </c>
      <c r="Z2716">
        <v>0</v>
      </c>
      <c r="AA2716" t="s">
        <v>49</v>
      </c>
      <c r="AB2716">
        <v>0</v>
      </c>
      <c r="AC2716" t="s">
        <v>49</v>
      </c>
      <c r="AD2716">
        <v>0</v>
      </c>
      <c r="AE2716">
        <v>10535074</v>
      </c>
      <c r="AF2716" t="s">
        <v>50</v>
      </c>
      <c r="AG2716" t="s">
        <v>1355</v>
      </c>
    </row>
    <row r="2717" spans="1:33" x14ac:dyDescent="0.35">
      <c r="A2717" s="1">
        <v>44823.894444444442</v>
      </c>
      <c r="B2717">
        <v>4183127</v>
      </c>
      <c r="C2717" t="s">
        <v>190</v>
      </c>
      <c r="D2717" t="s">
        <v>59</v>
      </c>
      <c r="E2717" s="2">
        <v>42310</v>
      </c>
      <c r="F2717" t="str">
        <f>"9783527684649"</f>
        <v>9783527684649</v>
      </c>
      <c r="G2717" t="str">
        <f>"9783527331659"</f>
        <v>9783527331659</v>
      </c>
      <c r="H2717" t="s">
        <v>191</v>
      </c>
      <c r="I2717" t="s">
        <v>192</v>
      </c>
      <c r="J2717" t="s">
        <v>193</v>
      </c>
      <c r="K2717" t="s">
        <v>44</v>
      </c>
      <c r="N2717" t="s">
        <v>45</v>
      </c>
      <c r="O2717" t="s">
        <v>46</v>
      </c>
      <c r="P2717" t="s">
        <v>45</v>
      </c>
      <c r="Q2717" t="s">
        <v>47</v>
      </c>
      <c r="R2717" t="s">
        <v>44</v>
      </c>
      <c r="S2717">
        <v>0</v>
      </c>
      <c r="W2717" s="3">
        <v>7.0601851851851847E-4</v>
      </c>
      <c r="X2717" t="s">
        <v>5639</v>
      </c>
      <c r="Y2717">
        <v>6</v>
      </c>
      <c r="Z2717">
        <v>0</v>
      </c>
      <c r="AA2717" t="s">
        <v>49</v>
      </c>
      <c r="AB2717">
        <v>0</v>
      </c>
      <c r="AC2717" t="s">
        <v>49</v>
      </c>
      <c r="AD2717">
        <v>0</v>
      </c>
      <c r="AE2717">
        <v>11125579</v>
      </c>
      <c r="AF2717" t="s">
        <v>50</v>
      </c>
      <c r="AG2717" t="s">
        <v>118</v>
      </c>
    </row>
    <row r="2718" spans="1:33" x14ac:dyDescent="0.35">
      <c r="A2718" s="1">
        <v>44823.836111111108</v>
      </c>
      <c r="B2718">
        <v>957290</v>
      </c>
      <c r="C2718" t="s">
        <v>4280</v>
      </c>
      <c r="D2718" t="s">
        <v>76</v>
      </c>
      <c r="E2718" s="2">
        <v>40941</v>
      </c>
      <c r="F2718" t="str">
        <f>"9780203127711"</f>
        <v>9780203127711</v>
      </c>
      <c r="G2718" t="str">
        <f>"9780415895347"</f>
        <v>9780415895347</v>
      </c>
      <c r="H2718" t="s">
        <v>1046</v>
      </c>
      <c r="I2718">
        <v>302.23099999999999</v>
      </c>
      <c r="J2718" t="s">
        <v>4281</v>
      </c>
      <c r="K2718" t="s">
        <v>44</v>
      </c>
      <c r="N2718" t="s">
        <v>45</v>
      </c>
      <c r="O2718" t="s">
        <v>46</v>
      </c>
      <c r="P2718" t="s">
        <v>45</v>
      </c>
      <c r="Q2718" t="s">
        <v>47</v>
      </c>
      <c r="R2718" t="s">
        <v>44</v>
      </c>
      <c r="S2718">
        <v>0</v>
      </c>
      <c r="W2718" s="3">
        <v>3.7962962962962963E-3</v>
      </c>
      <c r="X2718" t="s">
        <v>5640</v>
      </c>
      <c r="Y2718">
        <v>14</v>
      </c>
      <c r="Z2718">
        <v>0</v>
      </c>
      <c r="AA2718" t="s">
        <v>49</v>
      </c>
      <c r="AB2718">
        <v>0</v>
      </c>
      <c r="AC2718" t="s">
        <v>49</v>
      </c>
      <c r="AD2718">
        <v>0</v>
      </c>
      <c r="AE2718">
        <v>10535074</v>
      </c>
      <c r="AF2718" t="s">
        <v>50</v>
      </c>
      <c r="AG2718" t="s">
        <v>118</v>
      </c>
    </row>
    <row r="2719" spans="1:33" x14ac:dyDescent="0.35">
      <c r="A2719" s="1">
        <v>44823.814583333333</v>
      </c>
      <c r="B2719">
        <v>957290</v>
      </c>
      <c r="C2719" t="s">
        <v>4280</v>
      </c>
      <c r="D2719" t="s">
        <v>76</v>
      </c>
      <c r="E2719" s="2">
        <v>40941</v>
      </c>
      <c r="F2719" t="str">
        <f>"9780203127711"</f>
        <v>9780203127711</v>
      </c>
      <c r="G2719" t="str">
        <f>"9780415895347"</f>
        <v>9780415895347</v>
      </c>
      <c r="H2719" t="s">
        <v>1046</v>
      </c>
      <c r="I2719">
        <v>302.23099999999999</v>
      </c>
      <c r="J2719" t="s">
        <v>4281</v>
      </c>
      <c r="K2719" t="s">
        <v>44</v>
      </c>
      <c r="N2719" t="s">
        <v>45</v>
      </c>
      <c r="O2719" t="s">
        <v>46</v>
      </c>
      <c r="P2719" t="s">
        <v>45</v>
      </c>
      <c r="Q2719" t="s">
        <v>47</v>
      </c>
      <c r="R2719" t="s">
        <v>44</v>
      </c>
      <c r="S2719">
        <v>0</v>
      </c>
      <c r="W2719" s="3">
        <v>6.9444444444444444E-5</v>
      </c>
      <c r="X2719" t="s">
        <v>196</v>
      </c>
      <c r="Y2719">
        <v>2</v>
      </c>
      <c r="Z2719">
        <v>0</v>
      </c>
      <c r="AA2719" t="s">
        <v>49</v>
      </c>
      <c r="AB2719">
        <v>0</v>
      </c>
      <c r="AC2719" t="s">
        <v>49</v>
      </c>
      <c r="AD2719">
        <v>0</v>
      </c>
      <c r="AE2719">
        <v>10535074</v>
      </c>
      <c r="AF2719" t="s">
        <v>50</v>
      </c>
      <c r="AG2719" t="s">
        <v>264</v>
      </c>
    </row>
    <row r="2720" spans="1:33" x14ac:dyDescent="0.35">
      <c r="A2720" s="1">
        <v>44823.643750000003</v>
      </c>
      <c r="B2720">
        <v>1794541</v>
      </c>
      <c r="C2720" t="s">
        <v>5641</v>
      </c>
      <c r="D2720" t="s">
        <v>497</v>
      </c>
      <c r="E2720" s="2">
        <v>42481</v>
      </c>
      <c r="F2720" t="str">
        <f>"9781472513960"</f>
        <v>9781472513960</v>
      </c>
      <c r="G2720" t="str">
        <f>"9781472513403"</f>
        <v>9781472513403</v>
      </c>
      <c r="H2720" t="s">
        <v>90</v>
      </c>
      <c r="I2720">
        <v>371.00099999999998</v>
      </c>
      <c r="J2720" t="s">
        <v>5642</v>
      </c>
      <c r="K2720" t="s">
        <v>44</v>
      </c>
      <c r="N2720" t="s">
        <v>45</v>
      </c>
      <c r="O2720" t="s">
        <v>46</v>
      </c>
      <c r="P2720" t="s">
        <v>45</v>
      </c>
      <c r="Q2720" t="s">
        <v>47</v>
      </c>
      <c r="R2720" t="s">
        <v>44</v>
      </c>
      <c r="S2720">
        <v>0</v>
      </c>
      <c r="W2720" s="3">
        <v>5.7870370370370366E-5</v>
      </c>
      <c r="X2720" t="s">
        <v>196</v>
      </c>
      <c r="Y2720">
        <v>2</v>
      </c>
      <c r="Z2720">
        <v>0</v>
      </c>
      <c r="AA2720" t="s">
        <v>49</v>
      </c>
      <c r="AB2720">
        <v>0</v>
      </c>
      <c r="AC2720" t="s">
        <v>49</v>
      </c>
      <c r="AD2720">
        <v>0</v>
      </c>
      <c r="AE2720">
        <v>10940994</v>
      </c>
      <c r="AF2720" t="s">
        <v>50</v>
      </c>
      <c r="AG2720" t="s">
        <v>118</v>
      </c>
    </row>
    <row r="2721" spans="1:33" x14ac:dyDescent="0.35">
      <c r="A2721" s="1">
        <v>44823.643055555556</v>
      </c>
      <c r="B2721">
        <v>1935797</v>
      </c>
      <c r="C2721" t="s">
        <v>5643</v>
      </c>
      <c r="D2721" t="s">
        <v>59</v>
      </c>
      <c r="E2721" s="2">
        <v>41960</v>
      </c>
      <c r="F2721" t="str">
        <f>"9781118944721"</f>
        <v>9781118944721</v>
      </c>
      <c r="G2721" t="str">
        <f>"9781118944738"</f>
        <v>9781118944738</v>
      </c>
      <c r="H2721" t="s">
        <v>90</v>
      </c>
      <c r="I2721" t="s">
        <v>5644</v>
      </c>
      <c r="J2721" t="s">
        <v>5645</v>
      </c>
      <c r="K2721" t="s">
        <v>44</v>
      </c>
      <c r="N2721" t="s">
        <v>45</v>
      </c>
      <c r="O2721" t="s">
        <v>46</v>
      </c>
      <c r="P2721" t="s">
        <v>45</v>
      </c>
      <c r="Q2721" t="s">
        <v>47</v>
      </c>
      <c r="R2721" t="s">
        <v>44</v>
      </c>
      <c r="S2721">
        <v>0</v>
      </c>
      <c r="W2721" s="3">
        <v>3.0092592592592595E-4</v>
      </c>
      <c r="X2721" t="s">
        <v>320</v>
      </c>
      <c r="Y2721">
        <v>3</v>
      </c>
      <c r="Z2721">
        <v>0</v>
      </c>
      <c r="AA2721" t="s">
        <v>49</v>
      </c>
      <c r="AB2721">
        <v>0</v>
      </c>
      <c r="AC2721" t="s">
        <v>49</v>
      </c>
      <c r="AD2721">
        <v>0</v>
      </c>
      <c r="AE2721">
        <v>11053014</v>
      </c>
      <c r="AF2721" t="s">
        <v>50</v>
      </c>
      <c r="AG2721" t="s">
        <v>118</v>
      </c>
    </row>
    <row r="2722" spans="1:33" x14ac:dyDescent="0.35">
      <c r="A2722" s="1">
        <v>44823.614583333336</v>
      </c>
      <c r="B2722">
        <v>5596841</v>
      </c>
      <c r="C2722" t="s">
        <v>1968</v>
      </c>
      <c r="D2722" t="s">
        <v>769</v>
      </c>
      <c r="E2722" s="2">
        <v>43411</v>
      </c>
      <c r="F2722" t="str">
        <f>"9781351013222"</f>
        <v>9781351013222</v>
      </c>
      <c r="G2722" t="str">
        <f>"9780815394372"</f>
        <v>9780815394372</v>
      </c>
      <c r="H2722" t="s">
        <v>138</v>
      </c>
      <c r="I2722" t="s">
        <v>1969</v>
      </c>
      <c r="K2722" t="s">
        <v>55</v>
      </c>
      <c r="Q2722" t="s">
        <v>47</v>
      </c>
      <c r="R2722" t="s">
        <v>44</v>
      </c>
      <c r="S2722">
        <v>0</v>
      </c>
      <c r="W2722" s="3">
        <v>6.9444444444444444E-5</v>
      </c>
      <c r="X2722" t="s">
        <v>5646</v>
      </c>
      <c r="Y2722">
        <v>1</v>
      </c>
      <c r="Z2722">
        <v>0</v>
      </c>
      <c r="AA2722" t="s">
        <v>49</v>
      </c>
      <c r="AB2722">
        <v>0</v>
      </c>
      <c r="AC2722" t="s">
        <v>49</v>
      </c>
      <c r="AD2722">
        <v>0</v>
      </c>
      <c r="AE2722">
        <v>-1</v>
      </c>
      <c r="AF2722" t="s">
        <v>50</v>
      </c>
      <c r="AG2722" t="s">
        <v>5647</v>
      </c>
    </row>
    <row r="2723" spans="1:33" x14ac:dyDescent="0.35">
      <c r="A2723" s="1">
        <v>44823.597916666666</v>
      </c>
      <c r="B2723">
        <v>957290</v>
      </c>
      <c r="C2723" t="s">
        <v>4280</v>
      </c>
      <c r="D2723" t="s">
        <v>76</v>
      </c>
      <c r="E2723" s="2">
        <v>40941</v>
      </c>
      <c r="F2723" t="str">
        <f>"9780203127711"</f>
        <v>9780203127711</v>
      </c>
      <c r="G2723" t="str">
        <f>"9780415895347"</f>
        <v>9780415895347</v>
      </c>
      <c r="H2723" t="s">
        <v>1046</v>
      </c>
      <c r="I2723">
        <v>302.23099999999999</v>
      </c>
      <c r="J2723" t="s">
        <v>4281</v>
      </c>
      <c r="K2723" t="s">
        <v>44</v>
      </c>
      <c r="N2723" t="s">
        <v>45</v>
      </c>
      <c r="O2723" t="s">
        <v>46</v>
      </c>
      <c r="P2723" t="s">
        <v>45</v>
      </c>
      <c r="Q2723" t="s">
        <v>47</v>
      </c>
      <c r="R2723" t="s">
        <v>44</v>
      </c>
      <c r="S2723">
        <v>0</v>
      </c>
      <c r="W2723" s="3">
        <v>3.108796296296296E-2</v>
      </c>
      <c r="X2723" t="s">
        <v>5648</v>
      </c>
      <c r="Y2723">
        <v>14</v>
      </c>
      <c r="Z2723">
        <v>0</v>
      </c>
      <c r="AA2723" t="s">
        <v>49</v>
      </c>
      <c r="AB2723">
        <v>0</v>
      </c>
      <c r="AC2723" t="s">
        <v>2007</v>
      </c>
      <c r="AD2723">
        <v>1</v>
      </c>
      <c r="AE2723">
        <v>10535074</v>
      </c>
      <c r="AF2723" t="s">
        <v>50</v>
      </c>
      <c r="AG2723" t="s">
        <v>118</v>
      </c>
    </row>
    <row r="2724" spans="1:33" x14ac:dyDescent="0.35">
      <c r="A2724" s="1">
        <v>44823.55972222222</v>
      </c>
      <c r="B2724">
        <v>5764287</v>
      </c>
      <c r="C2724" t="s">
        <v>5649</v>
      </c>
      <c r="D2724" t="s">
        <v>141</v>
      </c>
      <c r="E2724" s="2">
        <v>43585</v>
      </c>
      <c r="F2724" t="str">
        <f>"9781789345278"</f>
        <v>9781789345278</v>
      </c>
      <c r="G2724" t="str">
        <f>"9781789346466"</f>
        <v>9781789346466</v>
      </c>
      <c r="H2724" t="s">
        <v>138</v>
      </c>
      <c r="I2724">
        <v>6.76</v>
      </c>
      <c r="J2724" t="s">
        <v>5650</v>
      </c>
      <c r="K2724" t="s">
        <v>55</v>
      </c>
      <c r="N2724" t="s">
        <v>293</v>
      </c>
      <c r="P2724" t="s">
        <v>950</v>
      </c>
      <c r="Q2724" t="s">
        <v>47</v>
      </c>
      <c r="R2724" t="s">
        <v>55</v>
      </c>
      <c r="S2724">
        <v>0</v>
      </c>
      <c r="W2724" s="3">
        <v>8.9120370370370362E-4</v>
      </c>
      <c r="X2724" t="s">
        <v>5651</v>
      </c>
      <c r="Y2724">
        <v>14</v>
      </c>
      <c r="Z2724">
        <v>0</v>
      </c>
      <c r="AA2724" t="s">
        <v>49</v>
      </c>
      <c r="AB2724">
        <v>0</v>
      </c>
      <c r="AC2724" t="s">
        <v>49</v>
      </c>
      <c r="AD2724">
        <v>0</v>
      </c>
      <c r="AE2724">
        <v>-1</v>
      </c>
      <c r="AF2724" t="s">
        <v>50</v>
      </c>
      <c r="AG2724" t="s">
        <v>5126</v>
      </c>
    </row>
    <row r="2725" spans="1:33" x14ac:dyDescent="0.35">
      <c r="A2725" s="1">
        <v>44823.525694444441</v>
      </c>
      <c r="B2725">
        <v>5780122</v>
      </c>
      <c r="C2725" t="s">
        <v>5652</v>
      </c>
      <c r="D2725" t="s">
        <v>105</v>
      </c>
      <c r="E2725" s="2">
        <v>43622</v>
      </c>
      <c r="F2725" t="str">
        <f>"9783030184537"</f>
        <v>9783030184537</v>
      </c>
      <c r="G2725" t="str">
        <f>"9783030184520"</f>
        <v>9783030184520</v>
      </c>
      <c r="H2725" t="s">
        <v>237</v>
      </c>
      <c r="I2725">
        <v>555.35299999999995</v>
      </c>
      <c r="J2725" t="s">
        <v>5653</v>
      </c>
      <c r="K2725" t="s">
        <v>55</v>
      </c>
      <c r="Q2725" t="s">
        <v>47</v>
      </c>
      <c r="R2725" t="s">
        <v>44</v>
      </c>
      <c r="S2725">
        <v>0</v>
      </c>
      <c r="W2725" s="3">
        <v>5.0925925925925921E-4</v>
      </c>
      <c r="X2725" t="s">
        <v>5654</v>
      </c>
      <c r="Y2725">
        <v>3</v>
      </c>
      <c r="Z2725">
        <v>0</v>
      </c>
      <c r="AA2725" t="s">
        <v>49</v>
      </c>
      <c r="AB2725">
        <v>0</v>
      </c>
      <c r="AC2725" t="s">
        <v>49</v>
      </c>
      <c r="AD2725">
        <v>0</v>
      </c>
      <c r="AE2725">
        <v>-1</v>
      </c>
      <c r="AF2725" t="s">
        <v>50</v>
      </c>
      <c r="AG2725" t="s">
        <v>5655</v>
      </c>
    </row>
    <row r="2726" spans="1:33" x14ac:dyDescent="0.35">
      <c r="A2726" s="1">
        <v>44823.494444444441</v>
      </c>
      <c r="B2726">
        <v>957290</v>
      </c>
      <c r="C2726" t="s">
        <v>4280</v>
      </c>
      <c r="D2726" t="s">
        <v>76</v>
      </c>
      <c r="E2726" s="2">
        <v>40941</v>
      </c>
      <c r="F2726" t="str">
        <f>"9780203127711"</f>
        <v>9780203127711</v>
      </c>
      <c r="G2726" t="str">
        <f>"9780415895347"</f>
        <v>9780415895347</v>
      </c>
      <c r="H2726" t="s">
        <v>1046</v>
      </c>
      <c r="I2726">
        <v>302.23099999999999</v>
      </c>
      <c r="J2726" t="s">
        <v>4281</v>
      </c>
      <c r="K2726" t="s">
        <v>44</v>
      </c>
      <c r="N2726" t="s">
        <v>45</v>
      </c>
      <c r="O2726" t="s">
        <v>46</v>
      </c>
      <c r="P2726" t="s">
        <v>45</v>
      </c>
      <c r="Q2726" t="s">
        <v>47</v>
      </c>
      <c r="R2726" t="s">
        <v>44</v>
      </c>
      <c r="S2726">
        <v>0</v>
      </c>
      <c r="W2726" s="3">
        <v>4.6296296296296294E-5</v>
      </c>
      <c r="X2726" t="s">
        <v>121</v>
      </c>
      <c r="Y2726">
        <v>1</v>
      </c>
      <c r="Z2726">
        <v>0</v>
      </c>
      <c r="AA2726" t="s">
        <v>49</v>
      </c>
      <c r="AB2726">
        <v>0</v>
      </c>
      <c r="AC2726" t="s">
        <v>49</v>
      </c>
      <c r="AD2726">
        <v>0</v>
      </c>
      <c r="AE2726">
        <v>10535074</v>
      </c>
      <c r="AF2726" t="s">
        <v>50</v>
      </c>
      <c r="AG2726" t="s">
        <v>5656</v>
      </c>
    </row>
    <row r="2727" spans="1:33" x14ac:dyDescent="0.35">
      <c r="A2727" s="1">
        <v>44823.494444444441</v>
      </c>
      <c r="B2727">
        <v>957290</v>
      </c>
      <c r="C2727" t="s">
        <v>4280</v>
      </c>
      <c r="D2727" t="s">
        <v>76</v>
      </c>
      <c r="E2727" s="2">
        <v>40941</v>
      </c>
      <c r="F2727" t="str">
        <f>"9780203127711"</f>
        <v>9780203127711</v>
      </c>
      <c r="G2727" t="str">
        <f>"9780415895347"</f>
        <v>9780415895347</v>
      </c>
      <c r="H2727" t="s">
        <v>1046</v>
      </c>
      <c r="I2727">
        <v>302.23099999999999</v>
      </c>
      <c r="J2727" t="s">
        <v>4281</v>
      </c>
      <c r="K2727" t="s">
        <v>44</v>
      </c>
      <c r="N2727" t="s">
        <v>45</v>
      </c>
      <c r="O2727" t="s">
        <v>46</v>
      </c>
      <c r="P2727" t="s">
        <v>45</v>
      </c>
      <c r="Q2727" t="s">
        <v>47</v>
      </c>
      <c r="R2727" t="s">
        <v>44</v>
      </c>
      <c r="S2727">
        <v>0</v>
      </c>
      <c r="W2727" s="3">
        <v>0</v>
      </c>
      <c r="X2727" t="s">
        <v>49</v>
      </c>
      <c r="Y2727">
        <v>0</v>
      </c>
      <c r="Z2727">
        <v>0</v>
      </c>
      <c r="AA2727" t="s">
        <v>49</v>
      </c>
      <c r="AB2727">
        <v>0</v>
      </c>
      <c r="AC2727" t="s">
        <v>49</v>
      </c>
      <c r="AD2727">
        <v>0</v>
      </c>
      <c r="AE2727">
        <v>10535074</v>
      </c>
      <c r="AF2727" t="s">
        <v>50</v>
      </c>
      <c r="AG2727" t="s">
        <v>5656</v>
      </c>
    </row>
    <row r="2728" spans="1:33" x14ac:dyDescent="0.35">
      <c r="A2728" s="1">
        <v>44823.462500000001</v>
      </c>
      <c r="B2728">
        <v>6523012</v>
      </c>
      <c r="C2728" t="s">
        <v>5657</v>
      </c>
      <c r="D2728" t="s">
        <v>59</v>
      </c>
      <c r="E2728" s="2">
        <v>44292</v>
      </c>
      <c r="F2728" t="str">
        <f>"9781119689829"</f>
        <v>9781119689829</v>
      </c>
      <c r="G2728" t="str">
        <f>"9781119689799"</f>
        <v>9781119689799</v>
      </c>
      <c r="H2728" t="s">
        <v>546</v>
      </c>
      <c r="I2728">
        <v>621.31700000000001</v>
      </c>
      <c r="J2728" t="s">
        <v>5658</v>
      </c>
      <c r="K2728" t="s">
        <v>55</v>
      </c>
      <c r="N2728" t="s">
        <v>293</v>
      </c>
      <c r="P2728" t="s">
        <v>80</v>
      </c>
      <c r="Q2728" t="s">
        <v>47</v>
      </c>
      <c r="R2728" t="s">
        <v>44</v>
      </c>
      <c r="S2728">
        <v>4</v>
      </c>
      <c r="T2728">
        <v>90</v>
      </c>
      <c r="U2728" s="1">
        <v>44823.462500000001</v>
      </c>
      <c r="V2728" s="1">
        <v>44913.462500000001</v>
      </c>
      <c r="W2728" s="3">
        <v>0</v>
      </c>
      <c r="X2728" t="s">
        <v>49</v>
      </c>
      <c r="Y2728">
        <v>0</v>
      </c>
      <c r="Z2728">
        <v>1</v>
      </c>
      <c r="AA2728" t="s">
        <v>5659</v>
      </c>
      <c r="AB2728">
        <v>42</v>
      </c>
      <c r="AC2728" t="s">
        <v>49</v>
      </c>
      <c r="AD2728">
        <v>0</v>
      </c>
      <c r="AE2728">
        <v>-1</v>
      </c>
      <c r="AF2728" t="s">
        <v>63</v>
      </c>
      <c r="AG2728" t="s">
        <v>5126</v>
      </c>
    </row>
    <row r="2729" spans="1:33" x14ac:dyDescent="0.35">
      <c r="A2729" s="1">
        <v>44823.461805555555</v>
      </c>
      <c r="B2729">
        <v>957290</v>
      </c>
      <c r="C2729" t="s">
        <v>4280</v>
      </c>
      <c r="D2729" t="s">
        <v>76</v>
      </c>
      <c r="E2729" s="2">
        <v>40941</v>
      </c>
      <c r="F2729" t="str">
        <f>"9780203127711"</f>
        <v>9780203127711</v>
      </c>
      <c r="G2729" t="str">
        <f>"9780415895347"</f>
        <v>9780415895347</v>
      </c>
      <c r="H2729" t="s">
        <v>1046</v>
      </c>
      <c r="I2729">
        <v>302.23099999999999</v>
      </c>
      <c r="J2729" t="s">
        <v>4281</v>
      </c>
      <c r="K2729" t="s">
        <v>44</v>
      </c>
      <c r="N2729" t="s">
        <v>45</v>
      </c>
      <c r="O2729" t="s">
        <v>46</v>
      </c>
      <c r="P2729" t="s">
        <v>45</v>
      </c>
      <c r="Q2729" t="s">
        <v>47</v>
      </c>
      <c r="R2729" t="s">
        <v>44</v>
      </c>
      <c r="S2729">
        <v>0</v>
      </c>
      <c r="W2729" s="3">
        <v>2.2569444444444444E-2</v>
      </c>
      <c r="X2729" t="s">
        <v>5660</v>
      </c>
      <c r="Y2729">
        <v>8</v>
      </c>
      <c r="Z2729">
        <v>0</v>
      </c>
      <c r="AA2729" t="s">
        <v>49</v>
      </c>
      <c r="AB2729">
        <v>0</v>
      </c>
      <c r="AC2729" t="s">
        <v>5661</v>
      </c>
      <c r="AD2729">
        <v>1</v>
      </c>
      <c r="AE2729">
        <v>10535074</v>
      </c>
      <c r="AF2729" t="s">
        <v>50</v>
      </c>
      <c r="AG2729" t="s">
        <v>118</v>
      </c>
    </row>
    <row r="2730" spans="1:33" x14ac:dyDescent="0.35">
      <c r="A2730" s="1">
        <v>44823.340277777781</v>
      </c>
      <c r="B2730">
        <v>957290</v>
      </c>
      <c r="C2730" t="s">
        <v>4280</v>
      </c>
      <c r="D2730" t="s">
        <v>76</v>
      </c>
      <c r="E2730" s="2">
        <v>40941</v>
      </c>
      <c r="F2730" t="str">
        <f>"9780203127711"</f>
        <v>9780203127711</v>
      </c>
      <c r="G2730" t="str">
        <f>"9780415895347"</f>
        <v>9780415895347</v>
      </c>
      <c r="H2730" t="s">
        <v>1046</v>
      </c>
      <c r="I2730">
        <v>302.23099999999999</v>
      </c>
      <c r="J2730" t="s">
        <v>4281</v>
      </c>
      <c r="K2730" t="s">
        <v>44</v>
      </c>
      <c r="N2730" t="s">
        <v>45</v>
      </c>
      <c r="O2730" t="s">
        <v>46</v>
      </c>
      <c r="P2730" t="s">
        <v>45</v>
      </c>
      <c r="Q2730" t="s">
        <v>47</v>
      </c>
      <c r="R2730" t="s">
        <v>44</v>
      </c>
      <c r="S2730">
        <v>0</v>
      </c>
      <c r="W2730" s="3">
        <v>3.4722222222222222E-5</v>
      </c>
      <c r="X2730" t="s">
        <v>196</v>
      </c>
      <c r="Y2730">
        <v>2</v>
      </c>
      <c r="Z2730">
        <v>0</v>
      </c>
      <c r="AA2730" t="s">
        <v>49</v>
      </c>
      <c r="AB2730">
        <v>0</v>
      </c>
      <c r="AC2730" t="s">
        <v>49</v>
      </c>
      <c r="AD2730">
        <v>0</v>
      </c>
      <c r="AE2730">
        <v>10535074</v>
      </c>
      <c r="AF2730" t="s">
        <v>50</v>
      </c>
      <c r="AG2730" t="s">
        <v>4231</v>
      </c>
    </row>
    <row r="2731" spans="1:33" x14ac:dyDescent="0.35">
      <c r="A2731" s="1">
        <v>44823.285416666666</v>
      </c>
      <c r="B2731">
        <v>957290</v>
      </c>
      <c r="C2731" t="s">
        <v>4280</v>
      </c>
      <c r="D2731" t="s">
        <v>76</v>
      </c>
      <c r="E2731" s="2">
        <v>40941</v>
      </c>
      <c r="F2731" t="str">
        <f>"9780203127711"</f>
        <v>9780203127711</v>
      </c>
      <c r="G2731" t="str">
        <f>"9780415895347"</f>
        <v>9780415895347</v>
      </c>
      <c r="H2731" t="s">
        <v>1046</v>
      </c>
      <c r="I2731">
        <v>302.23099999999999</v>
      </c>
      <c r="J2731" t="s">
        <v>4281</v>
      </c>
      <c r="K2731" t="s">
        <v>44</v>
      </c>
      <c r="N2731" t="s">
        <v>45</v>
      </c>
      <c r="O2731" t="s">
        <v>46</v>
      </c>
      <c r="P2731" t="s">
        <v>45</v>
      </c>
      <c r="Q2731" t="s">
        <v>47</v>
      </c>
      <c r="R2731" t="s">
        <v>44</v>
      </c>
      <c r="S2731">
        <v>0</v>
      </c>
      <c r="W2731" s="3">
        <v>8.6805555555555551E-4</v>
      </c>
      <c r="X2731" t="s">
        <v>4940</v>
      </c>
      <c r="Y2731">
        <v>5</v>
      </c>
      <c r="Z2731">
        <v>1</v>
      </c>
      <c r="AA2731" t="s">
        <v>4897</v>
      </c>
      <c r="AB2731">
        <v>20</v>
      </c>
      <c r="AC2731" t="s">
        <v>49</v>
      </c>
      <c r="AD2731">
        <v>0</v>
      </c>
      <c r="AE2731">
        <v>10535074</v>
      </c>
      <c r="AF2731" t="s">
        <v>50</v>
      </c>
      <c r="AG2731" t="s">
        <v>5662</v>
      </c>
    </row>
    <row r="2732" spans="1:33" x14ac:dyDescent="0.35">
      <c r="A2732" s="1">
        <v>44823.045138888891</v>
      </c>
      <c r="B2732">
        <v>1074425</v>
      </c>
      <c r="C2732" t="s">
        <v>5663</v>
      </c>
      <c r="D2732" t="s">
        <v>65</v>
      </c>
      <c r="E2732" s="2">
        <v>41255</v>
      </c>
      <c r="F2732" t="str">
        <f>"9780080877808"</f>
        <v>9780080877808</v>
      </c>
      <c r="G2732" t="str">
        <f>"9780123746269"</f>
        <v>9780123746269</v>
      </c>
      <c r="H2732" t="s">
        <v>77</v>
      </c>
      <c r="I2732" t="s">
        <v>634</v>
      </c>
      <c r="J2732" t="s">
        <v>5664</v>
      </c>
      <c r="K2732" t="s">
        <v>44</v>
      </c>
      <c r="N2732" t="s">
        <v>45</v>
      </c>
      <c r="O2732" t="s">
        <v>46</v>
      </c>
      <c r="P2732" t="s">
        <v>45</v>
      </c>
      <c r="Q2732" t="s">
        <v>47</v>
      </c>
      <c r="R2732" t="s">
        <v>44</v>
      </c>
      <c r="S2732">
        <v>1</v>
      </c>
      <c r="W2732" s="3">
        <v>1.4467592592592594E-3</v>
      </c>
      <c r="X2732" t="s">
        <v>196</v>
      </c>
      <c r="Y2732">
        <v>2</v>
      </c>
      <c r="Z2732">
        <v>0</v>
      </c>
      <c r="AA2732" t="s">
        <v>49</v>
      </c>
      <c r="AB2732">
        <v>0</v>
      </c>
      <c r="AC2732" t="s">
        <v>49</v>
      </c>
      <c r="AD2732">
        <v>0</v>
      </c>
      <c r="AE2732">
        <v>10627998</v>
      </c>
      <c r="AF2732" t="s">
        <v>63</v>
      </c>
      <c r="AG2732" t="s">
        <v>118</v>
      </c>
    </row>
    <row r="2733" spans="1:33" x14ac:dyDescent="0.35">
      <c r="A2733" s="1">
        <v>44823.025000000001</v>
      </c>
      <c r="B2733">
        <v>6523012</v>
      </c>
      <c r="C2733" t="s">
        <v>5657</v>
      </c>
      <c r="D2733" t="s">
        <v>59</v>
      </c>
      <c r="E2733" s="2">
        <v>44292</v>
      </c>
      <c r="F2733" t="str">
        <f>"9781119689829"</f>
        <v>9781119689829</v>
      </c>
      <c r="G2733" t="str">
        <f>"9781119689799"</f>
        <v>9781119689799</v>
      </c>
      <c r="H2733" t="s">
        <v>546</v>
      </c>
      <c r="I2733">
        <v>621.31700000000001</v>
      </c>
      <c r="J2733" t="s">
        <v>5658</v>
      </c>
      <c r="K2733" t="s">
        <v>55</v>
      </c>
      <c r="Q2733" t="s">
        <v>47</v>
      </c>
      <c r="R2733" t="s">
        <v>44</v>
      </c>
      <c r="S2733">
        <v>0</v>
      </c>
      <c r="W2733" s="3">
        <v>5.0925925925925921E-3</v>
      </c>
      <c r="X2733" t="s">
        <v>5665</v>
      </c>
      <c r="Y2733">
        <v>6</v>
      </c>
      <c r="Z2733">
        <v>0</v>
      </c>
      <c r="AA2733" t="s">
        <v>49</v>
      </c>
      <c r="AB2733">
        <v>0</v>
      </c>
      <c r="AC2733" t="s">
        <v>49</v>
      </c>
      <c r="AD2733">
        <v>0</v>
      </c>
      <c r="AE2733">
        <v>-1</v>
      </c>
      <c r="AF2733" t="s">
        <v>63</v>
      </c>
      <c r="AG2733" t="s">
        <v>5126</v>
      </c>
    </row>
    <row r="2734" spans="1:33" x14ac:dyDescent="0.35">
      <c r="A2734" s="1">
        <v>44822.97152777778</v>
      </c>
      <c r="B2734">
        <v>1683103</v>
      </c>
      <c r="C2734" t="s">
        <v>5666</v>
      </c>
      <c r="D2734" t="s">
        <v>76</v>
      </c>
      <c r="E2734" s="2">
        <v>34317</v>
      </c>
      <c r="F2734" t="str">
        <f>"9781482277432"</f>
        <v>9781482277432</v>
      </c>
      <c r="G2734" t="str">
        <f>"9780824789640"</f>
        <v>9780824789640</v>
      </c>
      <c r="H2734" t="s">
        <v>95</v>
      </c>
      <c r="I2734" t="s">
        <v>5667</v>
      </c>
      <c r="J2734" t="s">
        <v>5668</v>
      </c>
      <c r="K2734" t="s">
        <v>55</v>
      </c>
      <c r="N2734" t="s">
        <v>79</v>
      </c>
      <c r="P2734" t="s">
        <v>80</v>
      </c>
      <c r="Q2734" t="s">
        <v>47</v>
      </c>
      <c r="R2734" t="s">
        <v>44</v>
      </c>
      <c r="S2734">
        <v>0</v>
      </c>
      <c r="W2734" s="3">
        <v>0</v>
      </c>
      <c r="X2734" t="s">
        <v>49</v>
      </c>
      <c r="Y2734">
        <v>0</v>
      </c>
      <c r="Z2734">
        <v>2</v>
      </c>
      <c r="AA2734" t="s">
        <v>5669</v>
      </c>
      <c r="AB2734">
        <v>138</v>
      </c>
      <c r="AC2734" t="s">
        <v>49</v>
      </c>
      <c r="AD2734">
        <v>0</v>
      </c>
      <c r="AE2734">
        <v>11007076</v>
      </c>
      <c r="AF2734" t="s">
        <v>50</v>
      </c>
      <c r="AG2734" t="s">
        <v>630</v>
      </c>
    </row>
    <row r="2735" spans="1:33" x14ac:dyDescent="0.35">
      <c r="A2735" s="1">
        <v>44822.969444444447</v>
      </c>
      <c r="B2735">
        <v>6821504</v>
      </c>
      <c r="C2735" t="s">
        <v>1005</v>
      </c>
      <c r="D2735" t="s">
        <v>213</v>
      </c>
      <c r="E2735" s="2">
        <v>44536</v>
      </c>
      <c r="F2735" t="str">
        <f>"9780128210796"</f>
        <v>9780128210796</v>
      </c>
      <c r="G2735" t="str">
        <f>"9780128210789"</f>
        <v>9780128210789</v>
      </c>
      <c r="H2735" t="s">
        <v>1006</v>
      </c>
      <c r="I2735">
        <v>668.9</v>
      </c>
      <c r="J2735" t="s">
        <v>1007</v>
      </c>
      <c r="K2735" t="s">
        <v>55</v>
      </c>
      <c r="N2735" t="s">
        <v>79</v>
      </c>
      <c r="P2735" t="s">
        <v>80</v>
      </c>
      <c r="Q2735" t="s">
        <v>47</v>
      </c>
      <c r="R2735" t="s">
        <v>44</v>
      </c>
      <c r="S2735">
        <v>0</v>
      </c>
      <c r="W2735" s="3">
        <v>0</v>
      </c>
      <c r="X2735" t="s">
        <v>49</v>
      </c>
      <c r="Y2735">
        <v>0</v>
      </c>
      <c r="Z2735">
        <v>2</v>
      </c>
      <c r="AA2735" t="s">
        <v>5670</v>
      </c>
      <c r="AB2735">
        <v>58</v>
      </c>
      <c r="AC2735" t="s">
        <v>49</v>
      </c>
      <c r="AD2735">
        <v>0</v>
      </c>
      <c r="AE2735">
        <v>-1</v>
      </c>
      <c r="AF2735" t="s">
        <v>50</v>
      </c>
      <c r="AG2735" t="s">
        <v>630</v>
      </c>
    </row>
    <row r="2736" spans="1:33" x14ac:dyDescent="0.35">
      <c r="A2736" s="1">
        <v>44822.880555555559</v>
      </c>
      <c r="B2736">
        <v>254060</v>
      </c>
      <c r="C2736" t="s">
        <v>5671</v>
      </c>
      <c r="D2736" t="s">
        <v>59</v>
      </c>
      <c r="E2736" s="2">
        <v>38810</v>
      </c>
      <c r="F2736" t="str">
        <f>"9780470043639"</f>
        <v>9780470043639</v>
      </c>
      <c r="G2736" t="str">
        <f>"9780471751410"</f>
        <v>9780471751410</v>
      </c>
      <c r="H2736" t="s">
        <v>43</v>
      </c>
      <c r="I2736">
        <v>519.20000000000005</v>
      </c>
      <c r="J2736" t="s">
        <v>5672</v>
      </c>
      <c r="K2736" t="s">
        <v>55</v>
      </c>
      <c r="P2736" t="s">
        <v>97</v>
      </c>
      <c r="Q2736" t="s">
        <v>47</v>
      </c>
      <c r="R2736" t="s">
        <v>44</v>
      </c>
      <c r="S2736">
        <v>0</v>
      </c>
      <c r="W2736" s="3">
        <v>2.4305555555555552E-4</v>
      </c>
      <c r="X2736" t="s">
        <v>5639</v>
      </c>
      <c r="Y2736">
        <v>6</v>
      </c>
      <c r="Z2736">
        <v>0</v>
      </c>
      <c r="AA2736" t="s">
        <v>49</v>
      </c>
      <c r="AB2736">
        <v>0</v>
      </c>
      <c r="AC2736" t="s">
        <v>49</v>
      </c>
      <c r="AD2736">
        <v>0</v>
      </c>
      <c r="AE2736">
        <v>10295651</v>
      </c>
      <c r="AF2736" t="s">
        <v>50</v>
      </c>
      <c r="AG2736" t="s">
        <v>118</v>
      </c>
    </row>
    <row r="2737" spans="1:33" x14ac:dyDescent="0.35">
      <c r="A2737" s="1">
        <v>44822.84652777778</v>
      </c>
      <c r="B2737">
        <v>957290</v>
      </c>
      <c r="C2737" t="s">
        <v>4280</v>
      </c>
      <c r="D2737" t="s">
        <v>76</v>
      </c>
      <c r="E2737" s="2">
        <v>40941</v>
      </c>
      <c r="F2737" t="str">
        <f>"9780203127711"</f>
        <v>9780203127711</v>
      </c>
      <c r="G2737" t="str">
        <f>"9780415895347"</f>
        <v>9780415895347</v>
      </c>
      <c r="H2737" t="s">
        <v>1046</v>
      </c>
      <c r="I2737">
        <v>302.23099999999999</v>
      </c>
      <c r="J2737" t="s">
        <v>4281</v>
      </c>
      <c r="K2737" t="s">
        <v>44</v>
      </c>
      <c r="N2737" t="s">
        <v>45</v>
      </c>
      <c r="O2737" t="s">
        <v>46</v>
      </c>
      <c r="P2737" t="s">
        <v>45</v>
      </c>
      <c r="Q2737" t="s">
        <v>47</v>
      </c>
      <c r="R2737" t="s">
        <v>44</v>
      </c>
      <c r="S2737">
        <v>0</v>
      </c>
      <c r="W2737" s="3">
        <v>3.8194444444444446E-4</v>
      </c>
      <c r="X2737" t="s">
        <v>5673</v>
      </c>
      <c r="Y2737">
        <v>6</v>
      </c>
      <c r="Z2737">
        <v>0</v>
      </c>
      <c r="AA2737" t="s">
        <v>49</v>
      </c>
      <c r="AB2737">
        <v>0</v>
      </c>
      <c r="AC2737" t="s">
        <v>49</v>
      </c>
      <c r="AD2737">
        <v>0</v>
      </c>
      <c r="AE2737">
        <v>10535074</v>
      </c>
      <c r="AF2737" t="s">
        <v>50</v>
      </c>
      <c r="AG2737" t="s">
        <v>1355</v>
      </c>
    </row>
    <row r="2738" spans="1:33" x14ac:dyDescent="0.35">
      <c r="A2738" s="1">
        <v>44822.833333333336</v>
      </c>
      <c r="B2738">
        <v>1683103</v>
      </c>
      <c r="C2738" t="s">
        <v>5666</v>
      </c>
      <c r="D2738" t="s">
        <v>76</v>
      </c>
      <c r="E2738" s="2">
        <v>34317</v>
      </c>
      <c r="F2738" t="str">
        <f>"9781482277432"</f>
        <v>9781482277432</v>
      </c>
      <c r="G2738" t="str">
        <f>"9780824789640"</f>
        <v>9780824789640</v>
      </c>
      <c r="H2738" t="s">
        <v>95</v>
      </c>
      <c r="I2738" t="s">
        <v>5667</v>
      </c>
      <c r="J2738" t="s">
        <v>5668</v>
      </c>
      <c r="K2738" t="s">
        <v>55</v>
      </c>
      <c r="N2738" t="s">
        <v>79</v>
      </c>
      <c r="P2738" t="s">
        <v>80</v>
      </c>
      <c r="Q2738" t="s">
        <v>47</v>
      </c>
      <c r="R2738" t="s">
        <v>44</v>
      </c>
      <c r="S2738">
        <v>0</v>
      </c>
      <c r="W2738" s="3">
        <v>0</v>
      </c>
      <c r="X2738" t="s">
        <v>49</v>
      </c>
      <c r="Y2738">
        <v>0</v>
      </c>
      <c r="Z2738">
        <v>2</v>
      </c>
      <c r="AA2738" t="s">
        <v>5674</v>
      </c>
      <c r="AB2738">
        <v>144</v>
      </c>
      <c r="AC2738" t="s">
        <v>49</v>
      </c>
      <c r="AD2738">
        <v>0</v>
      </c>
      <c r="AE2738">
        <v>11007076</v>
      </c>
      <c r="AF2738" t="s">
        <v>50</v>
      </c>
      <c r="AG2738" t="s">
        <v>630</v>
      </c>
    </row>
    <row r="2739" spans="1:33" x14ac:dyDescent="0.35">
      <c r="A2739" s="1">
        <v>44822.825694444444</v>
      </c>
      <c r="B2739">
        <v>6821504</v>
      </c>
      <c r="C2739" t="s">
        <v>1005</v>
      </c>
      <c r="D2739" t="s">
        <v>213</v>
      </c>
      <c r="E2739" s="2">
        <v>44536</v>
      </c>
      <c r="F2739" t="str">
        <f>"9780128210796"</f>
        <v>9780128210796</v>
      </c>
      <c r="G2739" t="str">
        <f>"9780128210789"</f>
        <v>9780128210789</v>
      </c>
      <c r="H2739" t="s">
        <v>1006</v>
      </c>
      <c r="I2739">
        <v>668.9</v>
      </c>
      <c r="J2739" t="s">
        <v>1007</v>
      </c>
      <c r="K2739" t="s">
        <v>55</v>
      </c>
      <c r="N2739" t="s">
        <v>79</v>
      </c>
      <c r="P2739" t="s">
        <v>80</v>
      </c>
      <c r="Q2739" t="s">
        <v>47</v>
      </c>
      <c r="R2739" t="s">
        <v>44</v>
      </c>
      <c r="S2739">
        <v>0</v>
      </c>
      <c r="W2739" s="3">
        <v>1.4583333333333334E-3</v>
      </c>
      <c r="X2739" t="s">
        <v>5675</v>
      </c>
      <c r="Y2739">
        <v>24</v>
      </c>
      <c r="Z2739">
        <v>3</v>
      </c>
      <c r="AA2739" t="s">
        <v>5676</v>
      </c>
      <c r="AB2739">
        <v>63</v>
      </c>
      <c r="AC2739" t="s">
        <v>49</v>
      </c>
      <c r="AD2739">
        <v>0</v>
      </c>
      <c r="AE2739">
        <v>-1</v>
      </c>
      <c r="AF2739" t="s">
        <v>50</v>
      </c>
      <c r="AG2739" t="s">
        <v>630</v>
      </c>
    </row>
    <row r="2740" spans="1:33" x14ac:dyDescent="0.35">
      <c r="A2740" s="1">
        <v>44822.784722222219</v>
      </c>
      <c r="B2740">
        <v>835145</v>
      </c>
      <c r="C2740" t="s">
        <v>1706</v>
      </c>
      <c r="D2740" t="s">
        <v>59</v>
      </c>
      <c r="E2740" s="2">
        <v>40952</v>
      </c>
      <c r="F2740" t="str">
        <f>"9781119977001"</f>
        <v>9781119977001</v>
      </c>
      <c r="G2740" t="str">
        <f>"9781119992851"</f>
        <v>9781119992851</v>
      </c>
      <c r="H2740" t="s">
        <v>542</v>
      </c>
      <c r="I2740">
        <v>621.31244000000004</v>
      </c>
      <c r="J2740" t="s">
        <v>1707</v>
      </c>
      <c r="K2740" t="s">
        <v>44</v>
      </c>
      <c r="N2740" t="s">
        <v>45</v>
      </c>
      <c r="O2740" t="s">
        <v>46</v>
      </c>
      <c r="P2740" t="s">
        <v>45</v>
      </c>
      <c r="Q2740" t="s">
        <v>47</v>
      </c>
      <c r="R2740" t="s">
        <v>44</v>
      </c>
      <c r="S2740">
        <v>0</v>
      </c>
      <c r="W2740" s="3">
        <v>1.3888888888888889E-4</v>
      </c>
      <c r="X2740" t="s">
        <v>577</v>
      </c>
      <c r="Y2740">
        <v>2</v>
      </c>
      <c r="Z2740">
        <v>0</v>
      </c>
      <c r="AA2740" t="s">
        <v>49</v>
      </c>
      <c r="AB2740">
        <v>0</v>
      </c>
      <c r="AC2740" t="s">
        <v>49</v>
      </c>
      <c r="AD2740">
        <v>0</v>
      </c>
      <c r="AE2740">
        <v>10526535</v>
      </c>
      <c r="AF2740" t="s">
        <v>50</v>
      </c>
      <c r="AG2740" t="s">
        <v>1355</v>
      </c>
    </row>
    <row r="2741" spans="1:33" x14ac:dyDescent="0.35">
      <c r="A2741" s="1">
        <v>44822.553472222222</v>
      </c>
      <c r="B2741">
        <v>1581757</v>
      </c>
      <c r="C2741" t="s">
        <v>5677</v>
      </c>
      <c r="D2741" t="s">
        <v>76</v>
      </c>
      <c r="E2741" s="2">
        <v>37371</v>
      </c>
      <c r="F2741" t="str">
        <f>"9781136849077"</f>
        <v>9781136849077</v>
      </c>
      <c r="G2741" t="str">
        <f>"9780700714131"</f>
        <v>9780700714131</v>
      </c>
      <c r="H2741" t="s">
        <v>1046</v>
      </c>
      <c r="I2741">
        <v>398.09535699999998</v>
      </c>
      <c r="J2741" t="s">
        <v>5678</v>
      </c>
      <c r="K2741" t="s">
        <v>44</v>
      </c>
      <c r="N2741" t="s">
        <v>45</v>
      </c>
      <c r="O2741" t="s">
        <v>46</v>
      </c>
      <c r="P2741" t="s">
        <v>45</v>
      </c>
      <c r="Q2741" t="s">
        <v>47</v>
      </c>
      <c r="R2741" t="s">
        <v>44</v>
      </c>
      <c r="S2741">
        <v>0</v>
      </c>
      <c r="W2741" s="3">
        <v>2.1990740740740742E-3</v>
      </c>
      <c r="X2741" t="s">
        <v>5679</v>
      </c>
      <c r="Y2741">
        <v>13</v>
      </c>
      <c r="Z2741">
        <v>0</v>
      </c>
      <c r="AA2741" t="s">
        <v>49</v>
      </c>
      <c r="AB2741">
        <v>0</v>
      </c>
      <c r="AC2741" t="s">
        <v>49</v>
      </c>
      <c r="AD2741">
        <v>0</v>
      </c>
      <c r="AE2741">
        <v>10823842</v>
      </c>
      <c r="AF2741" t="s">
        <v>50</v>
      </c>
      <c r="AG2741" t="s">
        <v>118</v>
      </c>
    </row>
    <row r="2742" spans="1:33" x14ac:dyDescent="0.35">
      <c r="A2742" s="1">
        <v>44822.551388888889</v>
      </c>
      <c r="B2742">
        <v>923697</v>
      </c>
      <c r="C2742" t="s">
        <v>5680</v>
      </c>
      <c r="D2742" t="s">
        <v>5681</v>
      </c>
      <c r="E2742" s="2">
        <v>41054</v>
      </c>
      <c r="F2742" t="str">
        <f>"9788323384885"</f>
        <v>9788323384885</v>
      </c>
      <c r="G2742" t="str">
        <f>"9788323332695"</f>
        <v>9788323332695</v>
      </c>
      <c r="H2742" t="s">
        <v>1069</v>
      </c>
      <c r="J2742" t="s">
        <v>5682</v>
      </c>
      <c r="K2742" t="s">
        <v>44</v>
      </c>
      <c r="N2742" t="s">
        <v>45</v>
      </c>
      <c r="O2742" t="s">
        <v>46</v>
      </c>
      <c r="P2742" t="s">
        <v>45</v>
      </c>
      <c r="Q2742" t="s">
        <v>47</v>
      </c>
      <c r="R2742" t="s">
        <v>44</v>
      </c>
      <c r="S2742">
        <v>0</v>
      </c>
      <c r="W2742" s="3">
        <v>1.5624999999999999E-3</v>
      </c>
      <c r="X2742" t="s">
        <v>5683</v>
      </c>
      <c r="Y2742">
        <v>5</v>
      </c>
      <c r="Z2742">
        <v>0</v>
      </c>
      <c r="AA2742" t="s">
        <v>49</v>
      </c>
      <c r="AB2742">
        <v>0</v>
      </c>
      <c r="AC2742" t="s">
        <v>49</v>
      </c>
      <c r="AD2742">
        <v>0</v>
      </c>
      <c r="AE2742">
        <v>10596989</v>
      </c>
      <c r="AF2742" t="s">
        <v>50</v>
      </c>
      <c r="AG2742" t="s">
        <v>118</v>
      </c>
    </row>
    <row r="2743" spans="1:33" x14ac:dyDescent="0.35">
      <c r="A2743" s="1">
        <v>44822.550694444442</v>
      </c>
      <c r="B2743">
        <v>5710420</v>
      </c>
      <c r="C2743" t="s">
        <v>5684</v>
      </c>
      <c r="D2743" t="s">
        <v>5685</v>
      </c>
      <c r="E2743" s="2">
        <v>43497</v>
      </c>
      <c r="F2743" t="str">
        <f>"9781484397305"</f>
        <v>9781484397305</v>
      </c>
      <c r="G2743" t="str">
        <f>"9781484397251"</f>
        <v>9781484397251</v>
      </c>
      <c r="H2743" t="s">
        <v>900</v>
      </c>
      <c r="I2743">
        <v>330.95350000000002</v>
      </c>
      <c r="J2743" t="s">
        <v>5686</v>
      </c>
      <c r="K2743" t="s">
        <v>55</v>
      </c>
      <c r="Q2743" t="s">
        <v>47</v>
      </c>
      <c r="R2743" t="s">
        <v>44</v>
      </c>
      <c r="S2743">
        <v>0</v>
      </c>
      <c r="W2743" s="3">
        <v>7.7546296296296304E-4</v>
      </c>
      <c r="X2743" t="s">
        <v>5687</v>
      </c>
      <c r="Y2743">
        <v>8</v>
      </c>
      <c r="Z2743">
        <v>0</v>
      </c>
      <c r="AA2743" t="s">
        <v>49</v>
      </c>
      <c r="AB2743">
        <v>0</v>
      </c>
      <c r="AC2743" t="s">
        <v>49</v>
      </c>
      <c r="AD2743">
        <v>0</v>
      </c>
      <c r="AE2743">
        <v>-1</v>
      </c>
      <c r="AF2743" t="s">
        <v>50</v>
      </c>
      <c r="AG2743" t="s">
        <v>118</v>
      </c>
    </row>
    <row r="2744" spans="1:33" x14ac:dyDescent="0.35">
      <c r="A2744" s="1">
        <v>44822.546527777777</v>
      </c>
      <c r="B2744">
        <v>5778708</v>
      </c>
      <c r="C2744" t="s">
        <v>5688</v>
      </c>
      <c r="D2744" t="s">
        <v>5689</v>
      </c>
      <c r="E2744" s="2">
        <v>43448</v>
      </c>
      <c r="F2744" t="str">
        <f>"9781788211857"</f>
        <v>9781788211857</v>
      </c>
      <c r="G2744" t="str">
        <f>"9781788210003"</f>
        <v>9781788210003</v>
      </c>
      <c r="H2744" t="s">
        <v>900</v>
      </c>
      <c r="I2744">
        <v>330.95359999999999</v>
      </c>
      <c r="J2744" t="s">
        <v>5690</v>
      </c>
      <c r="K2744" t="s">
        <v>55</v>
      </c>
      <c r="Q2744" t="s">
        <v>47</v>
      </c>
      <c r="R2744" t="s">
        <v>44</v>
      </c>
      <c r="S2744">
        <v>0</v>
      </c>
      <c r="W2744" s="3">
        <v>2.2916666666666667E-3</v>
      </c>
      <c r="X2744" t="s">
        <v>5691</v>
      </c>
      <c r="Y2744">
        <v>20</v>
      </c>
      <c r="Z2744">
        <v>0</v>
      </c>
      <c r="AA2744" t="s">
        <v>49</v>
      </c>
      <c r="AB2744">
        <v>0</v>
      </c>
      <c r="AC2744" t="s">
        <v>49</v>
      </c>
      <c r="AD2744">
        <v>0</v>
      </c>
      <c r="AE2744">
        <v>-1</v>
      </c>
      <c r="AF2744" t="s">
        <v>50</v>
      </c>
      <c r="AG2744" t="s">
        <v>118</v>
      </c>
    </row>
    <row r="2745" spans="1:33" x14ac:dyDescent="0.35">
      <c r="A2745" s="1">
        <v>44822.543055555558</v>
      </c>
      <c r="B2745">
        <v>5842474</v>
      </c>
      <c r="C2745" t="s">
        <v>5692</v>
      </c>
      <c r="D2745" t="s">
        <v>473</v>
      </c>
      <c r="E2745" s="2">
        <v>43636</v>
      </c>
      <c r="F2745" t="str">
        <f>"9789004408265"</f>
        <v>9789004408265</v>
      </c>
      <c r="G2745" t="str">
        <f>"9789004408258"</f>
        <v>9789004408258</v>
      </c>
      <c r="H2745" t="s">
        <v>419</v>
      </c>
      <c r="K2745" t="s">
        <v>44</v>
      </c>
      <c r="N2745" t="s">
        <v>45</v>
      </c>
      <c r="O2745" t="s">
        <v>46</v>
      </c>
      <c r="P2745" t="s">
        <v>45</v>
      </c>
      <c r="Q2745" t="s">
        <v>47</v>
      </c>
      <c r="R2745" t="s">
        <v>44</v>
      </c>
      <c r="S2745">
        <v>0</v>
      </c>
      <c r="W2745" s="3">
        <v>2.1180555555555553E-3</v>
      </c>
      <c r="X2745" t="s">
        <v>5693</v>
      </c>
      <c r="Y2745">
        <v>11</v>
      </c>
      <c r="Z2745">
        <v>0</v>
      </c>
      <c r="AA2745" t="s">
        <v>49</v>
      </c>
      <c r="AB2745">
        <v>0</v>
      </c>
      <c r="AC2745" t="s">
        <v>49</v>
      </c>
      <c r="AD2745">
        <v>0</v>
      </c>
      <c r="AE2745">
        <v>-1</v>
      </c>
      <c r="AF2745" t="s">
        <v>50</v>
      </c>
      <c r="AG2745" t="s">
        <v>118</v>
      </c>
    </row>
    <row r="2746" spans="1:33" x14ac:dyDescent="0.35">
      <c r="A2746" s="1">
        <v>44822.413194444445</v>
      </c>
      <c r="B2746">
        <v>6523012</v>
      </c>
      <c r="C2746" t="s">
        <v>5657</v>
      </c>
      <c r="D2746" t="s">
        <v>59</v>
      </c>
      <c r="E2746" s="2">
        <v>44292</v>
      </c>
      <c r="F2746" t="str">
        <f>"9781119689829"</f>
        <v>9781119689829</v>
      </c>
      <c r="G2746" t="str">
        <f>"9781119689799"</f>
        <v>9781119689799</v>
      </c>
      <c r="H2746" t="s">
        <v>546</v>
      </c>
      <c r="I2746">
        <v>621.31700000000001</v>
      </c>
      <c r="J2746" t="s">
        <v>5658</v>
      </c>
      <c r="K2746" t="s">
        <v>55</v>
      </c>
      <c r="Q2746" t="s">
        <v>47</v>
      </c>
      <c r="R2746" t="s">
        <v>44</v>
      </c>
      <c r="S2746">
        <v>0</v>
      </c>
      <c r="W2746" s="3">
        <v>1.8981481481481482E-3</v>
      </c>
      <c r="X2746" t="s">
        <v>5694</v>
      </c>
      <c r="Y2746">
        <v>34</v>
      </c>
      <c r="Z2746">
        <v>0</v>
      </c>
      <c r="AA2746" t="s">
        <v>49</v>
      </c>
      <c r="AB2746">
        <v>0</v>
      </c>
      <c r="AC2746" t="s">
        <v>49</v>
      </c>
      <c r="AD2746">
        <v>0</v>
      </c>
      <c r="AE2746">
        <v>-1</v>
      </c>
      <c r="AF2746" t="s">
        <v>63</v>
      </c>
      <c r="AG2746" t="s">
        <v>5126</v>
      </c>
    </row>
    <row r="2747" spans="1:33" x14ac:dyDescent="0.35">
      <c r="A2747" s="1">
        <v>44821.838194444441</v>
      </c>
      <c r="B2747">
        <v>957290</v>
      </c>
      <c r="C2747" t="s">
        <v>4280</v>
      </c>
      <c r="D2747" t="s">
        <v>76</v>
      </c>
      <c r="E2747" s="2">
        <v>40941</v>
      </c>
      <c r="F2747" t="str">
        <f>"9780203127711"</f>
        <v>9780203127711</v>
      </c>
      <c r="G2747" t="str">
        <f>"9780415895347"</f>
        <v>9780415895347</v>
      </c>
      <c r="H2747" t="s">
        <v>1046</v>
      </c>
      <c r="I2747">
        <v>302.23099999999999</v>
      </c>
      <c r="J2747" t="s">
        <v>4281</v>
      </c>
      <c r="K2747" t="s">
        <v>44</v>
      </c>
      <c r="N2747" t="s">
        <v>45</v>
      </c>
      <c r="O2747" t="s">
        <v>46</v>
      </c>
      <c r="P2747" t="s">
        <v>45</v>
      </c>
      <c r="Q2747" t="s">
        <v>47</v>
      </c>
      <c r="R2747" t="s">
        <v>44</v>
      </c>
      <c r="S2747">
        <v>0</v>
      </c>
      <c r="W2747" s="3">
        <v>6.9444444444444444E-5</v>
      </c>
      <c r="X2747" t="s">
        <v>196</v>
      </c>
      <c r="Y2747">
        <v>2</v>
      </c>
      <c r="Z2747">
        <v>0</v>
      </c>
      <c r="AA2747" t="s">
        <v>49</v>
      </c>
      <c r="AB2747">
        <v>0</v>
      </c>
      <c r="AC2747" t="s">
        <v>49</v>
      </c>
      <c r="AD2747">
        <v>0</v>
      </c>
      <c r="AE2747">
        <v>10535074</v>
      </c>
      <c r="AF2747" t="s">
        <v>50</v>
      </c>
      <c r="AG2747" t="s">
        <v>264</v>
      </c>
    </row>
    <row r="2748" spans="1:33" x14ac:dyDescent="0.35">
      <c r="A2748" s="1">
        <v>44821.629861111112</v>
      </c>
      <c r="B2748">
        <v>1977749</v>
      </c>
      <c r="C2748" t="s">
        <v>5695</v>
      </c>
      <c r="D2748" t="s">
        <v>213</v>
      </c>
      <c r="E2748" s="2">
        <v>42067</v>
      </c>
      <c r="F2748" t="str">
        <f>"9780444627278"</f>
        <v>9780444627278</v>
      </c>
      <c r="G2748" t="str">
        <f>"9780444627223"</f>
        <v>9780444627223</v>
      </c>
      <c r="H2748" t="s">
        <v>100</v>
      </c>
      <c r="I2748">
        <v>620.11222999999995</v>
      </c>
      <c r="J2748" t="s">
        <v>5696</v>
      </c>
      <c r="K2748" t="s">
        <v>44</v>
      </c>
      <c r="N2748" t="s">
        <v>45</v>
      </c>
      <c r="O2748" t="s">
        <v>46</v>
      </c>
      <c r="P2748" t="s">
        <v>45</v>
      </c>
      <c r="Q2748" t="s">
        <v>47</v>
      </c>
      <c r="R2748" t="s">
        <v>44</v>
      </c>
      <c r="S2748">
        <v>0</v>
      </c>
      <c r="W2748" s="3">
        <v>1.9097222222222222E-3</v>
      </c>
      <c r="X2748" t="s">
        <v>5697</v>
      </c>
      <c r="Y2748">
        <v>12</v>
      </c>
      <c r="Z2748">
        <v>0</v>
      </c>
      <c r="AA2748" t="s">
        <v>49</v>
      </c>
      <c r="AB2748">
        <v>0</v>
      </c>
      <c r="AC2748" t="s">
        <v>49</v>
      </c>
      <c r="AD2748">
        <v>0</v>
      </c>
      <c r="AE2748">
        <v>11025913</v>
      </c>
      <c r="AF2748" t="s">
        <v>50</v>
      </c>
      <c r="AG2748" t="s">
        <v>5698</v>
      </c>
    </row>
    <row r="2749" spans="1:33" x14ac:dyDescent="0.35">
      <c r="A2749" s="1">
        <v>44821.611805555556</v>
      </c>
      <c r="B2749">
        <v>957290</v>
      </c>
      <c r="C2749" t="s">
        <v>4280</v>
      </c>
      <c r="D2749" t="s">
        <v>76</v>
      </c>
      <c r="E2749" s="2">
        <v>40941</v>
      </c>
      <c r="F2749" t="str">
        <f>"9780203127711"</f>
        <v>9780203127711</v>
      </c>
      <c r="G2749" t="str">
        <f>"9780415895347"</f>
        <v>9780415895347</v>
      </c>
      <c r="H2749" t="s">
        <v>1046</v>
      </c>
      <c r="I2749">
        <v>302.23099999999999</v>
      </c>
      <c r="J2749" t="s">
        <v>4281</v>
      </c>
      <c r="K2749" t="s">
        <v>44</v>
      </c>
      <c r="N2749" t="s">
        <v>45</v>
      </c>
      <c r="O2749" t="s">
        <v>46</v>
      </c>
      <c r="P2749" t="s">
        <v>45</v>
      </c>
      <c r="Q2749" t="s">
        <v>47</v>
      </c>
      <c r="R2749" t="s">
        <v>44</v>
      </c>
      <c r="S2749">
        <v>0</v>
      </c>
      <c r="W2749" s="3">
        <v>8.1018518518518516E-5</v>
      </c>
      <c r="X2749" t="s">
        <v>196</v>
      </c>
      <c r="Y2749">
        <v>2</v>
      </c>
      <c r="Z2749">
        <v>0</v>
      </c>
      <c r="AA2749" t="s">
        <v>49</v>
      </c>
      <c r="AB2749">
        <v>0</v>
      </c>
      <c r="AC2749" t="s">
        <v>49</v>
      </c>
      <c r="AD2749">
        <v>0</v>
      </c>
      <c r="AE2749">
        <v>10535074</v>
      </c>
      <c r="AF2749" t="s">
        <v>50</v>
      </c>
      <c r="AG2749" t="s">
        <v>1355</v>
      </c>
    </row>
    <row r="2750" spans="1:33" x14ac:dyDescent="0.35">
      <c r="A2750" s="1">
        <v>44821.581944444442</v>
      </c>
      <c r="B2750">
        <v>4183127</v>
      </c>
      <c r="C2750" t="s">
        <v>190</v>
      </c>
      <c r="D2750" t="s">
        <v>59</v>
      </c>
      <c r="E2750" s="2">
        <v>42310</v>
      </c>
      <c r="F2750" t="str">
        <f>"9783527684649"</f>
        <v>9783527684649</v>
      </c>
      <c r="G2750" t="str">
        <f>"9783527331659"</f>
        <v>9783527331659</v>
      </c>
      <c r="H2750" t="s">
        <v>191</v>
      </c>
      <c r="I2750" t="s">
        <v>192</v>
      </c>
      <c r="J2750" t="s">
        <v>193</v>
      </c>
      <c r="K2750" t="s">
        <v>44</v>
      </c>
      <c r="N2750" t="s">
        <v>45</v>
      </c>
      <c r="O2750" t="s">
        <v>46</v>
      </c>
      <c r="P2750" t="s">
        <v>45</v>
      </c>
      <c r="Q2750" t="s">
        <v>47</v>
      </c>
      <c r="R2750" t="s">
        <v>44</v>
      </c>
      <c r="S2750">
        <v>0</v>
      </c>
      <c r="W2750" s="3">
        <v>5.1631944444444446E-2</v>
      </c>
      <c r="X2750" t="s">
        <v>5699</v>
      </c>
      <c r="Y2750">
        <v>13</v>
      </c>
      <c r="Z2750">
        <v>0</v>
      </c>
      <c r="AA2750" t="s">
        <v>49</v>
      </c>
      <c r="AB2750">
        <v>0</v>
      </c>
      <c r="AC2750" t="s">
        <v>49</v>
      </c>
      <c r="AD2750">
        <v>0</v>
      </c>
      <c r="AE2750">
        <v>11125579</v>
      </c>
      <c r="AF2750" t="s">
        <v>50</v>
      </c>
      <c r="AG2750" t="s">
        <v>5700</v>
      </c>
    </row>
    <row r="2751" spans="1:33" x14ac:dyDescent="0.35">
      <c r="A2751" s="1">
        <v>44821.550694444442</v>
      </c>
      <c r="B2751">
        <v>454386</v>
      </c>
      <c r="C2751" t="s">
        <v>2339</v>
      </c>
      <c r="D2751" t="s">
        <v>59</v>
      </c>
      <c r="E2751" s="2">
        <v>40014</v>
      </c>
      <c r="F2751" t="str">
        <f>"9781444316377"</f>
        <v>9781444316377</v>
      </c>
      <c r="G2751" t="str">
        <f>"9781405194181"</f>
        <v>9781405194181</v>
      </c>
      <c r="H2751" t="s">
        <v>1945</v>
      </c>
      <c r="I2751">
        <v>624.20000000000005</v>
      </c>
      <c r="J2751" t="s">
        <v>2340</v>
      </c>
      <c r="K2751" t="s">
        <v>44</v>
      </c>
      <c r="N2751" t="s">
        <v>45</v>
      </c>
      <c r="O2751" t="s">
        <v>46</v>
      </c>
      <c r="P2751" t="s">
        <v>45</v>
      </c>
      <c r="Q2751" t="s">
        <v>47</v>
      </c>
      <c r="R2751" t="s">
        <v>44</v>
      </c>
      <c r="S2751">
        <v>1</v>
      </c>
      <c r="W2751" s="3">
        <v>4.0856481481481481E-3</v>
      </c>
      <c r="X2751" t="s">
        <v>5701</v>
      </c>
      <c r="Y2751">
        <v>26</v>
      </c>
      <c r="Z2751">
        <v>0</v>
      </c>
      <c r="AA2751" t="s">
        <v>49</v>
      </c>
      <c r="AB2751">
        <v>0</v>
      </c>
      <c r="AC2751" t="s">
        <v>49</v>
      </c>
      <c r="AD2751">
        <v>0</v>
      </c>
      <c r="AE2751">
        <v>10315619</v>
      </c>
      <c r="AF2751" t="s">
        <v>63</v>
      </c>
      <c r="AG2751" t="s">
        <v>82</v>
      </c>
    </row>
    <row r="2752" spans="1:33" x14ac:dyDescent="0.35">
      <c r="A2752" s="1">
        <v>44820.561111111114</v>
      </c>
      <c r="B2752">
        <v>957290</v>
      </c>
      <c r="C2752" t="s">
        <v>4280</v>
      </c>
      <c r="D2752" t="s">
        <v>76</v>
      </c>
      <c r="E2752" s="2">
        <v>40941</v>
      </c>
      <c r="F2752" t="str">
        <f>"9780203127711"</f>
        <v>9780203127711</v>
      </c>
      <c r="G2752" t="str">
        <f>"9780415895347"</f>
        <v>9780415895347</v>
      </c>
      <c r="H2752" t="s">
        <v>1046</v>
      </c>
      <c r="I2752">
        <v>302.23099999999999</v>
      </c>
      <c r="J2752" t="s">
        <v>4281</v>
      </c>
      <c r="K2752" t="s">
        <v>44</v>
      </c>
      <c r="N2752" t="s">
        <v>45</v>
      </c>
      <c r="O2752" t="s">
        <v>46</v>
      </c>
      <c r="P2752" t="s">
        <v>45</v>
      </c>
      <c r="Q2752" t="s">
        <v>47</v>
      </c>
      <c r="R2752" t="s">
        <v>44</v>
      </c>
      <c r="S2752">
        <v>0</v>
      </c>
      <c r="W2752" s="3">
        <v>8.1018518518518516E-5</v>
      </c>
      <c r="X2752" t="s">
        <v>196</v>
      </c>
      <c r="Y2752">
        <v>2</v>
      </c>
      <c r="Z2752">
        <v>0</v>
      </c>
      <c r="AA2752" t="s">
        <v>49</v>
      </c>
      <c r="AB2752">
        <v>0</v>
      </c>
      <c r="AC2752" t="s">
        <v>49</v>
      </c>
      <c r="AD2752">
        <v>0</v>
      </c>
      <c r="AE2752">
        <v>10535074</v>
      </c>
      <c r="AF2752" t="s">
        <v>50</v>
      </c>
      <c r="AG2752" t="s">
        <v>118</v>
      </c>
    </row>
    <row r="2753" spans="1:33" x14ac:dyDescent="0.35">
      <c r="A2753" s="1">
        <v>44820.400694444441</v>
      </c>
      <c r="B2753">
        <v>6260933</v>
      </c>
      <c r="C2753" t="s">
        <v>5702</v>
      </c>
      <c r="D2753" t="s">
        <v>125</v>
      </c>
      <c r="E2753" s="2">
        <v>44048</v>
      </c>
      <c r="F2753" t="str">
        <f>"9780190646837"</f>
        <v>9780190646837</v>
      </c>
      <c r="G2753" t="str">
        <f>"9780190646813"</f>
        <v>9780190646813</v>
      </c>
      <c r="H2753" t="s">
        <v>4969</v>
      </c>
      <c r="I2753">
        <v>808.06650000000002</v>
      </c>
      <c r="J2753" t="s">
        <v>5703</v>
      </c>
      <c r="K2753" t="s">
        <v>55</v>
      </c>
      <c r="N2753" t="s">
        <v>293</v>
      </c>
      <c r="P2753" t="s">
        <v>80</v>
      </c>
      <c r="Q2753" t="s">
        <v>47</v>
      </c>
      <c r="R2753" t="s">
        <v>44</v>
      </c>
      <c r="S2753">
        <v>0</v>
      </c>
      <c r="W2753" s="3">
        <v>0</v>
      </c>
      <c r="X2753" t="s">
        <v>49</v>
      </c>
      <c r="Y2753">
        <v>0</v>
      </c>
      <c r="Z2753">
        <v>1</v>
      </c>
      <c r="AA2753" t="s">
        <v>5704</v>
      </c>
      <c r="AB2753">
        <v>23</v>
      </c>
      <c r="AC2753" t="s">
        <v>49</v>
      </c>
      <c r="AD2753">
        <v>0</v>
      </c>
      <c r="AE2753">
        <v>-1</v>
      </c>
      <c r="AF2753" t="s">
        <v>63</v>
      </c>
      <c r="AG2753" t="s">
        <v>1355</v>
      </c>
    </row>
    <row r="2754" spans="1:33" x14ac:dyDescent="0.35">
      <c r="A2754" s="1">
        <v>44819.59652777778</v>
      </c>
      <c r="B2754">
        <v>957290</v>
      </c>
      <c r="C2754" t="s">
        <v>4280</v>
      </c>
      <c r="D2754" t="s">
        <v>76</v>
      </c>
      <c r="E2754" s="2">
        <v>40941</v>
      </c>
      <c r="F2754" t="str">
        <f t="shared" ref="F2754:F2776" si="6">"9780203127711"</f>
        <v>9780203127711</v>
      </c>
      <c r="G2754" t="str">
        <f t="shared" ref="G2754:G2776" si="7">"9780415895347"</f>
        <v>9780415895347</v>
      </c>
      <c r="H2754" t="s">
        <v>1046</v>
      </c>
      <c r="I2754">
        <v>302.23099999999999</v>
      </c>
      <c r="J2754" t="s">
        <v>4281</v>
      </c>
      <c r="K2754" t="s">
        <v>44</v>
      </c>
      <c r="N2754" t="s">
        <v>45</v>
      </c>
      <c r="O2754" t="s">
        <v>46</v>
      </c>
      <c r="P2754" t="s">
        <v>45</v>
      </c>
      <c r="Q2754" t="s">
        <v>47</v>
      </c>
      <c r="R2754" t="s">
        <v>44</v>
      </c>
      <c r="S2754">
        <v>0</v>
      </c>
      <c r="W2754" s="3">
        <v>5.7870370370370366E-5</v>
      </c>
      <c r="X2754" t="s">
        <v>196</v>
      </c>
      <c r="Y2754">
        <v>2</v>
      </c>
      <c r="Z2754">
        <v>0</v>
      </c>
      <c r="AA2754" t="s">
        <v>49</v>
      </c>
      <c r="AB2754">
        <v>0</v>
      </c>
      <c r="AC2754" t="s">
        <v>49</v>
      </c>
      <c r="AD2754">
        <v>0</v>
      </c>
      <c r="AE2754">
        <v>10535074</v>
      </c>
      <c r="AF2754" t="s">
        <v>50</v>
      </c>
      <c r="AG2754" t="s">
        <v>2446</v>
      </c>
    </row>
    <row r="2755" spans="1:33" x14ac:dyDescent="0.35">
      <c r="A2755" s="1">
        <v>44819.547222222223</v>
      </c>
      <c r="B2755">
        <v>957290</v>
      </c>
      <c r="C2755" t="s">
        <v>4280</v>
      </c>
      <c r="D2755" t="s">
        <v>76</v>
      </c>
      <c r="E2755" s="2">
        <v>40941</v>
      </c>
      <c r="F2755" t="str">
        <f t="shared" si="6"/>
        <v>9780203127711</v>
      </c>
      <c r="G2755" t="str">
        <f t="shared" si="7"/>
        <v>9780415895347</v>
      </c>
      <c r="H2755" t="s">
        <v>1046</v>
      </c>
      <c r="I2755">
        <v>302.23099999999999</v>
      </c>
      <c r="J2755" t="s">
        <v>4281</v>
      </c>
      <c r="K2755" t="s">
        <v>44</v>
      </c>
      <c r="N2755" t="s">
        <v>45</v>
      </c>
      <c r="O2755" t="s">
        <v>46</v>
      </c>
      <c r="P2755" t="s">
        <v>45</v>
      </c>
      <c r="Q2755" t="s">
        <v>47</v>
      </c>
      <c r="R2755" t="s">
        <v>44</v>
      </c>
      <c r="S2755">
        <v>0</v>
      </c>
      <c r="W2755" s="3">
        <v>1.0416666666666667E-4</v>
      </c>
      <c r="X2755" t="s">
        <v>5705</v>
      </c>
      <c r="Y2755">
        <v>3</v>
      </c>
      <c r="Z2755">
        <v>0</v>
      </c>
      <c r="AA2755" t="s">
        <v>49</v>
      </c>
      <c r="AB2755">
        <v>0</v>
      </c>
      <c r="AC2755" t="s">
        <v>49</v>
      </c>
      <c r="AD2755">
        <v>0</v>
      </c>
      <c r="AE2755">
        <v>10535074</v>
      </c>
      <c r="AF2755" t="s">
        <v>50</v>
      </c>
      <c r="AG2755" t="s">
        <v>1355</v>
      </c>
    </row>
    <row r="2756" spans="1:33" x14ac:dyDescent="0.35">
      <c r="A2756" s="1">
        <v>44819.547222222223</v>
      </c>
      <c r="B2756">
        <v>957290</v>
      </c>
      <c r="C2756" t="s">
        <v>4280</v>
      </c>
      <c r="D2756" t="s">
        <v>76</v>
      </c>
      <c r="E2756" s="2">
        <v>40941</v>
      </c>
      <c r="F2756" t="str">
        <f t="shared" si="6"/>
        <v>9780203127711</v>
      </c>
      <c r="G2756" t="str">
        <f t="shared" si="7"/>
        <v>9780415895347</v>
      </c>
      <c r="H2756" t="s">
        <v>1046</v>
      </c>
      <c r="I2756">
        <v>302.23099999999999</v>
      </c>
      <c r="J2756" t="s">
        <v>4281</v>
      </c>
      <c r="K2756" t="s">
        <v>44</v>
      </c>
      <c r="N2756" t="s">
        <v>45</v>
      </c>
      <c r="O2756" t="s">
        <v>46</v>
      </c>
      <c r="P2756" t="s">
        <v>45</v>
      </c>
      <c r="Q2756" t="s">
        <v>47</v>
      </c>
      <c r="R2756" t="s">
        <v>44</v>
      </c>
      <c r="S2756">
        <v>0</v>
      </c>
      <c r="W2756" s="3">
        <v>3.2986111111111111E-3</v>
      </c>
      <c r="X2756" t="s">
        <v>5706</v>
      </c>
      <c r="Y2756">
        <v>6</v>
      </c>
      <c r="Z2756">
        <v>0</v>
      </c>
      <c r="AA2756" t="s">
        <v>49</v>
      </c>
      <c r="AB2756">
        <v>0</v>
      </c>
      <c r="AC2756" t="s">
        <v>49</v>
      </c>
      <c r="AD2756">
        <v>0</v>
      </c>
      <c r="AE2756">
        <v>10535074</v>
      </c>
      <c r="AF2756" t="s">
        <v>50</v>
      </c>
      <c r="AG2756" t="s">
        <v>5707</v>
      </c>
    </row>
    <row r="2757" spans="1:33" x14ac:dyDescent="0.35">
      <c r="A2757" s="1">
        <v>44819.547222222223</v>
      </c>
      <c r="B2757">
        <v>957290</v>
      </c>
      <c r="C2757" t="s">
        <v>4280</v>
      </c>
      <c r="D2757" t="s">
        <v>76</v>
      </c>
      <c r="E2757" s="2">
        <v>40941</v>
      </c>
      <c r="F2757" t="str">
        <f t="shared" si="6"/>
        <v>9780203127711</v>
      </c>
      <c r="G2757" t="str">
        <f t="shared" si="7"/>
        <v>9780415895347</v>
      </c>
      <c r="H2757" t="s">
        <v>1046</v>
      </c>
      <c r="I2757">
        <v>302.23099999999999</v>
      </c>
      <c r="J2757" t="s">
        <v>4281</v>
      </c>
      <c r="K2757" t="s">
        <v>44</v>
      </c>
      <c r="N2757" t="s">
        <v>45</v>
      </c>
      <c r="O2757" t="s">
        <v>46</v>
      </c>
      <c r="P2757" t="s">
        <v>45</v>
      </c>
      <c r="Q2757" t="s">
        <v>47</v>
      </c>
      <c r="R2757" t="s">
        <v>44</v>
      </c>
      <c r="S2757">
        <v>0</v>
      </c>
      <c r="W2757" s="3">
        <v>1.4004629629629629E-3</v>
      </c>
      <c r="X2757" t="s">
        <v>5708</v>
      </c>
      <c r="Y2757">
        <v>7</v>
      </c>
      <c r="Z2757">
        <v>0</v>
      </c>
      <c r="AA2757" t="s">
        <v>49</v>
      </c>
      <c r="AB2757">
        <v>0</v>
      </c>
      <c r="AC2757" t="s">
        <v>49</v>
      </c>
      <c r="AD2757">
        <v>0</v>
      </c>
      <c r="AE2757">
        <v>10535074</v>
      </c>
      <c r="AF2757" t="s">
        <v>50</v>
      </c>
      <c r="AG2757" t="s">
        <v>5709</v>
      </c>
    </row>
    <row r="2758" spans="1:33" x14ac:dyDescent="0.35">
      <c r="A2758" s="1">
        <v>44819.547222222223</v>
      </c>
      <c r="B2758">
        <v>957290</v>
      </c>
      <c r="C2758" t="s">
        <v>4280</v>
      </c>
      <c r="D2758" t="s">
        <v>76</v>
      </c>
      <c r="E2758" s="2">
        <v>40941</v>
      </c>
      <c r="F2758" t="str">
        <f t="shared" si="6"/>
        <v>9780203127711</v>
      </c>
      <c r="G2758" t="str">
        <f t="shared" si="7"/>
        <v>9780415895347</v>
      </c>
      <c r="H2758" t="s">
        <v>1046</v>
      </c>
      <c r="I2758">
        <v>302.23099999999999</v>
      </c>
      <c r="J2758" t="s">
        <v>4281</v>
      </c>
      <c r="K2758" t="s">
        <v>44</v>
      </c>
      <c r="N2758" t="s">
        <v>45</v>
      </c>
      <c r="O2758" t="s">
        <v>46</v>
      </c>
      <c r="P2758" t="s">
        <v>45</v>
      </c>
      <c r="Q2758" t="s">
        <v>47</v>
      </c>
      <c r="R2758" t="s">
        <v>44</v>
      </c>
      <c r="S2758">
        <v>0</v>
      </c>
      <c r="W2758" s="3">
        <v>0</v>
      </c>
      <c r="X2758" t="s">
        <v>49</v>
      </c>
      <c r="Y2758">
        <v>0</v>
      </c>
      <c r="Z2758">
        <v>1</v>
      </c>
      <c r="AA2758" t="s">
        <v>4897</v>
      </c>
      <c r="AB2758">
        <v>20</v>
      </c>
      <c r="AC2758" t="s">
        <v>49</v>
      </c>
      <c r="AD2758">
        <v>0</v>
      </c>
      <c r="AE2758">
        <v>10535074</v>
      </c>
      <c r="AF2758" t="s">
        <v>50</v>
      </c>
      <c r="AG2758" t="s">
        <v>118</v>
      </c>
    </row>
    <row r="2759" spans="1:33" x14ac:dyDescent="0.35">
      <c r="A2759" s="1">
        <v>44819.547222222223</v>
      </c>
      <c r="B2759">
        <v>957290</v>
      </c>
      <c r="C2759" t="s">
        <v>4280</v>
      </c>
      <c r="D2759" t="s">
        <v>76</v>
      </c>
      <c r="E2759" s="2">
        <v>40941</v>
      </c>
      <c r="F2759" t="str">
        <f t="shared" si="6"/>
        <v>9780203127711</v>
      </c>
      <c r="G2759" t="str">
        <f t="shared" si="7"/>
        <v>9780415895347</v>
      </c>
      <c r="H2759" t="s">
        <v>1046</v>
      </c>
      <c r="I2759">
        <v>302.23099999999999</v>
      </c>
      <c r="J2759" t="s">
        <v>4281</v>
      </c>
      <c r="K2759" t="s">
        <v>44</v>
      </c>
      <c r="N2759" t="s">
        <v>45</v>
      </c>
      <c r="O2759" t="s">
        <v>46</v>
      </c>
      <c r="P2759" t="s">
        <v>45</v>
      </c>
      <c r="Q2759" t="s">
        <v>47</v>
      </c>
      <c r="R2759" t="s">
        <v>44</v>
      </c>
      <c r="S2759">
        <v>0</v>
      </c>
      <c r="W2759" s="3">
        <v>6.9791666666666674E-3</v>
      </c>
      <c r="X2759" t="s">
        <v>5710</v>
      </c>
      <c r="Y2759">
        <v>11</v>
      </c>
      <c r="Z2759">
        <v>0</v>
      </c>
      <c r="AA2759" t="s">
        <v>49</v>
      </c>
      <c r="AB2759">
        <v>0</v>
      </c>
      <c r="AC2759" t="s">
        <v>49</v>
      </c>
      <c r="AD2759">
        <v>0</v>
      </c>
      <c r="AE2759">
        <v>10535074</v>
      </c>
      <c r="AF2759" t="s">
        <v>50</v>
      </c>
      <c r="AG2759" t="s">
        <v>5711</v>
      </c>
    </row>
    <row r="2760" spans="1:33" x14ac:dyDescent="0.35">
      <c r="A2760" s="1">
        <v>44819.546527777777</v>
      </c>
      <c r="B2760">
        <v>957290</v>
      </c>
      <c r="C2760" t="s">
        <v>4280</v>
      </c>
      <c r="D2760" t="s">
        <v>76</v>
      </c>
      <c r="E2760" s="2">
        <v>40941</v>
      </c>
      <c r="F2760" t="str">
        <f t="shared" si="6"/>
        <v>9780203127711</v>
      </c>
      <c r="G2760" t="str">
        <f t="shared" si="7"/>
        <v>9780415895347</v>
      </c>
      <c r="H2760" t="s">
        <v>1046</v>
      </c>
      <c r="I2760">
        <v>302.23099999999999</v>
      </c>
      <c r="J2760" t="s">
        <v>4281</v>
      </c>
      <c r="K2760" t="s">
        <v>44</v>
      </c>
      <c r="N2760" t="s">
        <v>45</v>
      </c>
      <c r="O2760" t="s">
        <v>46</v>
      </c>
      <c r="P2760" t="s">
        <v>45</v>
      </c>
      <c r="Q2760" t="s">
        <v>47</v>
      </c>
      <c r="R2760" t="s">
        <v>44</v>
      </c>
      <c r="S2760">
        <v>0</v>
      </c>
      <c r="W2760" s="3">
        <v>6.9791666666666674E-3</v>
      </c>
      <c r="X2760" t="s">
        <v>5712</v>
      </c>
      <c r="Y2760">
        <v>18</v>
      </c>
      <c r="Z2760">
        <v>0</v>
      </c>
      <c r="AA2760" t="s">
        <v>49</v>
      </c>
      <c r="AB2760">
        <v>0</v>
      </c>
      <c r="AC2760" t="s">
        <v>49</v>
      </c>
      <c r="AD2760">
        <v>0</v>
      </c>
      <c r="AE2760">
        <v>10535074</v>
      </c>
      <c r="AF2760" t="s">
        <v>50</v>
      </c>
      <c r="AG2760" t="s">
        <v>4231</v>
      </c>
    </row>
    <row r="2761" spans="1:33" x14ac:dyDescent="0.35">
      <c r="A2761" s="1">
        <v>44819.546527777777</v>
      </c>
      <c r="B2761">
        <v>957290</v>
      </c>
      <c r="C2761" t="s">
        <v>4280</v>
      </c>
      <c r="D2761" t="s">
        <v>76</v>
      </c>
      <c r="E2761" s="2">
        <v>40941</v>
      </c>
      <c r="F2761" t="str">
        <f t="shared" si="6"/>
        <v>9780203127711</v>
      </c>
      <c r="G2761" t="str">
        <f t="shared" si="7"/>
        <v>9780415895347</v>
      </c>
      <c r="H2761" t="s">
        <v>1046</v>
      </c>
      <c r="I2761">
        <v>302.23099999999999</v>
      </c>
      <c r="J2761" t="s">
        <v>4281</v>
      </c>
      <c r="K2761" t="s">
        <v>44</v>
      </c>
      <c r="N2761" t="s">
        <v>45</v>
      </c>
      <c r="O2761" t="s">
        <v>46</v>
      </c>
      <c r="P2761" t="s">
        <v>45</v>
      </c>
      <c r="Q2761" t="s">
        <v>47</v>
      </c>
      <c r="R2761" t="s">
        <v>44</v>
      </c>
      <c r="S2761">
        <v>0</v>
      </c>
      <c r="W2761" s="3">
        <v>1.0648148148148147E-3</v>
      </c>
      <c r="X2761" t="s">
        <v>5713</v>
      </c>
      <c r="Y2761">
        <v>7</v>
      </c>
      <c r="Z2761">
        <v>0</v>
      </c>
      <c r="AA2761" t="s">
        <v>49</v>
      </c>
      <c r="AB2761">
        <v>0</v>
      </c>
      <c r="AC2761" t="s">
        <v>49</v>
      </c>
      <c r="AD2761">
        <v>0</v>
      </c>
      <c r="AE2761">
        <v>10535074</v>
      </c>
      <c r="AF2761" t="s">
        <v>50</v>
      </c>
      <c r="AG2761" t="s">
        <v>630</v>
      </c>
    </row>
    <row r="2762" spans="1:33" x14ac:dyDescent="0.35">
      <c r="A2762" s="1">
        <v>44819.546527777777</v>
      </c>
      <c r="B2762">
        <v>957290</v>
      </c>
      <c r="C2762" t="s">
        <v>4280</v>
      </c>
      <c r="D2762" t="s">
        <v>76</v>
      </c>
      <c r="E2762" s="2">
        <v>40941</v>
      </c>
      <c r="F2762" t="str">
        <f t="shared" si="6"/>
        <v>9780203127711</v>
      </c>
      <c r="G2762" t="str">
        <f t="shared" si="7"/>
        <v>9780415895347</v>
      </c>
      <c r="H2762" t="s">
        <v>1046</v>
      </c>
      <c r="I2762">
        <v>302.23099999999999</v>
      </c>
      <c r="J2762" t="s">
        <v>4281</v>
      </c>
      <c r="K2762" t="s">
        <v>44</v>
      </c>
      <c r="N2762" t="s">
        <v>45</v>
      </c>
      <c r="O2762" t="s">
        <v>46</v>
      </c>
      <c r="P2762" t="s">
        <v>45</v>
      </c>
      <c r="Q2762" t="s">
        <v>47</v>
      </c>
      <c r="R2762" t="s">
        <v>44</v>
      </c>
      <c r="S2762">
        <v>0</v>
      </c>
      <c r="W2762" s="3">
        <v>2.4189814814814816E-3</v>
      </c>
      <c r="X2762" t="s">
        <v>5714</v>
      </c>
      <c r="Y2762">
        <v>18</v>
      </c>
      <c r="Z2762">
        <v>0</v>
      </c>
      <c r="AA2762" t="s">
        <v>49</v>
      </c>
      <c r="AB2762">
        <v>0</v>
      </c>
      <c r="AC2762" t="s">
        <v>49</v>
      </c>
      <c r="AD2762">
        <v>0</v>
      </c>
      <c r="AE2762">
        <v>10535074</v>
      </c>
      <c r="AF2762" t="s">
        <v>50</v>
      </c>
      <c r="AG2762" t="s">
        <v>118</v>
      </c>
    </row>
    <row r="2763" spans="1:33" x14ac:dyDescent="0.35">
      <c r="A2763" s="1">
        <v>44819.546527777777</v>
      </c>
      <c r="B2763">
        <v>957290</v>
      </c>
      <c r="C2763" t="s">
        <v>4280</v>
      </c>
      <c r="D2763" t="s">
        <v>76</v>
      </c>
      <c r="E2763" s="2">
        <v>40941</v>
      </c>
      <c r="F2763" t="str">
        <f t="shared" si="6"/>
        <v>9780203127711</v>
      </c>
      <c r="G2763" t="str">
        <f t="shared" si="7"/>
        <v>9780415895347</v>
      </c>
      <c r="H2763" t="s">
        <v>1046</v>
      </c>
      <c r="I2763">
        <v>302.23099999999999</v>
      </c>
      <c r="J2763" t="s">
        <v>4281</v>
      </c>
      <c r="K2763" t="s">
        <v>44</v>
      </c>
      <c r="N2763" t="s">
        <v>45</v>
      </c>
      <c r="O2763" t="s">
        <v>46</v>
      </c>
      <c r="P2763" t="s">
        <v>45</v>
      </c>
      <c r="Q2763" t="s">
        <v>47</v>
      </c>
      <c r="R2763" t="s">
        <v>44</v>
      </c>
      <c r="S2763">
        <v>0</v>
      </c>
      <c r="W2763" s="3">
        <v>8.449074074074075E-4</v>
      </c>
      <c r="X2763" t="s">
        <v>5715</v>
      </c>
      <c r="Y2763">
        <v>12</v>
      </c>
      <c r="Z2763">
        <v>0</v>
      </c>
      <c r="AA2763" t="s">
        <v>49</v>
      </c>
      <c r="AB2763">
        <v>0</v>
      </c>
      <c r="AC2763" t="s">
        <v>49</v>
      </c>
      <c r="AD2763">
        <v>0</v>
      </c>
      <c r="AE2763">
        <v>10535074</v>
      </c>
      <c r="AF2763" t="s">
        <v>50</v>
      </c>
      <c r="AG2763" t="s">
        <v>1216</v>
      </c>
    </row>
    <row r="2764" spans="1:33" x14ac:dyDescent="0.35">
      <c r="A2764" s="1">
        <v>44819.546527777777</v>
      </c>
      <c r="B2764">
        <v>957290</v>
      </c>
      <c r="C2764" t="s">
        <v>4280</v>
      </c>
      <c r="D2764" t="s">
        <v>76</v>
      </c>
      <c r="E2764" s="2">
        <v>40941</v>
      </c>
      <c r="F2764" t="str">
        <f t="shared" si="6"/>
        <v>9780203127711</v>
      </c>
      <c r="G2764" t="str">
        <f t="shared" si="7"/>
        <v>9780415895347</v>
      </c>
      <c r="H2764" t="s">
        <v>1046</v>
      </c>
      <c r="I2764">
        <v>302.23099999999999</v>
      </c>
      <c r="J2764" t="s">
        <v>4281</v>
      </c>
      <c r="K2764" t="s">
        <v>44</v>
      </c>
      <c r="N2764" t="s">
        <v>45</v>
      </c>
      <c r="O2764" t="s">
        <v>46</v>
      </c>
      <c r="P2764" t="s">
        <v>45</v>
      </c>
      <c r="Q2764" t="s">
        <v>47</v>
      </c>
      <c r="R2764" t="s">
        <v>44</v>
      </c>
      <c r="S2764">
        <v>0</v>
      </c>
      <c r="W2764" s="3">
        <v>7.3148148148148148E-3</v>
      </c>
      <c r="X2764" t="s">
        <v>5716</v>
      </c>
      <c r="Y2764">
        <v>16</v>
      </c>
      <c r="Z2764">
        <v>0</v>
      </c>
      <c r="AA2764" t="s">
        <v>49</v>
      </c>
      <c r="AB2764">
        <v>0</v>
      </c>
      <c r="AC2764" t="s">
        <v>49</v>
      </c>
      <c r="AD2764">
        <v>0</v>
      </c>
      <c r="AE2764">
        <v>10535074</v>
      </c>
      <c r="AF2764" t="s">
        <v>50</v>
      </c>
      <c r="AG2764" t="s">
        <v>118</v>
      </c>
    </row>
    <row r="2765" spans="1:33" x14ac:dyDescent="0.35">
      <c r="A2765" s="1">
        <v>44819.546527777777</v>
      </c>
      <c r="B2765">
        <v>957290</v>
      </c>
      <c r="C2765" t="s">
        <v>4280</v>
      </c>
      <c r="D2765" t="s">
        <v>76</v>
      </c>
      <c r="E2765" s="2">
        <v>40941</v>
      </c>
      <c r="F2765" t="str">
        <f t="shared" si="6"/>
        <v>9780203127711</v>
      </c>
      <c r="G2765" t="str">
        <f t="shared" si="7"/>
        <v>9780415895347</v>
      </c>
      <c r="H2765" t="s">
        <v>1046</v>
      </c>
      <c r="I2765">
        <v>302.23099999999999</v>
      </c>
      <c r="J2765" t="s">
        <v>4281</v>
      </c>
      <c r="K2765" t="s">
        <v>44</v>
      </c>
      <c r="N2765" t="s">
        <v>45</v>
      </c>
      <c r="O2765" t="s">
        <v>46</v>
      </c>
      <c r="P2765" t="s">
        <v>45</v>
      </c>
      <c r="Q2765" t="s">
        <v>47</v>
      </c>
      <c r="R2765" t="s">
        <v>44</v>
      </c>
      <c r="S2765">
        <v>0</v>
      </c>
      <c r="W2765" s="3">
        <v>2.3379629629629631E-3</v>
      </c>
      <c r="X2765" t="s">
        <v>5717</v>
      </c>
      <c r="Y2765">
        <v>10</v>
      </c>
      <c r="Z2765">
        <v>0</v>
      </c>
      <c r="AA2765" t="s">
        <v>49</v>
      </c>
      <c r="AB2765">
        <v>0</v>
      </c>
      <c r="AC2765" t="s">
        <v>49</v>
      </c>
      <c r="AD2765">
        <v>0</v>
      </c>
      <c r="AE2765">
        <v>10535074</v>
      </c>
      <c r="AF2765" t="s">
        <v>50</v>
      </c>
      <c r="AG2765" t="s">
        <v>5656</v>
      </c>
    </row>
    <row r="2766" spans="1:33" x14ac:dyDescent="0.35">
      <c r="A2766" s="1">
        <v>44819.546527777777</v>
      </c>
      <c r="B2766">
        <v>957290</v>
      </c>
      <c r="C2766" t="s">
        <v>4280</v>
      </c>
      <c r="D2766" t="s">
        <v>76</v>
      </c>
      <c r="E2766" s="2">
        <v>40941</v>
      </c>
      <c r="F2766" t="str">
        <f t="shared" si="6"/>
        <v>9780203127711</v>
      </c>
      <c r="G2766" t="str">
        <f t="shared" si="7"/>
        <v>9780415895347</v>
      </c>
      <c r="H2766" t="s">
        <v>1046</v>
      </c>
      <c r="I2766">
        <v>302.23099999999999</v>
      </c>
      <c r="J2766" t="s">
        <v>4281</v>
      </c>
      <c r="K2766" t="s">
        <v>44</v>
      </c>
      <c r="N2766" t="s">
        <v>45</v>
      </c>
      <c r="O2766" t="s">
        <v>46</v>
      </c>
      <c r="P2766" t="s">
        <v>45</v>
      </c>
      <c r="Q2766" t="s">
        <v>47</v>
      </c>
      <c r="R2766" t="s">
        <v>44</v>
      </c>
      <c r="S2766">
        <v>0</v>
      </c>
      <c r="W2766" s="3">
        <v>2.3842592592592591E-3</v>
      </c>
      <c r="X2766" t="s">
        <v>5718</v>
      </c>
      <c r="Y2766">
        <v>11</v>
      </c>
      <c r="Z2766">
        <v>0</v>
      </c>
      <c r="AA2766" t="s">
        <v>49</v>
      </c>
      <c r="AB2766">
        <v>0</v>
      </c>
      <c r="AC2766" t="s">
        <v>49</v>
      </c>
      <c r="AD2766">
        <v>0</v>
      </c>
      <c r="AE2766">
        <v>10535074</v>
      </c>
      <c r="AF2766" t="s">
        <v>50</v>
      </c>
      <c r="AG2766" t="s">
        <v>118</v>
      </c>
    </row>
    <row r="2767" spans="1:33" x14ac:dyDescent="0.35">
      <c r="A2767" s="1">
        <v>44819.546527777777</v>
      </c>
      <c r="B2767">
        <v>957290</v>
      </c>
      <c r="C2767" t="s">
        <v>4280</v>
      </c>
      <c r="D2767" t="s">
        <v>76</v>
      </c>
      <c r="E2767" s="2">
        <v>40941</v>
      </c>
      <c r="F2767" t="str">
        <f t="shared" si="6"/>
        <v>9780203127711</v>
      </c>
      <c r="G2767" t="str">
        <f t="shared" si="7"/>
        <v>9780415895347</v>
      </c>
      <c r="H2767" t="s">
        <v>1046</v>
      </c>
      <c r="I2767">
        <v>302.23099999999999</v>
      </c>
      <c r="J2767" t="s">
        <v>4281</v>
      </c>
      <c r="K2767" t="s">
        <v>44</v>
      </c>
      <c r="N2767" t="s">
        <v>45</v>
      </c>
      <c r="O2767" t="s">
        <v>46</v>
      </c>
      <c r="P2767" t="s">
        <v>45</v>
      </c>
      <c r="Q2767" t="s">
        <v>47</v>
      </c>
      <c r="R2767" t="s">
        <v>44</v>
      </c>
      <c r="S2767">
        <v>0</v>
      </c>
      <c r="W2767" s="3">
        <v>1.3553240740740741E-2</v>
      </c>
      <c r="X2767" t="s">
        <v>5719</v>
      </c>
      <c r="Y2767">
        <v>18</v>
      </c>
      <c r="Z2767">
        <v>0</v>
      </c>
      <c r="AA2767" t="s">
        <v>49</v>
      </c>
      <c r="AB2767">
        <v>0</v>
      </c>
      <c r="AC2767" t="s">
        <v>49</v>
      </c>
      <c r="AD2767">
        <v>0</v>
      </c>
      <c r="AE2767">
        <v>10535074</v>
      </c>
      <c r="AF2767" t="s">
        <v>50</v>
      </c>
      <c r="AG2767" t="s">
        <v>2446</v>
      </c>
    </row>
    <row r="2768" spans="1:33" x14ac:dyDescent="0.35">
      <c r="A2768" s="1">
        <v>44819.546527777777</v>
      </c>
      <c r="B2768">
        <v>957290</v>
      </c>
      <c r="C2768" t="s">
        <v>4280</v>
      </c>
      <c r="D2768" t="s">
        <v>76</v>
      </c>
      <c r="E2768" s="2">
        <v>40941</v>
      </c>
      <c r="F2768" t="str">
        <f t="shared" si="6"/>
        <v>9780203127711</v>
      </c>
      <c r="G2768" t="str">
        <f t="shared" si="7"/>
        <v>9780415895347</v>
      </c>
      <c r="H2768" t="s">
        <v>1046</v>
      </c>
      <c r="I2768">
        <v>302.23099999999999</v>
      </c>
      <c r="J2768" t="s">
        <v>4281</v>
      </c>
      <c r="K2768" t="s">
        <v>44</v>
      </c>
      <c r="N2768" t="s">
        <v>45</v>
      </c>
      <c r="O2768" t="s">
        <v>46</v>
      </c>
      <c r="P2768" t="s">
        <v>45</v>
      </c>
      <c r="Q2768" t="s">
        <v>47</v>
      </c>
      <c r="R2768" t="s">
        <v>44</v>
      </c>
      <c r="S2768">
        <v>0</v>
      </c>
      <c r="W2768" s="3">
        <v>2.0717592592592593E-3</v>
      </c>
      <c r="X2768" t="s">
        <v>5720</v>
      </c>
      <c r="Y2768">
        <v>6</v>
      </c>
      <c r="Z2768">
        <v>0</v>
      </c>
      <c r="AA2768" t="s">
        <v>49</v>
      </c>
      <c r="AB2768">
        <v>0</v>
      </c>
      <c r="AC2768" t="s">
        <v>49</v>
      </c>
      <c r="AD2768">
        <v>0</v>
      </c>
      <c r="AE2768">
        <v>10535074</v>
      </c>
      <c r="AF2768" t="s">
        <v>50</v>
      </c>
      <c r="AG2768" t="s">
        <v>5721</v>
      </c>
    </row>
    <row r="2769" spans="1:33" x14ac:dyDescent="0.35">
      <c r="A2769" s="1">
        <v>44819.546527777777</v>
      </c>
      <c r="B2769">
        <v>957290</v>
      </c>
      <c r="C2769" t="s">
        <v>4280</v>
      </c>
      <c r="D2769" t="s">
        <v>76</v>
      </c>
      <c r="E2769" s="2">
        <v>40941</v>
      </c>
      <c r="F2769" t="str">
        <f t="shared" si="6"/>
        <v>9780203127711</v>
      </c>
      <c r="G2769" t="str">
        <f t="shared" si="7"/>
        <v>9780415895347</v>
      </c>
      <c r="H2769" t="s">
        <v>1046</v>
      </c>
      <c r="I2769">
        <v>302.23099999999999</v>
      </c>
      <c r="J2769" t="s">
        <v>4281</v>
      </c>
      <c r="K2769" t="s">
        <v>44</v>
      </c>
      <c r="N2769" t="s">
        <v>45</v>
      </c>
      <c r="O2769" t="s">
        <v>46</v>
      </c>
      <c r="P2769" t="s">
        <v>45</v>
      </c>
      <c r="Q2769" t="s">
        <v>47</v>
      </c>
      <c r="R2769" t="s">
        <v>44</v>
      </c>
      <c r="S2769">
        <v>0</v>
      </c>
      <c r="W2769" s="3">
        <v>2.5231481481481481E-3</v>
      </c>
      <c r="X2769" t="s">
        <v>5722</v>
      </c>
      <c r="Y2769">
        <v>7</v>
      </c>
      <c r="Z2769">
        <v>0</v>
      </c>
      <c r="AA2769" t="s">
        <v>49</v>
      </c>
      <c r="AB2769">
        <v>0</v>
      </c>
      <c r="AC2769" t="s">
        <v>49</v>
      </c>
      <c r="AD2769">
        <v>0</v>
      </c>
      <c r="AE2769">
        <v>10535074</v>
      </c>
      <c r="AF2769" t="s">
        <v>50</v>
      </c>
      <c r="AG2769" t="s">
        <v>118</v>
      </c>
    </row>
    <row r="2770" spans="1:33" x14ac:dyDescent="0.35">
      <c r="A2770" s="1">
        <v>44819.546527777777</v>
      </c>
      <c r="B2770">
        <v>957290</v>
      </c>
      <c r="C2770" t="s">
        <v>4280</v>
      </c>
      <c r="D2770" t="s">
        <v>76</v>
      </c>
      <c r="E2770" s="2">
        <v>40941</v>
      </c>
      <c r="F2770" t="str">
        <f t="shared" si="6"/>
        <v>9780203127711</v>
      </c>
      <c r="G2770" t="str">
        <f t="shared" si="7"/>
        <v>9780415895347</v>
      </c>
      <c r="H2770" t="s">
        <v>1046</v>
      </c>
      <c r="I2770">
        <v>302.23099999999999</v>
      </c>
      <c r="J2770" t="s">
        <v>4281</v>
      </c>
      <c r="K2770" t="s">
        <v>44</v>
      </c>
      <c r="N2770" t="s">
        <v>45</v>
      </c>
      <c r="O2770" t="s">
        <v>46</v>
      </c>
      <c r="P2770" t="s">
        <v>45</v>
      </c>
      <c r="Q2770" t="s">
        <v>47</v>
      </c>
      <c r="R2770" t="s">
        <v>44</v>
      </c>
      <c r="S2770">
        <v>0</v>
      </c>
      <c r="W2770" s="3">
        <v>2.1064814814814813E-3</v>
      </c>
      <c r="X2770" t="s">
        <v>5723</v>
      </c>
      <c r="Y2770">
        <v>7</v>
      </c>
      <c r="Z2770">
        <v>0</v>
      </c>
      <c r="AA2770" t="s">
        <v>49</v>
      </c>
      <c r="AB2770">
        <v>0</v>
      </c>
      <c r="AC2770" t="s">
        <v>49</v>
      </c>
      <c r="AD2770">
        <v>0</v>
      </c>
      <c r="AE2770">
        <v>10535074</v>
      </c>
      <c r="AF2770" t="s">
        <v>50</v>
      </c>
      <c r="AG2770" t="s">
        <v>118</v>
      </c>
    </row>
    <row r="2771" spans="1:33" x14ac:dyDescent="0.35">
      <c r="A2771" s="1">
        <v>44819.546527777777</v>
      </c>
      <c r="B2771">
        <v>957290</v>
      </c>
      <c r="C2771" t="s">
        <v>4280</v>
      </c>
      <c r="D2771" t="s">
        <v>76</v>
      </c>
      <c r="E2771" s="2">
        <v>40941</v>
      </c>
      <c r="F2771" t="str">
        <f t="shared" si="6"/>
        <v>9780203127711</v>
      </c>
      <c r="G2771" t="str">
        <f t="shared" si="7"/>
        <v>9780415895347</v>
      </c>
      <c r="H2771" t="s">
        <v>1046</v>
      </c>
      <c r="I2771">
        <v>302.23099999999999</v>
      </c>
      <c r="J2771" t="s">
        <v>4281</v>
      </c>
      <c r="K2771" t="s">
        <v>44</v>
      </c>
      <c r="N2771" t="s">
        <v>45</v>
      </c>
      <c r="O2771" t="s">
        <v>46</v>
      </c>
      <c r="P2771" t="s">
        <v>45</v>
      </c>
      <c r="Q2771" t="s">
        <v>47</v>
      </c>
      <c r="R2771" t="s">
        <v>44</v>
      </c>
      <c r="S2771">
        <v>0</v>
      </c>
      <c r="W2771" s="3">
        <v>2.5694444444444445E-3</v>
      </c>
      <c r="X2771" t="s">
        <v>5724</v>
      </c>
      <c r="Y2771">
        <v>7</v>
      </c>
      <c r="Z2771">
        <v>0</v>
      </c>
      <c r="AA2771" t="s">
        <v>49</v>
      </c>
      <c r="AB2771">
        <v>0</v>
      </c>
      <c r="AC2771" t="s">
        <v>49</v>
      </c>
      <c r="AD2771">
        <v>0</v>
      </c>
      <c r="AE2771">
        <v>10535074</v>
      </c>
      <c r="AF2771" t="s">
        <v>50</v>
      </c>
      <c r="AG2771" t="s">
        <v>2972</v>
      </c>
    </row>
    <row r="2772" spans="1:33" x14ac:dyDescent="0.35">
      <c r="A2772" s="1">
        <v>44819.546527777777</v>
      </c>
      <c r="B2772">
        <v>957290</v>
      </c>
      <c r="C2772" t="s">
        <v>4280</v>
      </c>
      <c r="D2772" t="s">
        <v>76</v>
      </c>
      <c r="E2772" s="2">
        <v>40941</v>
      </c>
      <c r="F2772" t="str">
        <f t="shared" si="6"/>
        <v>9780203127711</v>
      </c>
      <c r="G2772" t="str">
        <f t="shared" si="7"/>
        <v>9780415895347</v>
      </c>
      <c r="H2772" t="s">
        <v>1046</v>
      </c>
      <c r="I2772">
        <v>302.23099999999999</v>
      </c>
      <c r="J2772" t="s">
        <v>4281</v>
      </c>
      <c r="K2772" t="s">
        <v>44</v>
      </c>
      <c r="N2772" t="s">
        <v>45</v>
      </c>
      <c r="O2772" t="s">
        <v>46</v>
      </c>
      <c r="P2772" t="s">
        <v>45</v>
      </c>
      <c r="Q2772" t="s">
        <v>47</v>
      </c>
      <c r="R2772" t="s">
        <v>44</v>
      </c>
      <c r="S2772">
        <v>0</v>
      </c>
      <c r="W2772" s="3">
        <v>1.712962962962963E-3</v>
      </c>
      <c r="X2772" t="s">
        <v>5722</v>
      </c>
      <c r="Y2772">
        <v>7</v>
      </c>
      <c r="Z2772">
        <v>0</v>
      </c>
      <c r="AA2772" t="s">
        <v>49</v>
      </c>
      <c r="AB2772">
        <v>0</v>
      </c>
      <c r="AC2772" t="s">
        <v>49</v>
      </c>
      <c r="AD2772">
        <v>0</v>
      </c>
      <c r="AE2772">
        <v>10535074</v>
      </c>
      <c r="AF2772" t="s">
        <v>50</v>
      </c>
      <c r="AG2772" t="s">
        <v>2972</v>
      </c>
    </row>
    <row r="2773" spans="1:33" x14ac:dyDescent="0.35">
      <c r="A2773" s="1">
        <v>44819.546527777777</v>
      </c>
      <c r="B2773">
        <v>957290</v>
      </c>
      <c r="C2773" t="s">
        <v>4280</v>
      </c>
      <c r="D2773" t="s">
        <v>76</v>
      </c>
      <c r="E2773" s="2">
        <v>40941</v>
      </c>
      <c r="F2773" t="str">
        <f t="shared" si="6"/>
        <v>9780203127711</v>
      </c>
      <c r="G2773" t="str">
        <f t="shared" si="7"/>
        <v>9780415895347</v>
      </c>
      <c r="H2773" t="s">
        <v>1046</v>
      </c>
      <c r="I2773">
        <v>302.23099999999999</v>
      </c>
      <c r="J2773" t="s">
        <v>4281</v>
      </c>
      <c r="K2773" t="s">
        <v>44</v>
      </c>
      <c r="N2773" t="s">
        <v>45</v>
      </c>
      <c r="O2773" t="s">
        <v>46</v>
      </c>
      <c r="P2773" t="s">
        <v>45</v>
      </c>
      <c r="Q2773" t="s">
        <v>47</v>
      </c>
      <c r="R2773" t="s">
        <v>44</v>
      </c>
      <c r="S2773">
        <v>0</v>
      </c>
      <c r="W2773" s="3">
        <v>1.9027777777777779E-2</v>
      </c>
      <c r="X2773" t="s">
        <v>5725</v>
      </c>
      <c r="Y2773">
        <v>12</v>
      </c>
      <c r="Z2773">
        <v>0</v>
      </c>
      <c r="AA2773" t="s">
        <v>49</v>
      </c>
      <c r="AB2773">
        <v>0</v>
      </c>
      <c r="AC2773" t="s">
        <v>49</v>
      </c>
      <c r="AD2773">
        <v>0</v>
      </c>
      <c r="AE2773">
        <v>10535074</v>
      </c>
      <c r="AF2773" t="s">
        <v>50</v>
      </c>
      <c r="AG2773" t="s">
        <v>118</v>
      </c>
    </row>
    <row r="2774" spans="1:33" x14ac:dyDescent="0.35">
      <c r="A2774" s="1">
        <v>44819.546527777777</v>
      </c>
      <c r="B2774">
        <v>957290</v>
      </c>
      <c r="C2774" t="s">
        <v>4280</v>
      </c>
      <c r="D2774" t="s">
        <v>76</v>
      </c>
      <c r="E2774" s="2">
        <v>40941</v>
      </c>
      <c r="F2774" t="str">
        <f t="shared" si="6"/>
        <v>9780203127711</v>
      </c>
      <c r="G2774" t="str">
        <f t="shared" si="7"/>
        <v>9780415895347</v>
      </c>
      <c r="H2774" t="s">
        <v>1046</v>
      </c>
      <c r="I2774">
        <v>302.23099999999999</v>
      </c>
      <c r="J2774" t="s">
        <v>4281</v>
      </c>
      <c r="K2774" t="s">
        <v>44</v>
      </c>
      <c r="N2774" t="s">
        <v>45</v>
      </c>
      <c r="O2774" t="s">
        <v>46</v>
      </c>
      <c r="P2774" t="s">
        <v>45</v>
      </c>
      <c r="Q2774" t="s">
        <v>47</v>
      </c>
      <c r="R2774" t="s">
        <v>44</v>
      </c>
      <c r="S2774">
        <v>0</v>
      </c>
      <c r="W2774" s="3">
        <v>2.1296296296296298E-3</v>
      </c>
      <c r="X2774" t="s">
        <v>5726</v>
      </c>
      <c r="Y2774">
        <v>8</v>
      </c>
      <c r="Z2774">
        <v>0</v>
      </c>
      <c r="AA2774" t="s">
        <v>49</v>
      </c>
      <c r="AB2774">
        <v>0</v>
      </c>
      <c r="AC2774" t="s">
        <v>49</v>
      </c>
      <c r="AD2774">
        <v>0</v>
      </c>
      <c r="AE2774">
        <v>10535074</v>
      </c>
      <c r="AF2774" t="s">
        <v>50</v>
      </c>
      <c r="AG2774" t="s">
        <v>2128</v>
      </c>
    </row>
    <row r="2775" spans="1:33" x14ac:dyDescent="0.35">
      <c r="A2775" s="1">
        <v>44819.546527777777</v>
      </c>
      <c r="B2775">
        <v>957290</v>
      </c>
      <c r="C2775" t="s">
        <v>4280</v>
      </c>
      <c r="D2775" t="s">
        <v>76</v>
      </c>
      <c r="E2775" s="2">
        <v>40941</v>
      </c>
      <c r="F2775" t="str">
        <f t="shared" si="6"/>
        <v>9780203127711</v>
      </c>
      <c r="G2775" t="str">
        <f t="shared" si="7"/>
        <v>9780415895347</v>
      </c>
      <c r="H2775" t="s">
        <v>1046</v>
      </c>
      <c r="I2775">
        <v>302.23099999999999</v>
      </c>
      <c r="J2775" t="s">
        <v>4281</v>
      </c>
      <c r="K2775" t="s">
        <v>44</v>
      </c>
      <c r="N2775" t="s">
        <v>45</v>
      </c>
      <c r="O2775" t="s">
        <v>46</v>
      </c>
      <c r="P2775" t="s">
        <v>45</v>
      </c>
      <c r="Q2775" t="s">
        <v>47</v>
      </c>
      <c r="R2775" t="s">
        <v>44</v>
      </c>
      <c r="S2775">
        <v>0</v>
      </c>
      <c r="W2775" s="3">
        <v>2.7777777777777779E-3</v>
      </c>
      <c r="X2775" t="s">
        <v>5727</v>
      </c>
      <c r="Y2775">
        <v>10</v>
      </c>
      <c r="Z2775">
        <v>0</v>
      </c>
      <c r="AA2775" t="s">
        <v>49</v>
      </c>
      <c r="AB2775">
        <v>0</v>
      </c>
      <c r="AC2775" t="s">
        <v>49</v>
      </c>
      <c r="AD2775">
        <v>0</v>
      </c>
      <c r="AE2775">
        <v>10535074</v>
      </c>
      <c r="AF2775" t="s">
        <v>50</v>
      </c>
      <c r="AG2775" t="s">
        <v>118</v>
      </c>
    </row>
    <row r="2776" spans="1:33" x14ac:dyDescent="0.35">
      <c r="A2776" s="1">
        <v>44819.546527777777</v>
      </c>
      <c r="B2776">
        <v>957290</v>
      </c>
      <c r="C2776" t="s">
        <v>4280</v>
      </c>
      <c r="D2776" t="s">
        <v>76</v>
      </c>
      <c r="E2776" s="2">
        <v>40941</v>
      </c>
      <c r="F2776" t="str">
        <f t="shared" si="6"/>
        <v>9780203127711</v>
      </c>
      <c r="G2776" t="str">
        <f t="shared" si="7"/>
        <v>9780415895347</v>
      </c>
      <c r="H2776" t="s">
        <v>1046</v>
      </c>
      <c r="I2776">
        <v>302.23099999999999</v>
      </c>
      <c r="J2776" t="s">
        <v>4281</v>
      </c>
      <c r="K2776" t="s">
        <v>44</v>
      </c>
      <c r="N2776" t="s">
        <v>45</v>
      </c>
      <c r="O2776" t="s">
        <v>46</v>
      </c>
      <c r="P2776" t="s">
        <v>45</v>
      </c>
      <c r="Q2776" t="s">
        <v>47</v>
      </c>
      <c r="R2776" t="s">
        <v>44</v>
      </c>
      <c r="S2776">
        <v>0</v>
      </c>
      <c r="W2776" s="3">
        <v>2.5231481481481481E-3</v>
      </c>
      <c r="X2776" t="s">
        <v>4940</v>
      </c>
      <c r="Y2776">
        <v>5</v>
      </c>
      <c r="Z2776">
        <v>0</v>
      </c>
      <c r="AA2776" t="s">
        <v>49</v>
      </c>
      <c r="AB2776">
        <v>0</v>
      </c>
      <c r="AC2776" t="s">
        <v>49</v>
      </c>
      <c r="AD2776">
        <v>0</v>
      </c>
      <c r="AE2776">
        <v>10535074</v>
      </c>
      <c r="AF2776" t="s">
        <v>50</v>
      </c>
      <c r="AG2776" t="s">
        <v>630</v>
      </c>
    </row>
    <row r="2777" spans="1:33" x14ac:dyDescent="0.35">
      <c r="A2777" s="1">
        <v>44819.476388888892</v>
      </c>
      <c r="B2777">
        <v>454425</v>
      </c>
      <c r="C2777" t="s">
        <v>5728</v>
      </c>
      <c r="D2777" t="s">
        <v>59</v>
      </c>
      <c r="E2777" s="2">
        <v>36469</v>
      </c>
      <c r="F2777" t="str">
        <f>"9781444313208"</f>
        <v>9781444313208</v>
      </c>
      <c r="G2777" t="str">
        <f>"9780632044146"</f>
        <v>9780632044146</v>
      </c>
      <c r="H2777" t="s">
        <v>3769</v>
      </c>
      <c r="I2777" t="s">
        <v>5729</v>
      </c>
      <c r="J2777" t="s">
        <v>5730</v>
      </c>
      <c r="K2777" t="s">
        <v>44</v>
      </c>
      <c r="N2777" t="s">
        <v>45</v>
      </c>
      <c r="O2777" t="s">
        <v>46</v>
      </c>
      <c r="P2777" t="s">
        <v>45</v>
      </c>
      <c r="Q2777" t="s">
        <v>47</v>
      </c>
      <c r="R2777" t="s">
        <v>44</v>
      </c>
      <c r="S2777">
        <v>0</v>
      </c>
      <c r="W2777" s="3">
        <v>1.0416666666666667E-4</v>
      </c>
      <c r="X2777" t="s">
        <v>5731</v>
      </c>
      <c r="Y2777">
        <v>2</v>
      </c>
      <c r="Z2777">
        <v>0</v>
      </c>
      <c r="AA2777" t="s">
        <v>49</v>
      </c>
      <c r="AB2777">
        <v>0</v>
      </c>
      <c r="AC2777" t="s">
        <v>49</v>
      </c>
      <c r="AD2777">
        <v>0</v>
      </c>
      <c r="AE2777">
        <v>10310620</v>
      </c>
      <c r="AF2777" t="s">
        <v>50</v>
      </c>
      <c r="AG2777" t="s">
        <v>1309</v>
      </c>
    </row>
    <row r="2778" spans="1:33" x14ac:dyDescent="0.35">
      <c r="A2778" s="1">
        <v>44819.463888888888</v>
      </c>
      <c r="B2778">
        <v>6260933</v>
      </c>
      <c r="C2778" t="s">
        <v>5702</v>
      </c>
      <c r="D2778" t="s">
        <v>125</v>
      </c>
      <c r="E2778" s="2">
        <v>44048</v>
      </c>
      <c r="F2778" t="str">
        <f>"9780190646837"</f>
        <v>9780190646837</v>
      </c>
      <c r="G2778" t="str">
        <f>"9780190646813"</f>
        <v>9780190646813</v>
      </c>
      <c r="H2778" t="s">
        <v>4969</v>
      </c>
      <c r="I2778">
        <v>808.06650000000002</v>
      </c>
      <c r="J2778" t="s">
        <v>5703</v>
      </c>
      <c r="K2778" t="s">
        <v>55</v>
      </c>
      <c r="N2778" t="s">
        <v>293</v>
      </c>
      <c r="P2778" t="s">
        <v>80</v>
      </c>
      <c r="Q2778" t="s">
        <v>47</v>
      </c>
      <c r="R2778" t="s">
        <v>44</v>
      </c>
      <c r="S2778">
        <v>0</v>
      </c>
      <c r="W2778" s="3">
        <v>3.4722222222222222E-5</v>
      </c>
      <c r="X2778" t="s">
        <v>49</v>
      </c>
      <c r="Y2778">
        <v>0</v>
      </c>
      <c r="Z2778">
        <v>3</v>
      </c>
      <c r="AA2778" t="s">
        <v>5732</v>
      </c>
      <c r="AB2778">
        <v>60</v>
      </c>
      <c r="AC2778" t="s">
        <v>49</v>
      </c>
      <c r="AD2778">
        <v>0</v>
      </c>
      <c r="AE2778">
        <v>-1</v>
      </c>
      <c r="AF2778" t="s">
        <v>50</v>
      </c>
      <c r="AG2778" t="s">
        <v>1355</v>
      </c>
    </row>
    <row r="2779" spans="1:33" x14ac:dyDescent="0.35">
      <c r="A2779" s="1">
        <v>44819.411805555559</v>
      </c>
      <c r="B2779">
        <v>515717</v>
      </c>
      <c r="C2779" t="s">
        <v>4957</v>
      </c>
      <c r="D2779" t="s">
        <v>4958</v>
      </c>
      <c r="E2779" s="2">
        <v>40283</v>
      </c>
      <c r="F2779" t="str">
        <f>"9780226316635"</f>
        <v>9780226316635</v>
      </c>
      <c r="G2779" t="str">
        <f>"9780226316611"</f>
        <v>9780226316611</v>
      </c>
      <c r="H2779" t="s">
        <v>3871</v>
      </c>
      <c r="I2779" t="s">
        <v>4959</v>
      </c>
      <c r="J2779" t="s">
        <v>4960</v>
      </c>
      <c r="K2779" t="s">
        <v>44</v>
      </c>
      <c r="N2779" t="s">
        <v>45</v>
      </c>
      <c r="O2779" t="s">
        <v>46</v>
      </c>
      <c r="P2779" t="s">
        <v>45</v>
      </c>
      <c r="Q2779" t="s">
        <v>47</v>
      </c>
      <c r="R2779" t="s">
        <v>44</v>
      </c>
      <c r="S2779">
        <v>0</v>
      </c>
      <c r="W2779" s="3">
        <v>3.4722222222222222E-5</v>
      </c>
      <c r="X2779" t="s">
        <v>5733</v>
      </c>
      <c r="Y2779">
        <v>1</v>
      </c>
      <c r="Z2779">
        <v>0</v>
      </c>
      <c r="AA2779" t="s">
        <v>49</v>
      </c>
      <c r="AB2779">
        <v>0</v>
      </c>
      <c r="AC2779" t="s">
        <v>49</v>
      </c>
      <c r="AD2779">
        <v>0</v>
      </c>
      <c r="AE2779">
        <v>10381167</v>
      </c>
      <c r="AF2779" t="s">
        <v>63</v>
      </c>
      <c r="AG2779" t="s">
        <v>1355</v>
      </c>
    </row>
    <row r="2780" spans="1:33" x14ac:dyDescent="0.35">
      <c r="A2780" s="1">
        <v>44819.411111111112</v>
      </c>
      <c r="B2780">
        <v>300906</v>
      </c>
      <c r="C2780" t="s">
        <v>4963</v>
      </c>
      <c r="D2780" t="s">
        <v>65</v>
      </c>
      <c r="E2780" s="2">
        <v>38269</v>
      </c>
      <c r="F2780" t="str">
        <f>"9780080525211"</f>
        <v>9780080525211</v>
      </c>
      <c r="G2780" t="str">
        <f>"9780120884247"</f>
        <v>9780120884247</v>
      </c>
      <c r="H2780" t="s">
        <v>4964</v>
      </c>
      <c r="I2780" t="s">
        <v>4948</v>
      </c>
      <c r="J2780" t="s">
        <v>4965</v>
      </c>
      <c r="K2780" t="s">
        <v>44</v>
      </c>
      <c r="N2780" t="s">
        <v>45</v>
      </c>
      <c r="O2780" t="s">
        <v>46</v>
      </c>
      <c r="P2780" t="s">
        <v>45</v>
      </c>
      <c r="Q2780" t="s">
        <v>47</v>
      </c>
      <c r="R2780" t="s">
        <v>44</v>
      </c>
      <c r="S2780">
        <v>0</v>
      </c>
      <c r="W2780" s="3">
        <v>0</v>
      </c>
      <c r="X2780" t="s">
        <v>49</v>
      </c>
      <c r="Y2780">
        <v>0</v>
      </c>
      <c r="Z2780">
        <v>1</v>
      </c>
      <c r="AA2780" t="s">
        <v>5734</v>
      </c>
      <c r="AB2780">
        <v>10</v>
      </c>
      <c r="AC2780" t="s">
        <v>49</v>
      </c>
      <c r="AD2780">
        <v>0</v>
      </c>
      <c r="AE2780">
        <v>10179872</v>
      </c>
      <c r="AF2780" t="s">
        <v>63</v>
      </c>
      <c r="AG2780" t="s">
        <v>1355</v>
      </c>
    </row>
    <row r="2781" spans="1:33" x14ac:dyDescent="0.35">
      <c r="A2781" s="1">
        <v>44819.411111111112</v>
      </c>
      <c r="B2781">
        <v>1598437</v>
      </c>
      <c r="C2781" t="s">
        <v>5735</v>
      </c>
      <c r="D2781" t="s">
        <v>1282</v>
      </c>
      <c r="E2781" s="2">
        <v>35353</v>
      </c>
      <c r="F2781" t="str">
        <f>"9781452248943"</f>
        <v>9781452248943</v>
      </c>
      <c r="G2781" t="str">
        <f>"9780761903208"</f>
        <v>9780761903208</v>
      </c>
      <c r="H2781" t="s">
        <v>2799</v>
      </c>
      <c r="I2781">
        <v>501.4</v>
      </c>
      <c r="J2781" t="s">
        <v>5736</v>
      </c>
      <c r="K2781" t="s">
        <v>44</v>
      </c>
      <c r="N2781" t="s">
        <v>45</v>
      </c>
      <c r="O2781" t="s">
        <v>46</v>
      </c>
      <c r="P2781" t="s">
        <v>45</v>
      </c>
      <c r="Q2781" t="s">
        <v>47</v>
      </c>
      <c r="R2781" t="s">
        <v>44</v>
      </c>
      <c r="S2781">
        <v>0</v>
      </c>
      <c r="W2781" s="3">
        <v>0</v>
      </c>
      <c r="X2781" t="s">
        <v>49</v>
      </c>
      <c r="Y2781">
        <v>0</v>
      </c>
      <c r="Z2781">
        <v>1</v>
      </c>
      <c r="AA2781" t="s">
        <v>5737</v>
      </c>
      <c r="AB2781">
        <v>35</v>
      </c>
      <c r="AC2781" t="s">
        <v>49</v>
      </c>
      <c r="AD2781">
        <v>0</v>
      </c>
      <c r="AE2781">
        <v>10833264</v>
      </c>
      <c r="AF2781" t="s">
        <v>63</v>
      </c>
      <c r="AG2781" t="s">
        <v>1355</v>
      </c>
    </row>
    <row r="2782" spans="1:33" x14ac:dyDescent="0.35">
      <c r="A2782" s="1">
        <v>44819.410416666666</v>
      </c>
      <c r="B2782">
        <v>6260933</v>
      </c>
      <c r="C2782" t="s">
        <v>5702</v>
      </c>
      <c r="D2782" t="s">
        <v>125</v>
      </c>
      <c r="E2782" s="2">
        <v>44048</v>
      </c>
      <c r="F2782" t="str">
        <f>"9780190646837"</f>
        <v>9780190646837</v>
      </c>
      <c r="G2782" t="str">
        <f>"9780190646813"</f>
        <v>9780190646813</v>
      </c>
      <c r="H2782" t="s">
        <v>4969</v>
      </c>
      <c r="I2782">
        <v>808.06650000000002</v>
      </c>
      <c r="J2782" t="s">
        <v>5703</v>
      </c>
      <c r="K2782" t="s">
        <v>55</v>
      </c>
      <c r="Q2782" t="s">
        <v>47</v>
      </c>
      <c r="R2782" t="s">
        <v>44</v>
      </c>
      <c r="S2782">
        <v>0</v>
      </c>
      <c r="W2782" s="3">
        <v>1.1574074074074073E-5</v>
      </c>
      <c r="X2782" t="s">
        <v>49</v>
      </c>
      <c r="Y2782">
        <v>0</v>
      </c>
      <c r="Z2782">
        <v>0</v>
      </c>
      <c r="AA2782" t="s">
        <v>49</v>
      </c>
      <c r="AB2782">
        <v>0</v>
      </c>
      <c r="AC2782" t="s">
        <v>49</v>
      </c>
      <c r="AD2782">
        <v>0</v>
      </c>
      <c r="AE2782">
        <v>-1</v>
      </c>
      <c r="AF2782" t="s">
        <v>63</v>
      </c>
      <c r="AG2782" t="s">
        <v>1355</v>
      </c>
    </row>
    <row r="2783" spans="1:33" x14ac:dyDescent="0.35">
      <c r="A2783" s="1">
        <v>44819.409722222219</v>
      </c>
      <c r="B2783">
        <v>4591662</v>
      </c>
      <c r="C2783" t="s">
        <v>4952</v>
      </c>
      <c r="D2783" t="s">
        <v>4953</v>
      </c>
      <c r="E2783" s="2">
        <v>42309</v>
      </c>
      <c r="F2783" t="str">
        <f>"9781597569477"</f>
        <v>9781597569477</v>
      </c>
      <c r="G2783" t="str">
        <f>"9781597566148"</f>
        <v>9781597566148</v>
      </c>
      <c r="H2783" t="s">
        <v>4954</v>
      </c>
      <c r="I2783" t="s">
        <v>4955</v>
      </c>
      <c r="J2783" t="s">
        <v>4956</v>
      </c>
      <c r="K2783" t="s">
        <v>44</v>
      </c>
      <c r="N2783" t="s">
        <v>45</v>
      </c>
      <c r="O2783" t="s">
        <v>46</v>
      </c>
      <c r="P2783" t="s">
        <v>45</v>
      </c>
      <c r="Q2783" t="s">
        <v>47</v>
      </c>
      <c r="R2783" t="s">
        <v>44</v>
      </c>
      <c r="S2783">
        <v>0</v>
      </c>
      <c r="W2783" s="3">
        <v>0</v>
      </c>
      <c r="X2783" t="s">
        <v>49</v>
      </c>
      <c r="Y2783">
        <v>0</v>
      </c>
      <c r="Z2783">
        <v>1</v>
      </c>
      <c r="AA2783" t="s">
        <v>5738</v>
      </c>
      <c r="AB2783">
        <v>4</v>
      </c>
      <c r="AC2783" t="s">
        <v>49</v>
      </c>
      <c r="AD2783">
        <v>0</v>
      </c>
      <c r="AE2783">
        <v>11235708</v>
      </c>
      <c r="AF2783" t="s">
        <v>63</v>
      </c>
      <c r="AG2783" t="s">
        <v>1355</v>
      </c>
    </row>
    <row r="2784" spans="1:33" x14ac:dyDescent="0.35">
      <c r="A2784" s="1">
        <v>44819.409722222219</v>
      </c>
      <c r="B2784">
        <v>5928197</v>
      </c>
      <c r="C2784" t="s">
        <v>4738</v>
      </c>
      <c r="D2784" t="s">
        <v>59</v>
      </c>
      <c r="E2784" s="2">
        <v>43839</v>
      </c>
      <c r="F2784" t="str">
        <f>"9781118907269"</f>
        <v>9781118907269</v>
      </c>
      <c r="G2784" t="str">
        <f>"9781118907429"</f>
        <v>9781118907429</v>
      </c>
      <c r="H2784" t="s">
        <v>2799</v>
      </c>
      <c r="I2784">
        <v>502.3</v>
      </c>
      <c r="J2784" t="s">
        <v>4739</v>
      </c>
      <c r="K2784" t="s">
        <v>44</v>
      </c>
      <c r="N2784" t="s">
        <v>45</v>
      </c>
      <c r="O2784" t="s">
        <v>46</v>
      </c>
      <c r="P2784" t="s">
        <v>45</v>
      </c>
      <c r="Q2784" t="s">
        <v>47</v>
      </c>
      <c r="R2784" t="s">
        <v>44</v>
      </c>
      <c r="S2784">
        <v>0</v>
      </c>
      <c r="W2784" s="3">
        <v>3.8194444444444446E-4</v>
      </c>
      <c r="X2784" t="s">
        <v>5739</v>
      </c>
      <c r="Y2784">
        <v>3</v>
      </c>
      <c r="Z2784">
        <v>3</v>
      </c>
      <c r="AA2784" t="s">
        <v>5740</v>
      </c>
      <c r="AB2784">
        <v>168</v>
      </c>
      <c r="AC2784" t="s">
        <v>49</v>
      </c>
      <c r="AD2784">
        <v>0</v>
      </c>
      <c r="AE2784">
        <v>-1</v>
      </c>
      <c r="AF2784" t="s">
        <v>63</v>
      </c>
      <c r="AG2784" t="s">
        <v>1355</v>
      </c>
    </row>
    <row r="2785" spans="1:33" x14ac:dyDescent="0.35">
      <c r="A2785" s="1">
        <v>44819.325694444444</v>
      </c>
      <c r="B2785">
        <v>200238</v>
      </c>
      <c r="C2785" t="s">
        <v>5741</v>
      </c>
      <c r="D2785" t="s">
        <v>76</v>
      </c>
      <c r="E2785" s="2">
        <v>38183</v>
      </c>
      <c r="F2785" t="str">
        <f>"9780203609002"</f>
        <v>9780203609002</v>
      </c>
      <c r="G2785" t="str">
        <f>"9780415304009"</f>
        <v>9780415304009</v>
      </c>
      <c r="H2785" t="s">
        <v>1046</v>
      </c>
      <c r="I2785">
        <v>307.12160956000002</v>
      </c>
      <c r="J2785" t="s">
        <v>5742</v>
      </c>
      <c r="K2785" t="s">
        <v>44</v>
      </c>
      <c r="N2785" t="s">
        <v>45</v>
      </c>
      <c r="O2785" t="s">
        <v>46</v>
      </c>
      <c r="P2785" t="s">
        <v>45</v>
      </c>
      <c r="Q2785" t="s">
        <v>47</v>
      </c>
      <c r="R2785" t="s">
        <v>44</v>
      </c>
      <c r="S2785">
        <v>0</v>
      </c>
      <c r="W2785" s="3">
        <v>6.4814814814814813E-4</v>
      </c>
      <c r="X2785" t="s">
        <v>2546</v>
      </c>
      <c r="Y2785">
        <v>6</v>
      </c>
      <c r="Z2785">
        <v>0</v>
      </c>
      <c r="AA2785" t="s">
        <v>49</v>
      </c>
      <c r="AB2785">
        <v>0</v>
      </c>
      <c r="AC2785" t="s">
        <v>49</v>
      </c>
      <c r="AD2785">
        <v>0</v>
      </c>
      <c r="AE2785">
        <v>10093645</v>
      </c>
      <c r="AF2785" t="s">
        <v>63</v>
      </c>
      <c r="AG2785" t="s">
        <v>2289</v>
      </c>
    </row>
    <row r="2786" spans="1:33" x14ac:dyDescent="0.35">
      <c r="A2786" s="1">
        <v>44818.843055555553</v>
      </c>
      <c r="B2786">
        <v>981649</v>
      </c>
      <c r="C2786" t="s">
        <v>5743</v>
      </c>
      <c r="D2786" t="s">
        <v>76</v>
      </c>
      <c r="E2786" s="2">
        <v>40918</v>
      </c>
      <c r="F2786" t="str">
        <f>"9781136489853"</f>
        <v>9781136489853</v>
      </c>
      <c r="G2786" t="str">
        <f>"9780415671668"</f>
        <v>9780415671668</v>
      </c>
      <c r="H2786" t="s">
        <v>162</v>
      </c>
      <c r="I2786" t="s">
        <v>5744</v>
      </c>
      <c r="J2786" t="s">
        <v>5745</v>
      </c>
      <c r="K2786" t="s">
        <v>55</v>
      </c>
      <c r="P2786" t="s">
        <v>97</v>
      </c>
      <c r="Q2786" t="s">
        <v>47</v>
      </c>
      <c r="R2786" t="s">
        <v>44</v>
      </c>
      <c r="S2786">
        <v>0</v>
      </c>
      <c r="W2786" s="3">
        <v>1.7361111111111112E-4</v>
      </c>
      <c r="X2786" t="s">
        <v>5746</v>
      </c>
      <c r="Y2786">
        <v>4</v>
      </c>
      <c r="Z2786">
        <v>0</v>
      </c>
      <c r="AA2786" t="s">
        <v>49</v>
      </c>
      <c r="AB2786">
        <v>0</v>
      </c>
      <c r="AC2786" t="s">
        <v>49</v>
      </c>
      <c r="AD2786">
        <v>0</v>
      </c>
      <c r="AE2786">
        <v>10578125</v>
      </c>
      <c r="AF2786" t="s">
        <v>63</v>
      </c>
      <c r="AG2786" t="s">
        <v>3037</v>
      </c>
    </row>
    <row r="2787" spans="1:33" x14ac:dyDescent="0.35">
      <c r="A2787" s="1">
        <v>44818.740277777775</v>
      </c>
      <c r="B2787">
        <v>3083169</v>
      </c>
      <c r="C2787" t="s">
        <v>5747</v>
      </c>
      <c r="D2787" t="s">
        <v>1166</v>
      </c>
      <c r="E2787" s="2">
        <v>35535</v>
      </c>
      <c r="F2787" t="str">
        <f>"9781461576464"</f>
        <v>9781461576464</v>
      </c>
      <c r="G2787" t="str">
        <f>"9781461576488"</f>
        <v>9781461576488</v>
      </c>
      <c r="H2787" t="s">
        <v>542</v>
      </c>
      <c r="I2787" t="s">
        <v>543</v>
      </c>
      <c r="J2787" t="s">
        <v>567</v>
      </c>
      <c r="K2787" t="s">
        <v>44</v>
      </c>
      <c r="N2787" t="s">
        <v>45</v>
      </c>
      <c r="O2787" t="s">
        <v>46</v>
      </c>
      <c r="P2787" t="s">
        <v>45</v>
      </c>
      <c r="Q2787" t="s">
        <v>47</v>
      </c>
      <c r="R2787" t="s">
        <v>44</v>
      </c>
      <c r="S2787">
        <v>0</v>
      </c>
      <c r="W2787" s="3">
        <v>2.6967592592592594E-3</v>
      </c>
      <c r="X2787" t="s">
        <v>5748</v>
      </c>
      <c r="Y2787">
        <v>10</v>
      </c>
      <c r="Z2787">
        <v>0</v>
      </c>
      <c r="AA2787" t="s">
        <v>49</v>
      </c>
      <c r="AB2787">
        <v>0</v>
      </c>
      <c r="AC2787" t="s">
        <v>49</v>
      </c>
      <c r="AD2787">
        <v>0</v>
      </c>
      <c r="AE2787">
        <v>10937724</v>
      </c>
      <c r="AF2787" t="s">
        <v>63</v>
      </c>
      <c r="AG2787" t="s">
        <v>2854</v>
      </c>
    </row>
    <row r="2788" spans="1:33" x14ac:dyDescent="0.35">
      <c r="A2788" s="1">
        <v>44818.642361111109</v>
      </c>
      <c r="B2788">
        <v>317222</v>
      </c>
      <c r="C2788" t="s">
        <v>5749</v>
      </c>
      <c r="D2788" t="s">
        <v>65</v>
      </c>
      <c r="E2788" s="2">
        <v>37251</v>
      </c>
      <c r="F2788" t="str">
        <f>"9780080533513"</f>
        <v>9780080533513</v>
      </c>
      <c r="G2788" t="str">
        <f>"9780750670128"</f>
        <v>9780750670128</v>
      </c>
      <c r="H2788" t="s">
        <v>116</v>
      </c>
      <c r="I2788">
        <v>660.28430000000003</v>
      </c>
      <c r="J2788" t="s">
        <v>5750</v>
      </c>
      <c r="K2788" t="s">
        <v>44</v>
      </c>
      <c r="N2788" t="s">
        <v>45</v>
      </c>
      <c r="O2788" t="s">
        <v>46</v>
      </c>
      <c r="P2788" t="s">
        <v>45</v>
      </c>
      <c r="Q2788" t="s">
        <v>47</v>
      </c>
      <c r="R2788" t="s">
        <v>44</v>
      </c>
      <c r="S2788">
        <v>0</v>
      </c>
      <c r="W2788" s="3">
        <v>6.9444444444444444E-5</v>
      </c>
      <c r="X2788" t="s">
        <v>196</v>
      </c>
      <c r="Y2788">
        <v>2</v>
      </c>
      <c r="Z2788">
        <v>0</v>
      </c>
      <c r="AA2788" t="s">
        <v>49</v>
      </c>
      <c r="AB2788">
        <v>0</v>
      </c>
      <c r="AC2788" t="s">
        <v>49</v>
      </c>
      <c r="AD2788">
        <v>0</v>
      </c>
      <c r="AE2788">
        <v>10206621</v>
      </c>
      <c r="AF2788" t="s">
        <v>50</v>
      </c>
      <c r="AG2788" t="s">
        <v>5698</v>
      </c>
    </row>
    <row r="2789" spans="1:33" x14ac:dyDescent="0.35">
      <c r="A2789" s="1">
        <v>44818.50277777778</v>
      </c>
      <c r="B2789">
        <v>4183127</v>
      </c>
      <c r="C2789" t="s">
        <v>190</v>
      </c>
      <c r="D2789" t="s">
        <v>59</v>
      </c>
      <c r="E2789" s="2">
        <v>42310</v>
      </c>
      <c r="F2789" t="str">
        <f>"9783527684649"</f>
        <v>9783527684649</v>
      </c>
      <c r="G2789" t="str">
        <f>"9783527331659"</f>
        <v>9783527331659</v>
      </c>
      <c r="H2789" t="s">
        <v>191</v>
      </c>
      <c r="I2789" t="s">
        <v>192</v>
      </c>
      <c r="J2789" t="s">
        <v>193</v>
      </c>
      <c r="K2789" t="s">
        <v>44</v>
      </c>
      <c r="N2789" t="s">
        <v>45</v>
      </c>
      <c r="O2789" t="s">
        <v>46</v>
      </c>
      <c r="P2789" t="s">
        <v>45</v>
      </c>
      <c r="Q2789" t="s">
        <v>47</v>
      </c>
      <c r="R2789" t="s">
        <v>44</v>
      </c>
      <c r="S2789">
        <v>0</v>
      </c>
      <c r="W2789" s="3">
        <v>0</v>
      </c>
      <c r="X2789" t="s">
        <v>49</v>
      </c>
      <c r="Y2789">
        <v>0</v>
      </c>
      <c r="Z2789">
        <v>0</v>
      </c>
      <c r="AA2789" t="s">
        <v>49</v>
      </c>
      <c r="AB2789">
        <v>0</v>
      </c>
      <c r="AC2789" t="s">
        <v>49</v>
      </c>
      <c r="AD2789">
        <v>0</v>
      </c>
      <c r="AE2789">
        <v>11125579</v>
      </c>
      <c r="AF2789" t="s">
        <v>50</v>
      </c>
      <c r="AG2789" t="s">
        <v>118</v>
      </c>
    </row>
    <row r="2790" spans="1:33" x14ac:dyDescent="0.35">
      <c r="A2790" s="1">
        <v>44818.461805555555</v>
      </c>
      <c r="B2790">
        <v>957290</v>
      </c>
      <c r="C2790" t="s">
        <v>4280</v>
      </c>
      <c r="D2790" t="s">
        <v>76</v>
      </c>
      <c r="E2790" s="2">
        <v>40941</v>
      </c>
      <c r="F2790" t="str">
        <f>"9780203127711"</f>
        <v>9780203127711</v>
      </c>
      <c r="G2790" t="str">
        <f>"9780415895347"</f>
        <v>9780415895347</v>
      </c>
      <c r="H2790" t="s">
        <v>1046</v>
      </c>
      <c r="I2790">
        <v>302.23099999999999</v>
      </c>
      <c r="J2790" t="s">
        <v>4281</v>
      </c>
      <c r="K2790" t="s">
        <v>44</v>
      </c>
      <c r="N2790" t="s">
        <v>45</v>
      </c>
      <c r="O2790" t="s">
        <v>46</v>
      </c>
      <c r="P2790" t="s">
        <v>45</v>
      </c>
      <c r="Q2790" t="s">
        <v>47</v>
      </c>
      <c r="R2790" t="s">
        <v>44</v>
      </c>
      <c r="S2790">
        <v>0</v>
      </c>
      <c r="W2790" s="3">
        <v>7.1759259259259259E-3</v>
      </c>
      <c r="X2790" t="s">
        <v>5751</v>
      </c>
      <c r="Y2790">
        <v>21</v>
      </c>
      <c r="Z2790">
        <v>0</v>
      </c>
      <c r="AA2790" t="s">
        <v>49</v>
      </c>
      <c r="AB2790">
        <v>0</v>
      </c>
      <c r="AC2790" t="s">
        <v>5562</v>
      </c>
      <c r="AD2790">
        <v>1</v>
      </c>
      <c r="AE2790">
        <v>10535074</v>
      </c>
      <c r="AF2790" t="s">
        <v>50</v>
      </c>
      <c r="AG2790" t="s">
        <v>118</v>
      </c>
    </row>
    <row r="2791" spans="1:33" x14ac:dyDescent="0.35">
      <c r="A2791" s="1">
        <v>44818.427083333336</v>
      </c>
      <c r="B2791">
        <v>4183127</v>
      </c>
      <c r="C2791" t="s">
        <v>190</v>
      </c>
      <c r="D2791" t="s">
        <v>59</v>
      </c>
      <c r="E2791" s="2">
        <v>42310</v>
      </c>
      <c r="F2791" t="str">
        <f>"9783527684649"</f>
        <v>9783527684649</v>
      </c>
      <c r="G2791" t="str">
        <f>"9783527331659"</f>
        <v>9783527331659</v>
      </c>
      <c r="H2791" t="s">
        <v>191</v>
      </c>
      <c r="I2791" t="s">
        <v>192</v>
      </c>
      <c r="J2791" t="s">
        <v>193</v>
      </c>
      <c r="K2791" t="s">
        <v>44</v>
      </c>
      <c r="N2791" t="s">
        <v>45</v>
      </c>
      <c r="O2791" t="s">
        <v>46</v>
      </c>
      <c r="P2791" t="s">
        <v>45</v>
      </c>
      <c r="Q2791" t="s">
        <v>47</v>
      </c>
      <c r="R2791" t="s">
        <v>44</v>
      </c>
      <c r="S2791">
        <v>0</v>
      </c>
      <c r="W2791" s="3">
        <v>9.2592592592592588E-5</v>
      </c>
      <c r="X2791" t="s">
        <v>196</v>
      </c>
      <c r="Y2791">
        <v>2</v>
      </c>
      <c r="Z2791">
        <v>0</v>
      </c>
      <c r="AA2791" t="s">
        <v>49</v>
      </c>
      <c r="AB2791">
        <v>0</v>
      </c>
      <c r="AC2791" t="s">
        <v>49</v>
      </c>
      <c r="AD2791">
        <v>0</v>
      </c>
      <c r="AE2791">
        <v>11125579</v>
      </c>
      <c r="AF2791" t="s">
        <v>50</v>
      </c>
      <c r="AG2791" t="s">
        <v>118</v>
      </c>
    </row>
    <row r="2792" spans="1:33" x14ac:dyDescent="0.35">
      <c r="A2792" s="1">
        <v>44818.425000000003</v>
      </c>
      <c r="B2792">
        <v>1498693</v>
      </c>
      <c r="C2792" t="s">
        <v>5752</v>
      </c>
      <c r="D2792" t="s">
        <v>473</v>
      </c>
      <c r="E2792" s="2">
        <v>41383</v>
      </c>
      <c r="F2792" t="str">
        <f>"9789004245662"</f>
        <v>9789004245662</v>
      </c>
      <c r="G2792" t="str">
        <f>"9789004245600"</f>
        <v>9789004245600</v>
      </c>
      <c r="H2792" t="s">
        <v>906</v>
      </c>
      <c r="I2792">
        <v>911.53599999999994</v>
      </c>
      <c r="J2792" t="s">
        <v>5753</v>
      </c>
      <c r="K2792" t="s">
        <v>44</v>
      </c>
      <c r="N2792" t="s">
        <v>45</v>
      </c>
      <c r="O2792" t="s">
        <v>46</v>
      </c>
      <c r="P2792" t="s">
        <v>45</v>
      </c>
      <c r="Q2792" t="s">
        <v>47</v>
      </c>
      <c r="R2792" t="s">
        <v>44</v>
      </c>
      <c r="S2792">
        <v>0</v>
      </c>
      <c r="W2792" s="3">
        <v>1.0185185185185186E-3</v>
      </c>
      <c r="X2792" t="s">
        <v>5754</v>
      </c>
      <c r="Y2792">
        <v>4</v>
      </c>
      <c r="Z2792">
        <v>3</v>
      </c>
      <c r="AA2792" t="s">
        <v>5755</v>
      </c>
      <c r="AB2792">
        <v>7</v>
      </c>
      <c r="AC2792" t="s">
        <v>49</v>
      </c>
      <c r="AD2792">
        <v>0</v>
      </c>
      <c r="AE2792">
        <v>10789845</v>
      </c>
      <c r="AF2792" t="s">
        <v>63</v>
      </c>
      <c r="AG2792" t="s">
        <v>118</v>
      </c>
    </row>
    <row r="2793" spans="1:33" x14ac:dyDescent="0.35">
      <c r="A2793" s="1">
        <v>44818.310416666667</v>
      </c>
      <c r="B2793">
        <v>4183127</v>
      </c>
      <c r="C2793" t="s">
        <v>190</v>
      </c>
      <c r="D2793" t="s">
        <v>59</v>
      </c>
      <c r="E2793" s="2">
        <v>42310</v>
      </c>
      <c r="F2793" t="str">
        <f>"9783527684649"</f>
        <v>9783527684649</v>
      </c>
      <c r="G2793" t="str">
        <f>"9783527331659"</f>
        <v>9783527331659</v>
      </c>
      <c r="H2793" t="s">
        <v>191</v>
      </c>
      <c r="I2793" t="s">
        <v>192</v>
      </c>
      <c r="J2793" t="s">
        <v>193</v>
      </c>
      <c r="K2793" t="s">
        <v>44</v>
      </c>
      <c r="N2793" t="s">
        <v>45</v>
      </c>
      <c r="O2793" t="s">
        <v>46</v>
      </c>
      <c r="P2793" t="s">
        <v>45</v>
      </c>
      <c r="Q2793" t="s">
        <v>47</v>
      </c>
      <c r="R2793" t="s">
        <v>44</v>
      </c>
      <c r="S2793">
        <v>0</v>
      </c>
      <c r="W2793" s="3">
        <v>3.1134259259259257E-3</v>
      </c>
      <c r="X2793" t="s">
        <v>5756</v>
      </c>
      <c r="Y2793">
        <v>25</v>
      </c>
      <c r="Z2793">
        <v>2</v>
      </c>
      <c r="AA2793" t="s">
        <v>5757</v>
      </c>
      <c r="AB2793">
        <v>50</v>
      </c>
      <c r="AC2793" t="s">
        <v>49</v>
      </c>
      <c r="AD2793">
        <v>0</v>
      </c>
      <c r="AE2793">
        <v>11125579</v>
      </c>
      <c r="AF2793" t="s">
        <v>50</v>
      </c>
      <c r="AG2793" t="s">
        <v>118</v>
      </c>
    </row>
    <row r="2794" spans="1:33" x14ac:dyDescent="0.35">
      <c r="A2794" s="1">
        <v>44818.10833333333</v>
      </c>
      <c r="B2794">
        <v>454386</v>
      </c>
      <c r="C2794" t="s">
        <v>2339</v>
      </c>
      <c r="D2794" t="s">
        <v>59</v>
      </c>
      <c r="E2794" s="2">
        <v>40014</v>
      </c>
      <c r="F2794" t="str">
        <f>"9781444316377"</f>
        <v>9781444316377</v>
      </c>
      <c r="G2794" t="str">
        <f>"9781405194181"</f>
        <v>9781405194181</v>
      </c>
      <c r="H2794" t="s">
        <v>1945</v>
      </c>
      <c r="I2794">
        <v>624.20000000000005</v>
      </c>
      <c r="J2794" t="s">
        <v>2340</v>
      </c>
      <c r="K2794" t="s">
        <v>44</v>
      </c>
      <c r="N2794" t="s">
        <v>45</v>
      </c>
      <c r="O2794" t="s">
        <v>46</v>
      </c>
      <c r="P2794" t="s">
        <v>45</v>
      </c>
      <c r="Q2794" t="s">
        <v>47</v>
      </c>
      <c r="R2794" t="s">
        <v>44</v>
      </c>
      <c r="S2794">
        <v>1</v>
      </c>
      <c r="W2794" s="3">
        <v>0</v>
      </c>
      <c r="X2794" t="s">
        <v>49</v>
      </c>
      <c r="Y2794">
        <v>0</v>
      </c>
      <c r="Z2794">
        <v>0</v>
      </c>
      <c r="AA2794" t="s">
        <v>49</v>
      </c>
      <c r="AB2794">
        <v>0</v>
      </c>
      <c r="AC2794" t="s">
        <v>49</v>
      </c>
      <c r="AD2794">
        <v>0</v>
      </c>
      <c r="AE2794">
        <v>10315619</v>
      </c>
      <c r="AF2794" t="s">
        <v>63</v>
      </c>
      <c r="AG2794" t="s">
        <v>5758</v>
      </c>
    </row>
    <row r="2795" spans="1:33" x14ac:dyDescent="0.35">
      <c r="A2795" s="1">
        <v>44818.106944444444</v>
      </c>
      <c r="B2795">
        <v>454386</v>
      </c>
      <c r="C2795" t="s">
        <v>2339</v>
      </c>
      <c r="D2795" t="s">
        <v>59</v>
      </c>
      <c r="E2795" s="2">
        <v>40014</v>
      </c>
      <c r="F2795" t="str">
        <f>"9781444316377"</f>
        <v>9781444316377</v>
      </c>
      <c r="G2795" t="str">
        <f>"9781405194181"</f>
        <v>9781405194181</v>
      </c>
      <c r="H2795" t="s">
        <v>1945</v>
      </c>
      <c r="I2795">
        <v>624.20000000000005</v>
      </c>
      <c r="J2795" t="s">
        <v>2340</v>
      </c>
      <c r="K2795" t="s">
        <v>44</v>
      </c>
      <c r="N2795" t="s">
        <v>45</v>
      </c>
      <c r="O2795" t="s">
        <v>46</v>
      </c>
      <c r="P2795" t="s">
        <v>45</v>
      </c>
      <c r="Q2795" t="s">
        <v>47</v>
      </c>
      <c r="R2795" t="s">
        <v>44</v>
      </c>
      <c r="S2795">
        <v>0</v>
      </c>
      <c r="W2795" s="3">
        <v>1.1805555555555556E-3</v>
      </c>
      <c r="X2795" t="s">
        <v>5759</v>
      </c>
      <c r="Y2795">
        <v>7</v>
      </c>
      <c r="Z2795">
        <v>0</v>
      </c>
      <c r="AA2795" t="s">
        <v>49</v>
      </c>
      <c r="AB2795">
        <v>0</v>
      </c>
      <c r="AC2795" t="s">
        <v>49</v>
      </c>
      <c r="AD2795">
        <v>0</v>
      </c>
      <c r="AE2795">
        <v>10315619</v>
      </c>
      <c r="AF2795" t="s">
        <v>63</v>
      </c>
      <c r="AG2795" t="s">
        <v>5758</v>
      </c>
    </row>
    <row r="2796" spans="1:33" x14ac:dyDescent="0.35">
      <c r="A2796" s="1">
        <v>44817.622916666667</v>
      </c>
      <c r="B2796">
        <v>4183127</v>
      </c>
      <c r="C2796" t="s">
        <v>190</v>
      </c>
      <c r="D2796" t="s">
        <v>59</v>
      </c>
      <c r="E2796" s="2">
        <v>42310</v>
      </c>
      <c r="F2796" t="str">
        <f>"9783527684649"</f>
        <v>9783527684649</v>
      </c>
      <c r="G2796" t="str">
        <f>"9783527331659"</f>
        <v>9783527331659</v>
      </c>
      <c r="H2796" t="s">
        <v>191</v>
      </c>
      <c r="I2796" t="s">
        <v>192</v>
      </c>
      <c r="J2796" t="s">
        <v>193</v>
      </c>
      <c r="K2796" t="s">
        <v>44</v>
      </c>
      <c r="N2796" t="s">
        <v>45</v>
      </c>
      <c r="O2796" t="s">
        <v>46</v>
      </c>
      <c r="P2796" t="s">
        <v>45</v>
      </c>
      <c r="Q2796" t="s">
        <v>47</v>
      </c>
      <c r="R2796" t="s">
        <v>44</v>
      </c>
      <c r="S2796">
        <v>0</v>
      </c>
      <c r="W2796" s="3">
        <v>9.2592592592592588E-5</v>
      </c>
      <c r="X2796" t="s">
        <v>5760</v>
      </c>
      <c r="Y2796">
        <v>1</v>
      </c>
      <c r="Z2796">
        <v>0</v>
      </c>
      <c r="AA2796" t="s">
        <v>49</v>
      </c>
      <c r="AB2796">
        <v>0</v>
      </c>
      <c r="AC2796" t="s">
        <v>49</v>
      </c>
      <c r="AD2796">
        <v>0</v>
      </c>
      <c r="AE2796">
        <v>11125579</v>
      </c>
      <c r="AF2796" t="s">
        <v>50</v>
      </c>
      <c r="AG2796" t="s">
        <v>118</v>
      </c>
    </row>
    <row r="2797" spans="1:33" x14ac:dyDescent="0.35">
      <c r="A2797" s="1">
        <v>44817.555555555555</v>
      </c>
      <c r="B2797">
        <v>454425</v>
      </c>
      <c r="C2797" t="s">
        <v>5728</v>
      </c>
      <c r="D2797" t="s">
        <v>59</v>
      </c>
      <c r="E2797" s="2">
        <v>36469</v>
      </c>
      <c r="F2797" t="str">
        <f>"9781444313208"</f>
        <v>9781444313208</v>
      </c>
      <c r="G2797" t="str">
        <f>"9780632044146"</f>
        <v>9780632044146</v>
      </c>
      <c r="H2797" t="s">
        <v>3769</v>
      </c>
      <c r="I2797" t="s">
        <v>5729</v>
      </c>
      <c r="J2797" t="s">
        <v>5730</v>
      </c>
      <c r="K2797" t="s">
        <v>44</v>
      </c>
      <c r="N2797" t="s">
        <v>45</v>
      </c>
      <c r="O2797" t="s">
        <v>46</v>
      </c>
      <c r="P2797" t="s">
        <v>45</v>
      </c>
      <c r="Q2797" t="s">
        <v>47</v>
      </c>
      <c r="R2797" t="s">
        <v>44</v>
      </c>
      <c r="S2797">
        <v>0</v>
      </c>
      <c r="W2797" s="3">
        <v>1.6319444444444445E-3</v>
      </c>
      <c r="X2797" t="s">
        <v>5761</v>
      </c>
      <c r="Y2797">
        <v>6</v>
      </c>
      <c r="Z2797">
        <v>0</v>
      </c>
      <c r="AA2797" t="s">
        <v>49</v>
      </c>
      <c r="AB2797">
        <v>0</v>
      </c>
      <c r="AC2797" t="s">
        <v>49</v>
      </c>
      <c r="AD2797">
        <v>0</v>
      </c>
      <c r="AE2797">
        <v>10310620</v>
      </c>
      <c r="AF2797" t="s">
        <v>50</v>
      </c>
      <c r="AG2797" t="s">
        <v>1309</v>
      </c>
    </row>
    <row r="2798" spans="1:33" x14ac:dyDescent="0.35">
      <c r="A2798" s="1">
        <v>44817.379861111112</v>
      </c>
      <c r="B2798">
        <v>3073657</v>
      </c>
      <c r="C2798" t="s">
        <v>5762</v>
      </c>
      <c r="D2798" t="s">
        <v>5763</v>
      </c>
      <c r="E2798" s="2">
        <v>37798</v>
      </c>
      <c r="F2798" t="str">
        <f>"9781461200390"</f>
        <v>9781461200390</v>
      </c>
      <c r="G2798" t="str">
        <f>"9781461265849"</f>
        <v>9781461265849</v>
      </c>
      <c r="H2798" t="s">
        <v>824</v>
      </c>
      <c r="J2798" t="s">
        <v>234</v>
      </c>
      <c r="K2798" t="s">
        <v>55</v>
      </c>
      <c r="N2798" t="s">
        <v>79</v>
      </c>
      <c r="P2798" t="s">
        <v>80</v>
      </c>
      <c r="Q2798" t="s">
        <v>47</v>
      </c>
      <c r="R2798" t="s">
        <v>44</v>
      </c>
      <c r="S2798">
        <v>0</v>
      </c>
      <c r="W2798" s="3">
        <v>6.9444444444444444E-5</v>
      </c>
      <c r="X2798" t="s">
        <v>121</v>
      </c>
      <c r="Y2798">
        <v>1</v>
      </c>
      <c r="Z2798">
        <v>0</v>
      </c>
      <c r="AA2798" t="s">
        <v>49</v>
      </c>
      <c r="AB2798">
        <v>0</v>
      </c>
      <c r="AC2798" t="s">
        <v>49</v>
      </c>
      <c r="AD2798">
        <v>0</v>
      </c>
      <c r="AE2798">
        <v>10916826</v>
      </c>
      <c r="AF2798" t="s">
        <v>50</v>
      </c>
      <c r="AG2798" t="s">
        <v>118</v>
      </c>
    </row>
    <row r="2799" spans="1:33" x14ac:dyDescent="0.35">
      <c r="A2799" s="1">
        <v>44816.917361111111</v>
      </c>
      <c r="B2799">
        <v>1688422</v>
      </c>
      <c r="C2799" t="s">
        <v>5764</v>
      </c>
      <c r="D2799" t="s">
        <v>125</v>
      </c>
      <c r="E2799" s="2">
        <v>41835</v>
      </c>
      <c r="F2799" t="str">
        <f>"9780191639425"</f>
        <v>9780191639425</v>
      </c>
      <c r="G2799" t="str">
        <f>"9780199662449"</f>
        <v>9780199662449</v>
      </c>
      <c r="H2799" t="s">
        <v>252</v>
      </c>
      <c r="I2799">
        <v>620.11015118</v>
      </c>
      <c r="J2799" t="s">
        <v>5765</v>
      </c>
      <c r="K2799" t="s">
        <v>44</v>
      </c>
      <c r="N2799" t="s">
        <v>45</v>
      </c>
      <c r="O2799" t="s">
        <v>46</v>
      </c>
      <c r="P2799" t="s">
        <v>45</v>
      </c>
      <c r="Q2799" t="s">
        <v>47</v>
      </c>
      <c r="R2799" t="s">
        <v>44</v>
      </c>
      <c r="S2799">
        <v>0</v>
      </c>
      <c r="W2799" s="3">
        <v>7.8703703703703705E-4</v>
      </c>
      <c r="X2799" t="s">
        <v>5766</v>
      </c>
      <c r="Y2799">
        <v>15</v>
      </c>
      <c r="Z2799">
        <v>0</v>
      </c>
      <c r="AA2799" t="s">
        <v>49</v>
      </c>
      <c r="AB2799">
        <v>0</v>
      </c>
      <c r="AC2799" t="s">
        <v>49</v>
      </c>
      <c r="AD2799">
        <v>0</v>
      </c>
      <c r="AE2799">
        <v>10867977</v>
      </c>
      <c r="AF2799" t="s">
        <v>63</v>
      </c>
      <c r="AG2799" t="s">
        <v>5767</v>
      </c>
    </row>
    <row r="2800" spans="1:33" x14ac:dyDescent="0.35">
      <c r="A2800" s="1">
        <v>44816.75</v>
      </c>
      <c r="B2800">
        <v>297139</v>
      </c>
      <c r="C2800" t="s">
        <v>5768</v>
      </c>
      <c r="D2800" t="s">
        <v>65</v>
      </c>
      <c r="E2800" s="2">
        <v>38667</v>
      </c>
      <c r="F2800" t="str">
        <f>"9780080496108"</f>
        <v>9780080496108</v>
      </c>
      <c r="G2800" t="str">
        <f>"9780750663717"</f>
        <v>9780750663717</v>
      </c>
      <c r="H2800" t="s">
        <v>5769</v>
      </c>
      <c r="I2800" t="s">
        <v>5770</v>
      </c>
      <c r="J2800" t="s">
        <v>5771</v>
      </c>
      <c r="K2800" t="s">
        <v>44</v>
      </c>
      <c r="N2800" t="s">
        <v>45</v>
      </c>
      <c r="O2800" t="s">
        <v>46</v>
      </c>
      <c r="P2800" t="s">
        <v>45</v>
      </c>
      <c r="Q2800" t="s">
        <v>47</v>
      </c>
      <c r="R2800" t="s">
        <v>44</v>
      </c>
      <c r="S2800">
        <v>0</v>
      </c>
      <c r="W2800" s="3">
        <v>2.6620370370370372E-4</v>
      </c>
      <c r="X2800" t="s">
        <v>1143</v>
      </c>
      <c r="Y2800">
        <v>7</v>
      </c>
      <c r="Z2800">
        <v>0</v>
      </c>
      <c r="AA2800" t="s">
        <v>49</v>
      </c>
      <c r="AB2800">
        <v>0</v>
      </c>
      <c r="AC2800" t="s">
        <v>49</v>
      </c>
      <c r="AD2800">
        <v>0</v>
      </c>
      <c r="AE2800">
        <v>10180794</v>
      </c>
      <c r="AF2800" t="s">
        <v>50</v>
      </c>
      <c r="AG2800" t="s">
        <v>5772</v>
      </c>
    </row>
    <row r="2801" spans="1:33" x14ac:dyDescent="0.35">
      <c r="A2801" s="1">
        <v>44816.749305555553</v>
      </c>
      <c r="B2801">
        <v>1584699</v>
      </c>
      <c r="C2801" t="s">
        <v>5773</v>
      </c>
      <c r="D2801" t="s">
        <v>65</v>
      </c>
      <c r="E2801" s="2">
        <v>40507</v>
      </c>
      <c r="F2801" t="str">
        <f>"9780857090256"</f>
        <v>9780857090256</v>
      </c>
      <c r="G2801" t="str">
        <f>"9781845696542"</f>
        <v>9781845696542</v>
      </c>
      <c r="H2801" t="s">
        <v>5774</v>
      </c>
      <c r="I2801">
        <v>669.72199999999998</v>
      </c>
      <c r="J2801" t="s">
        <v>5775</v>
      </c>
      <c r="K2801" t="s">
        <v>44</v>
      </c>
      <c r="N2801" t="s">
        <v>45</v>
      </c>
      <c r="O2801" t="s">
        <v>46</v>
      </c>
      <c r="P2801" t="s">
        <v>45</v>
      </c>
      <c r="Q2801" t="s">
        <v>47</v>
      </c>
      <c r="R2801" t="s">
        <v>44</v>
      </c>
      <c r="S2801">
        <v>0</v>
      </c>
      <c r="W2801" s="3">
        <v>3.4722222222222222E-5</v>
      </c>
      <c r="X2801" t="s">
        <v>5776</v>
      </c>
      <c r="Y2801">
        <v>1</v>
      </c>
      <c r="Z2801">
        <v>1</v>
      </c>
      <c r="AA2801" t="s">
        <v>5777</v>
      </c>
      <c r="AB2801">
        <v>20</v>
      </c>
      <c r="AC2801" t="s">
        <v>49</v>
      </c>
      <c r="AD2801">
        <v>0</v>
      </c>
      <c r="AE2801">
        <v>10714331</v>
      </c>
      <c r="AF2801" t="s">
        <v>50</v>
      </c>
      <c r="AG2801" t="s">
        <v>5772</v>
      </c>
    </row>
    <row r="2802" spans="1:33" x14ac:dyDescent="0.35">
      <c r="A2802" s="1">
        <v>44816.711111111108</v>
      </c>
      <c r="B2802">
        <v>2089475</v>
      </c>
      <c r="C2802" t="s">
        <v>5778</v>
      </c>
      <c r="D2802" t="s">
        <v>59</v>
      </c>
      <c r="E2802" s="2">
        <v>42240</v>
      </c>
      <c r="F2802" t="str">
        <f>"9781119003656"</f>
        <v>9781119003656</v>
      </c>
      <c r="G2802" t="str">
        <f>"9781119003618"</f>
        <v>9781119003618</v>
      </c>
      <c r="H2802" t="s">
        <v>90</v>
      </c>
      <c r="I2802">
        <v>370.72</v>
      </c>
      <c r="J2802" t="s">
        <v>5779</v>
      </c>
      <c r="K2802" t="s">
        <v>44</v>
      </c>
      <c r="N2802" t="s">
        <v>45</v>
      </c>
      <c r="O2802" t="s">
        <v>46</v>
      </c>
      <c r="P2802" t="s">
        <v>45</v>
      </c>
      <c r="Q2802" t="s">
        <v>47</v>
      </c>
      <c r="R2802" t="s">
        <v>44</v>
      </c>
      <c r="S2802">
        <v>0</v>
      </c>
      <c r="W2802" s="3">
        <v>1.3888888888888889E-4</v>
      </c>
      <c r="X2802" t="s">
        <v>1283</v>
      </c>
      <c r="Y2802">
        <v>3</v>
      </c>
      <c r="Z2802">
        <v>0</v>
      </c>
      <c r="AA2802" t="s">
        <v>49</v>
      </c>
      <c r="AB2802">
        <v>0</v>
      </c>
      <c r="AC2802" t="s">
        <v>49</v>
      </c>
      <c r="AD2802">
        <v>0</v>
      </c>
      <c r="AE2802">
        <v>11075643</v>
      </c>
      <c r="AF2802" t="s">
        <v>50</v>
      </c>
      <c r="AG2802" t="s">
        <v>118</v>
      </c>
    </row>
    <row r="2803" spans="1:33" x14ac:dyDescent="0.35">
      <c r="A2803" s="1">
        <v>44816.710416666669</v>
      </c>
      <c r="B2803">
        <v>996527</v>
      </c>
      <c r="C2803" t="s">
        <v>5780</v>
      </c>
      <c r="D2803" t="s">
        <v>1282</v>
      </c>
      <c r="E2803" s="2">
        <v>39317</v>
      </c>
      <c r="F2803" t="str">
        <f>"9781452216072"</f>
        <v>9781452216072</v>
      </c>
      <c r="G2803" t="str">
        <f>"9781412926249"</f>
        <v>9781412926249</v>
      </c>
      <c r="H2803" t="s">
        <v>60</v>
      </c>
      <c r="I2803">
        <v>658.40340000000003</v>
      </c>
      <c r="J2803" t="s">
        <v>5781</v>
      </c>
      <c r="K2803" t="s">
        <v>44</v>
      </c>
      <c r="N2803" t="s">
        <v>45</v>
      </c>
      <c r="O2803" t="s">
        <v>46</v>
      </c>
      <c r="P2803" t="s">
        <v>45</v>
      </c>
      <c r="Q2803" t="s">
        <v>47</v>
      </c>
      <c r="R2803" t="s">
        <v>44</v>
      </c>
      <c r="S2803">
        <v>0</v>
      </c>
      <c r="W2803" s="3">
        <v>6.9444444444444444E-5</v>
      </c>
      <c r="X2803" t="s">
        <v>196</v>
      </c>
      <c r="Y2803">
        <v>2</v>
      </c>
      <c r="Z2803">
        <v>0</v>
      </c>
      <c r="AA2803" t="s">
        <v>49</v>
      </c>
      <c r="AB2803">
        <v>0</v>
      </c>
      <c r="AC2803" t="s">
        <v>49</v>
      </c>
      <c r="AD2803">
        <v>0</v>
      </c>
      <c r="AE2803">
        <v>10372802</v>
      </c>
      <c r="AF2803" t="s">
        <v>50</v>
      </c>
      <c r="AG2803" t="s">
        <v>118</v>
      </c>
    </row>
    <row r="2804" spans="1:33" x14ac:dyDescent="0.35">
      <c r="A2804" s="1">
        <v>44816.710416666669</v>
      </c>
      <c r="B2804">
        <v>6225942</v>
      </c>
      <c r="C2804" t="s">
        <v>5782</v>
      </c>
      <c r="D2804" t="s">
        <v>2716</v>
      </c>
      <c r="E2804" s="2">
        <v>43941</v>
      </c>
      <c r="F2804" t="str">
        <f>"9781648020902"</f>
        <v>9781648020902</v>
      </c>
      <c r="G2804" t="str">
        <f>"9781648020896"</f>
        <v>9781648020896</v>
      </c>
      <c r="H2804" t="s">
        <v>60</v>
      </c>
      <c r="I2804">
        <v>658.30071999999996</v>
      </c>
      <c r="K2804" t="s">
        <v>55</v>
      </c>
      <c r="Q2804" t="s">
        <v>47</v>
      </c>
      <c r="R2804" t="s">
        <v>44</v>
      </c>
      <c r="S2804">
        <v>0</v>
      </c>
      <c r="W2804" s="3">
        <v>6.9444444444444444E-5</v>
      </c>
      <c r="X2804" t="s">
        <v>196</v>
      </c>
      <c r="Y2804">
        <v>2</v>
      </c>
      <c r="Z2804">
        <v>0</v>
      </c>
      <c r="AA2804" t="s">
        <v>49</v>
      </c>
      <c r="AB2804">
        <v>0</v>
      </c>
      <c r="AC2804" t="s">
        <v>49</v>
      </c>
      <c r="AD2804">
        <v>0</v>
      </c>
      <c r="AE2804">
        <v>-1</v>
      </c>
      <c r="AF2804" t="s">
        <v>50</v>
      </c>
      <c r="AG2804" t="s">
        <v>118</v>
      </c>
    </row>
    <row r="2805" spans="1:33" x14ac:dyDescent="0.35">
      <c r="A2805" s="1">
        <v>44816.710416666669</v>
      </c>
      <c r="B2805">
        <v>453288</v>
      </c>
      <c r="C2805" t="s">
        <v>5783</v>
      </c>
      <c r="D2805" t="s">
        <v>844</v>
      </c>
      <c r="E2805" s="2">
        <v>39654</v>
      </c>
      <c r="F2805" t="str">
        <f>"9781848550056"</f>
        <v>9781848550056</v>
      </c>
      <c r="G2805" t="str">
        <f>"9781848550049"</f>
        <v>9781848550049</v>
      </c>
      <c r="H2805" t="s">
        <v>60</v>
      </c>
      <c r="I2805">
        <v>658.3</v>
      </c>
      <c r="J2805" t="s">
        <v>5784</v>
      </c>
      <c r="K2805" t="s">
        <v>44</v>
      </c>
      <c r="N2805" t="s">
        <v>45</v>
      </c>
      <c r="O2805" t="s">
        <v>46</v>
      </c>
      <c r="P2805" t="s">
        <v>45</v>
      </c>
      <c r="Q2805" t="s">
        <v>47</v>
      </c>
      <c r="R2805" t="s">
        <v>44</v>
      </c>
      <c r="S2805">
        <v>0</v>
      </c>
      <c r="W2805" s="3">
        <v>9.4907407407407408E-4</v>
      </c>
      <c r="X2805" t="s">
        <v>4518</v>
      </c>
      <c r="Y2805">
        <v>4</v>
      </c>
      <c r="Z2805">
        <v>0</v>
      </c>
      <c r="AA2805" t="s">
        <v>49</v>
      </c>
      <c r="AB2805">
        <v>0</v>
      </c>
      <c r="AC2805" t="s">
        <v>49</v>
      </c>
      <c r="AD2805">
        <v>0</v>
      </c>
      <c r="AE2805">
        <v>10310684</v>
      </c>
      <c r="AF2805" t="s">
        <v>50</v>
      </c>
      <c r="AG2805" t="s">
        <v>118</v>
      </c>
    </row>
    <row r="2806" spans="1:33" x14ac:dyDescent="0.35">
      <c r="A2806" s="1">
        <v>44816.65347222222</v>
      </c>
      <c r="B2806">
        <v>468319</v>
      </c>
      <c r="C2806" t="s">
        <v>5785</v>
      </c>
      <c r="D2806" t="s">
        <v>473</v>
      </c>
      <c r="E2806" s="2">
        <v>39050</v>
      </c>
      <c r="F2806" t="str">
        <f>"9789047418771"</f>
        <v>9789047418771</v>
      </c>
      <c r="G2806" t="str">
        <f>"9789004152663"</f>
        <v>9789004152663</v>
      </c>
      <c r="H2806" t="s">
        <v>667</v>
      </c>
      <c r="I2806">
        <v>953.53</v>
      </c>
      <c r="J2806" t="s">
        <v>5786</v>
      </c>
      <c r="K2806" t="s">
        <v>44</v>
      </c>
      <c r="N2806" t="s">
        <v>45</v>
      </c>
      <c r="O2806" t="s">
        <v>46</v>
      </c>
      <c r="P2806" t="s">
        <v>45</v>
      </c>
      <c r="Q2806" t="s">
        <v>47</v>
      </c>
      <c r="R2806" t="s">
        <v>44</v>
      </c>
      <c r="S2806">
        <v>1</v>
      </c>
      <c r="W2806" s="3">
        <v>0</v>
      </c>
      <c r="X2806" t="s">
        <v>49</v>
      </c>
      <c r="Y2806">
        <v>0</v>
      </c>
      <c r="Z2806">
        <v>0</v>
      </c>
      <c r="AA2806" t="s">
        <v>49</v>
      </c>
      <c r="AB2806">
        <v>0</v>
      </c>
      <c r="AC2806" t="s">
        <v>49</v>
      </c>
      <c r="AD2806">
        <v>0</v>
      </c>
      <c r="AE2806">
        <v>10234967</v>
      </c>
      <c r="AF2806" t="s">
        <v>63</v>
      </c>
      <c r="AG2806" t="s">
        <v>118</v>
      </c>
    </row>
    <row r="2807" spans="1:33" x14ac:dyDescent="0.35">
      <c r="A2807" s="1">
        <v>44816.645138888889</v>
      </c>
      <c r="B2807">
        <v>5829217</v>
      </c>
      <c r="C2807" t="s">
        <v>626</v>
      </c>
      <c r="D2807" t="s">
        <v>627</v>
      </c>
      <c r="E2807" s="2">
        <v>43259</v>
      </c>
      <c r="F2807" t="str">
        <f>"9781496395139"</f>
        <v>9781496395139</v>
      </c>
      <c r="G2807" t="str">
        <f>"9781496335418"</f>
        <v>9781496335418</v>
      </c>
      <c r="H2807" t="s">
        <v>77</v>
      </c>
      <c r="I2807" t="s">
        <v>628</v>
      </c>
      <c r="J2807" t="s">
        <v>629</v>
      </c>
      <c r="K2807" t="s">
        <v>44</v>
      </c>
      <c r="N2807" t="s">
        <v>45</v>
      </c>
      <c r="O2807" t="s">
        <v>46</v>
      </c>
      <c r="P2807" t="s">
        <v>45</v>
      </c>
      <c r="Q2807" t="s">
        <v>47</v>
      </c>
      <c r="R2807" t="s">
        <v>44</v>
      </c>
      <c r="S2807">
        <v>0</v>
      </c>
      <c r="W2807" s="3">
        <v>2.7743055555555559E-2</v>
      </c>
      <c r="X2807" t="s">
        <v>5787</v>
      </c>
      <c r="Y2807">
        <v>17</v>
      </c>
      <c r="Z2807">
        <v>0</v>
      </c>
      <c r="AA2807" t="s">
        <v>49</v>
      </c>
      <c r="AB2807">
        <v>0</v>
      </c>
      <c r="AC2807" t="s">
        <v>49</v>
      </c>
      <c r="AD2807">
        <v>0</v>
      </c>
      <c r="AE2807">
        <v>-1</v>
      </c>
      <c r="AF2807" t="s">
        <v>50</v>
      </c>
      <c r="AG2807" t="s">
        <v>741</v>
      </c>
    </row>
    <row r="2808" spans="1:33" x14ac:dyDescent="0.35">
      <c r="A2808" s="1">
        <v>44816.643055555556</v>
      </c>
      <c r="B2808">
        <v>957290</v>
      </c>
      <c r="C2808" t="s">
        <v>4280</v>
      </c>
      <c r="D2808" t="s">
        <v>76</v>
      </c>
      <c r="E2808" s="2">
        <v>40941</v>
      </c>
      <c r="F2808" t="str">
        <f>"9780203127711"</f>
        <v>9780203127711</v>
      </c>
      <c r="G2808" t="str">
        <f>"9780415895347"</f>
        <v>9780415895347</v>
      </c>
      <c r="H2808" t="s">
        <v>1046</v>
      </c>
      <c r="I2808">
        <v>302.23099999999999</v>
      </c>
      <c r="J2808" t="s">
        <v>4281</v>
      </c>
      <c r="K2808" t="s">
        <v>44</v>
      </c>
      <c r="N2808" t="s">
        <v>45</v>
      </c>
      <c r="O2808" t="s">
        <v>46</v>
      </c>
      <c r="P2808" t="s">
        <v>45</v>
      </c>
      <c r="Q2808" t="s">
        <v>47</v>
      </c>
      <c r="R2808" t="s">
        <v>44</v>
      </c>
      <c r="S2808">
        <v>0</v>
      </c>
      <c r="W2808" s="3">
        <v>1.5995370370370372E-2</v>
      </c>
      <c r="X2808" t="s">
        <v>5788</v>
      </c>
      <c r="Y2808">
        <v>25</v>
      </c>
      <c r="Z2808">
        <v>0</v>
      </c>
      <c r="AA2808" t="s">
        <v>49</v>
      </c>
      <c r="AB2808">
        <v>0</v>
      </c>
      <c r="AC2808" t="s">
        <v>1717</v>
      </c>
      <c r="AD2808">
        <v>1</v>
      </c>
      <c r="AE2808">
        <v>10535074</v>
      </c>
      <c r="AF2808" t="s">
        <v>50</v>
      </c>
      <c r="AG2808" t="s">
        <v>118</v>
      </c>
    </row>
    <row r="2809" spans="1:33" x14ac:dyDescent="0.35">
      <c r="A2809" s="1">
        <v>44816.642361111109</v>
      </c>
      <c r="B2809">
        <v>6434395</v>
      </c>
      <c r="C2809" t="s">
        <v>5789</v>
      </c>
      <c r="D2809" t="s">
        <v>5790</v>
      </c>
      <c r="E2809" s="2">
        <v>44222</v>
      </c>
      <c r="F2809" t="str">
        <f>"9781982176655"</f>
        <v>9781982176655</v>
      </c>
      <c r="G2809" t="str">
        <f>"9781982176648"</f>
        <v>9781982176648</v>
      </c>
      <c r="H2809" t="s">
        <v>138</v>
      </c>
      <c r="I2809">
        <v>4.1675000000000004</v>
      </c>
      <c r="J2809" t="s">
        <v>5791</v>
      </c>
      <c r="K2809" t="s">
        <v>55</v>
      </c>
      <c r="Q2809" t="s">
        <v>47</v>
      </c>
      <c r="R2809" t="s">
        <v>44</v>
      </c>
      <c r="S2809">
        <v>0</v>
      </c>
      <c r="W2809" s="3">
        <v>1.3888888888888889E-4</v>
      </c>
      <c r="X2809" t="s">
        <v>121</v>
      </c>
      <c r="Y2809">
        <v>1</v>
      </c>
      <c r="Z2809">
        <v>0</v>
      </c>
      <c r="AA2809" t="s">
        <v>49</v>
      </c>
      <c r="AB2809">
        <v>0</v>
      </c>
      <c r="AC2809" t="s">
        <v>49</v>
      </c>
      <c r="AD2809">
        <v>0</v>
      </c>
      <c r="AE2809">
        <v>-1</v>
      </c>
      <c r="AF2809" t="s">
        <v>50</v>
      </c>
      <c r="AG2809" t="s">
        <v>118</v>
      </c>
    </row>
    <row r="2810" spans="1:33" x14ac:dyDescent="0.35">
      <c r="A2810" s="1">
        <v>44816.631249999999</v>
      </c>
      <c r="B2810">
        <v>980015</v>
      </c>
      <c r="C2810" t="s">
        <v>5792</v>
      </c>
      <c r="D2810" t="s">
        <v>213</v>
      </c>
      <c r="E2810" s="2">
        <v>41143</v>
      </c>
      <c r="F2810" t="str">
        <f>"9780444594488"</f>
        <v>9780444594488</v>
      </c>
      <c r="G2810" t="str">
        <f>"9780444594259"</f>
        <v>9780444594259</v>
      </c>
      <c r="H2810" t="s">
        <v>237</v>
      </c>
      <c r="I2810">
        <v>551.70100000000002</v>
      </c>
      <c r="J2810" t="s">
        <v>5793</v>
      </c>
      <c r="K2810" t="s">
        <v>44</v>
      </c>
      <c r="N2810" t="s">
        <v>45</v>
      </c>
      <c r="O2810" t="s">
        <v>46</v>
      </c>
      <c r="P2810" t="s">
        <v>45</v>
      </c>
      <c r="Q2810" t="s">
        <v>47</v>
      </c>
      <c r="R2810" t="s">
        <v>44</v>
      </c>
      <c r="S2810">
        <v>0</v>
      </c>
      <c r="W2810" s="3">
        <v>1.1574074074074073E-4</v>
      </c>
      <c r="X2810" t="s">
        <v>5794</v>
      </c>
      <c r="Y2810">
        <v>1</v>
      </c>
      <c r="Z2810">
        <v>3</v>
      </c>
      <c r="AA2810" t="s">
        <v>5795</v>
      </c>
      <c r="AB2810">
        <v>186</v>
      </c>
      <c r="AC2810" t="s">
        <v>49</v>
      </c>
      <c r="AD2810">
        <v>0</v>
      </c>
      <c r="AE2810">
        <v>10583672</v>
      </c>
      <c r="AF2810" t="s">
        <v>63</v>
      </c>
      <c r="AG2810" t="s">
        <v>1355</v>
      </c>
    </row>
    <row r="2811" spans="1:33" x14ac:dyDescent="0.35">
      <c r="A2811" s="1">
        <v>44816.593055555553</v>
      </c>
      <c r="B2811">
        <v>5829217</v>
      </c>
      <c r="C2811" t="s">
        <v>626</v>
      </c>
      <c r="D2811" t="s">
        <v>627</v>
      </c>
      <c r="E2811" s="2">
        <v>43259</v>
      </c>
      <c r="F2811" t="str">
        <f>"9781496395139"</f>
        <v>9781496395139</v>
      </c>
      <c r="G2811" t="str">
        <f>"9781496335418"</f>
        <v>9781496335418</v>
      </c>
      <c r="H2811" t="s">
        <v>77</v>
      </c>
      <c r="I2811" t="s">
        <v>628</v>
      </c>
      <c r="J2811" t="s">
        <v>629</v>
      </c>
      <c r="K2811" t="s">
        <v>44</v>
      </c>
      <c r="N2811" t="s">
        <v>45</v>
      </c>
      <c r="O2811" t="s">
        <v>46</v>
      </c>
      <c r="P2811" t="s">
        <v>45</v>
      </c>
      <c r="Q2811" t="s">
        <v>47</v>
      </c>
      <c r="R2811" t="s">
        <v>44</v>
      </c>
      <c r="S2811">
        <v>0</v>
      </c>
      <c r="W2811" s="3">
        <v>2.7199074074074074E-3</v>
      </c>
      <c r="X2811" t="s">
        <v>5796</v>
      </c>
      <c r="Y2811">
        <v>7</v>
      </c>
      <c r="Z2811">
        <v>0</v>
      </c>
      <c r="AA2811" t="s">
        <v>49</v>
      </c>
      <c r="AB2811">
        <v>0</v>
      </c>
      <c r="AC2811" t="s">
        <v>49</v>
      </c>
      <c r="AD2811">
        <v>0</v>
      </c>
      <c r="AE2811">
        <v>-1</v>
      </c>
      <c r="AF2811" t="s">
        <v>50</v>
      </c>
      <c r="AG2811" t="s">
        <v>5797</v>
      </c>
    </row>
    <row r="2812" spans="1:33" x14ac:dyDescent="0.35">
      <c r="A2812" s="1">
        <v>44816.578472222223</v>
      </c>
      <c r="B2812">
        <v>6235109</v>
      </c>
      <c r="C2812" t="s">
        <v>5798</v>
      </c>
      <c r="D2812" t="s">
        <v>502</v>
      </c>
      <c r="E2812" s="2">
        <v>43986</v>
      </c>
      <c r="F2812" t="str">
        <f>"9781108802338"</f>
        <v>9781108802338</v>
      </c>
      <c r="G2812" t="str">
        <f>"9781108488372"</f>
        <v>9781108488372</v>
      </c>
      <c r="H2812" t="s">
        <v>531</v>
      </c>
      <c r="I2812">
        <v>355.03305360904102</v>
      </c>
      <c r="J2812" t="s">
        <v>5799</v>
      </c>
      <c r="K2812" t="s">
        <v>55</v>
      </c>
      <c r="N2812" t="s">
        <v>79</v>
      </c>
      <c r="P2812" t="s">
        <v>1169</v>
      </c>
      <c r="Q2812" t="s">
        <v>47</v>
      </c>
      <c r="R2812" t="s">
        <v>44</v>
      </c>
      <c r="S2812">
        <v>0</v>
      </c>
      <c r="W2812" s="3">
        <v>0</v>
      </c>
      <c r="X2812" t="s">
        <v>49</v>
      </c>
      <c r="Y2812">
        <v>0</v>
      </c>
      <c r="Z2812">
        <v>4</v>
      </c>
      <c r="AA2812" t="s">
        <v>5800</v>
      </c>
      <c r="AB2812">
        <v>26</v>
      </c>
      <c r="AC2812" t="s">
        <v>49</v>
      </c>
      <c r="AD2812">
        <v>0</v>
      </c>
      <c r="AE2812">
        <v>-1</v>
      </c>
      <c r="AF2812" t="s">
        <v>50</v>
      </c>
      <c r="AG2812" t="s">
        <v>5801</v>
      </c>
    </row>
    <row r="2813" spans="1:33" x14ac:dyDescent="0.35">
      <c r="A2813" s="1">
        <v>44816.508333333331</v>
      </c>
      <c r="B2813">
        <v>6361595</v>
      </c>
      <c r="C2813" t="s">
        <v>5802</v>
      </c>
      <c r="D2813" t="s">
        <v>438</v>
      </c>
      <c r="E2813" s="2">
        <v>44105</v>
      </c>
      <c r="F2813" t="str">
        <f>"9781642875140"</f>
        <v>9781642875140</v>
      </c>
      <c r="G2813" t="str">
        <f>""</f>
        <v/>
      </c>
      <c r="H2813" t="s">
        <v>5803</v>
      </c>
      <c r="I2813">
        <v>612</v>
      </c>
      <c r="J2813" t="s">
        <v>5804</v>
      </c>
      <c r="K2813" t="s">
        <v>55</v>
      </c>
      <c r="Q2813" t="s">
        <v>47</v>
      </c>
      <c r="R2813" t="s">
        <v>44</v>
      </c>
      <c r="S2813">
        <v>0</v>
      </c>
      <c r="W2813" s="3">
        <v>3.4375E-3</v>
      </c>
      <c r="X2813" t="s">
        <v>5805</v>
      </c>
      <c r="Y2813">
        <v>57</v>
      </c>
      <c r="Z2813">
        <v>0</v>
      </c>
      <c r="AA2813" t="s">
        <v>49</v>
      </c>
      <c r="AB2813">
        <v>0</v>
      </c>
      <c r="AC2813" t="s">
        <v>49</v>
      </c>
      <c r="AD2813">
        <v>0</v>
      </c>
      <c r="AE2813">
        <v>-1</v>
      </c>
      <c r="AF2813" t="s">
        <v>50</v>
      </c>
      <c r="AG2813" t="s">
        <v>5140</v>
      </c>
    </row>
    <row r="2814" spans="1:33" x14ac:dyDescent="0.35">
      <c r="A2814" s="1">
        <v>44816.477777777778</v>
      </c>
      <c r="B2814">
        <v>5829217</v>
      </c>
      <c r="C2814" t="s">
        <v>626</v>
      </c>
      <c r="D2814" t="s">
        <v>627</v>
      </c>
      <c r="E2814" s="2">
        <v>43259</v>
      </c>
      <c r="F2814" t="str">
        <f>"9781496395139"</f>
        <v>9781496395139</v>
      </c>
      <c r="G2814" t="str">
        <f>"9781496335418"</f>
        <v>9781496335418</v>
      </c>
      <c r="H2814" t="s">
        <v>77</v>
      </c>
      <c r="I2814" t="s">
        <v>628</v>
      </c>
      <c r="J2814" t="s">
        <v>629</v>
      </c>
      <c r="K2814" t="s">
        <v>44</v>
      </c>
      <c r="N2814" t="s">
        <v>45</v>
      </c>
      <c r="O2814" t="s">
        <v>46</v>
      </c>
      <c r="P2814" t="s">
        <v>45</v>
      </c>
      <c r="Q2814" t="s">
        <v>47</v>
      </c>
      <c r="R2814" t="s">
        <v>44</v>
      </c>
      <c r="S2814">
        <v>0</v>
      </c>
      <c r="W2814" s="3">
        <v>9.3321759259259271E-2</v>
      </c>
      <c r="X2814" t="s">
        <v>5806</v>
      </c>
      <c r="Y2814">
        <v>45</v>
      </c>
      <c r="Z2814">
        <v>0</v>
      </c>
      <c r="AA2814" t="s">
        <v>49</v>
      </c>
      <c r="AB2814">
        <v>0</v>
      </c>
      <c r="AC2814" t="s">
        <v>49</v>
      </c>
      <c r="AD2814">
        <v>0</v>
      </c>
      <c r="AE2814">
        <v>-1</v>
      </c>
      <c r="AF2814" t="s">
        <v>50</v>
      </c>
      <c r="AG2814" t="s">
        <v>741</v>
      </c>
    </row>
    <row r="2815" spans="1:33" x14ac:dyDescent="0.35">
      <c r="A2815" s="1">
        <v>44816.452777777777</v>
      </c>
      <c r="B2815">
        <v>1790537</v>
      </c>
      <c r="C2815" t="s">
        <v>5807</v>
      </c>
      <c r="D2815" t="s">
        <v>4269</v>
      </c>
      <c r="E2815" s="2">
        <v>41871</v>
      </c>
      <c r="F2815" t="str">
        <f>"9783131987716"</f>
        <v>9783131987716</v>
      </c>
      <c r="G2815" t="str">
        <f>"9783131987617"</f>
        <v>9783131987617</v>
      </c>
      <c r="H2815" t="s">
        <v>77</v>
      </c>
      <c r="I2815">
        <v>616.07572000000005</v>
      </c>
      <c r="J2815" t="s">
        <v>5808</v>
      </c>
      <c r="K2815" t="s">
        <v>44</v>
      </c>
      <c r="N2815" t="s">
        <v>45</v>
      </c>
      <c r="O2815" t="s">
        <v>46</v>
      </c>
      <c r="P2815" t="s">
        <v>45</v>
      </c>
      <c r="Q2815" t="s">
        <v>47</v>
      </c>
      <c r="R2815" t="s">
        <v>44</v>
      </c>
      <c r="S2815">
        <v>0</v>
      </c>
      <c r="W2815" s="3">
        <v>1.6203703703703703E-4</v>
      </c>
      <c r="X2815" t="s">
        <v>5809</v>
      </c>
      <c r="Y2815">
        <v>3</v>
      </c>
      <c r="Z2815">
        <v>0</v>
      </c>
      <c r="AA2815" t="s">
        <v>49</v>
      </c>
      <c r="AB2815">
        <v>0</v>
      </c>
      <c r="AC2815" t="s">
        <v>49</v>
      </c>
      <c r="AD2815">
        <v>0</v>
      </c>
      <c r="AE2815">
        <v>10934968</v>
      </c>
      <c r="AF2815" t="s">
        <v>50</v>
      </c>
      <c r="AG2815" t="s">
        <v>5772</v>
      </c>
    </row>
    <row r="2816" spans="1:33" x14ac:dyDescent="0.35">
      <c r="A2816" s="1">
        <v>44816.015972222223</v>
      </c>
      <c r="B2816">
        <v>6670414</v>
      </c>
      <c r="C2816" t="s">
        <v>5810</v>
      </c>
      <c r="D2816" t="s">
        <v>5811</v>
      </c>
      <c r="E2816" s="2">
        <v>42550</v>
      </c>
      <c r="F2816" t="str">
        <f>"9781935704287"</f>
        <v>9781935704287</v>
      </c>
      <c r="G2816" t="str">
        <f>""</f>
        <v/>
      </c>
      <c r="H2816" t="s">
        <v>5812</v>
      </c>
      <c r="I2816">
        <v>363.34</v>
      </c>
      <c r="J2816" t="s">
        <v>5813</v>
      </c>
      <c r="K2816" t="s">
        <v>55</v>
      </c>
      <c r="N2816" t="s">
        <v>79</v>
      </c>
      <c r="P2816" t="s">
        <v>80</v>
      </c>
      <c r="Q2816" t="s">
        <v>47</v>
      </c>
      <c r="R2816" t="s">
        <v>44</v>
      </c>
      <c r="S2816">
        <v>0</v>
      </c>
      <c r="W2816" s="3">
        <v>1.1574074074074073E-5</v>
      </c>
      <c r="X2816" t="s">
        <v>49</v>
      </c>
      <c r="Y2816">
        <v>0</v>
      </c>
      <c r="Z2816">
        <v>2</v>
      </c>
      <c r="AA2816" t="s">
        <v>5814</v>
      </c>
      <c r="AB2816">
        <v>50</v>
      </c>
      <c r="AC2816" t="s">
        <v>49</v>
      </c>
      <c r="AD2816">
        <v>0</v>
      </c>
      <c r="AE2816">
        <v>-1</v>
      </c>
      <c r="AF2816" t="s">
        <v>50</v>
      </c>
      <c r="AG2816" t="s">
        <v>118</v>
      </c>
    </row>
    <row r="2817" spans="1:33" x14ac:dyDescent="0.35">
      <c r="A2817" s="1">
        <v>44815.974305555559</v>
      </c>
      <c r="B2817">
        <v>4746679</v>
      </c>
      <c r="C2817" t="s">
        <v>5815</v>
      </c>
      <c r="D2817" t="s">
        <v>1139</v>
      </c>
      <c r="E2817" s="2">
        <v>42681</v>
      </c>
      <c r="F2817" t="str">
        <f>"9789402408966"</f>
        <v>9789402408966</v>
      </c>
      <c r="G2817" t="str">
        <f>"9789402408942"</f>
        <v>9789402408942</v>
      </c>
      <c r="H2817" t="s">
        <v>1454</v>
      </c>
      <c r="I2817">
        <v>551.55130151180003</v>
      </c>
      <c r="J2817" t="s">
        <v>5816</v>
      </c>
      <c r="K2817" t="s">
        <v>55</v>
      </c>
      <c r="N2817" t="s">
        <v>79</v>
      </c>
      <c r="P2817" t="s">
        <v>80</v>
      </c>
      <c r="Q2817" t="s">
        <v>47</v>
      </c>
      <c r="R2817" t="s">
        <v>44</v>
      </c>
      <c r="S2817">
        <v>0</v>
      </c>
      <c r="W2817" s="3">
        <v>2.5115740740740741E-3</v>
      </c>
      <c r="X2817" t="s">
        <v>5817</v>
      </c>
      <c r="Y2817">
        <v>21</v>
      </c>
      <c r="Z2817">
        <v>2</v>
      </c>
      <c r="AA2817" t="s">
        <v>5818</v>
      </c>
      <c r="AB2817">
        <v>194</v>
      </c>
      <c r="AC2817" t="s">
        <v>49</v>
      </c>
      <c r="AD2817">
        <v>0</v>
      </c>
      <c r="AE2817">
        <v>11300747</v>
      </c>
      <c r="AF2817" t="s">
        <v>50</v>
      </c>
      <c r="AG2817" t="s">
        <v>118</v>
      </c>
    </row>
    <row r="2818" spans="1:33" x14ac:dyDescent="0.35">
      <c r="A2818" s="1">
        <v>44815.468055555553</v>
      </c>
      <c r="B2818">
        <v>6528145</v>
      </c>
      <c r="C2818" t="s">
        <v>5819</v>
      </c>
      <c r="D2818" t="s">
        <v>65</v>
      </c>
      <c r="E2818" s="2">
        <v>44293</v>
      </c>
      <c r="F2818" t="str">
        <f>"9780128231241"</f>
        <v>9780128231241</v>
      </c>
      <c r="G2818" t="str">
        <f>"9780128231234"</f>
        <v>9780128231234</v>
      </c>
      <c r="H2818" t="s">
        <v>106</v>
      </c>
      <c r="I2818">
        <v>6.31</v>
      </c>
      <c r="J2818" t="s">
        <v>5820</v>
      </c>
      <c r="K2818" t="s">
        <v>55</v>
      </c>
      <c r="Q2818" t="s">
        <v>47</v>
      </c>
      <c r="R2818" t="s">
        <v>44</v>
      </c>
      <c r="S2818">
        <v>0</v>
      </c>
      <c r="W2818" s="3">
        <v>2.5462962962962961E-4</v>
      </c>
      <c r="X2818" t="s">
        <v>3078</v>
      </c>
      <c r="Y2818">
        <v>4</v>
      </c>
      <c r="Z2818">
        <v>0</v>
      </c>
      <c r="AA2818" t="s">
        <v>49</v>
      </c>
      <c r="AB2818">
        <v>0</v>
      </c>
      <c r="AC2818" t="s">
        <v>49</v>
      </c>
      <c r="AD2818">
        <v>0</v>
      </c>
      <c r="AE2818">
        <v>-1</v>
      </c>
      <c r="AF2818" t="s">
        <v>63</v>
      </c>
      <c r="AG2818" t="s">
        <v>3037</v>
      </c>
    </row>
    <row r="2819" spans="1:33" x14ac:dyDescent="0.35">
      <c r="A2819" s="1">
        <v>44815.463194444441</v>
      </c>
      <c r="B2819">
        <v>6175331</v>
      </c>
      <c r="C2819" t="s">
        <v>5821</v>
      </c>
      <c r="D2819" t="s">
        <v>141</v>
      </c>
      <c r="E2819" s="2">
        <v>43931</v>
      </c>
      <c r="F2819" t="str">
        <f>"9781838554767"</f>
        <v>9781838554767</v>
      </c>
      <c r="G2819" t="str">
        <f>"9781838552657"</f>
        <v>9781838552657</v>
      </c>
      <c r="H2819" t="s">
        <v>138</v>
      </c>
      <c r="I2819">
        <v>5.133</v>
      </c>
      <c r="J2819" t="s">
        <v>5822</v>
      </c>
      <c r="K2819" t="s">
        <v>55</v>
      </c>
      <c r="Q2819" t="s">
        <v>47</v>
      </c>
      <c r="R2819" t="s">
        <v>44</v>
      </c>
      <c r="S2819">
        <v>0</v>
      </c>
      <c r="W2819" s="3">
        <v>1.7824074074074072E-3</v>
      </c>
      <c r="X2819" t="s">
        <v>5823</v>
      </c>
      <c r="Y2819">
        <v>11</v>
      </c>
      <c r="Z2819">
        <v>0</v>
      </c>
      <c r="AA2819" t="s">
        <v>49</v>
      </c>
      <c r="AB2819">
        <v>0</v>
      </c>
      <c r="AC2819" t="s">
        <v>49</v>
      </c>
      <c r="AD2819">
        <v>0</v>
      </c>
      <c r="AE2819">
        <v>-1</v>
      </c>
      <c r="AF2819" t="s">
        <v>63</v>
      </c>
      <c r="AG2819" t="s">
        <v>3037</v>
      </c>
    </row>
    <row r="2820" spans="1:33" x14ac:dyDescent="0.35">
      <c r="A2820" s="1">
        <v>44815.454861111109</v>
      </c>
      <c r="B2820">
        <v>6946268</v>
      </c>
      <c r="C2820" t="s">
        <v>333</v>
      </c>
      <c r="D2820" t="s">
        <v>213</v>
      </c>
      <c r="E2820" s="2">
        <v>44658</v>
      </c>
      <c r="F2820" t="str">
        <f>"9780323859875"</f>
        <v>9780323859875</v>
      </c>
      <c r="G2820" t="str">
        <f>"9780128244708"</f>
        <v>9780128244708</v>
      </c>
      <c r="H2820" t="s">
        <v>261</v>
      </c>
      <c r="I2820">
        <v>628.16200000000003</v>
      </c>
      <c r="J2820" t="s">
        <v>334</v>
      </c>
      <c r="K2820" t="s">
        <v>55</v>
      </c>
      <c r="N2820" t="s">
        <v>79</v>
      </c>
      <c r="P2820" t="s">
        <v>80</v>
      </c>
      <c r="Q2820" t="s">
        <v>47</v>
      </c>
      <c r="R2820" t="s">
        <v>44</v>
      </c>
      <c r="S2820">
        <v>0</v>
      </c>
      <c r="W2820" s="3">
        <v>4.6296296296296293E-4</v>
      </c>
      <c r="X2820" t="s">
        <v>5824</v>
      </c>
      <c r="Y2820">
        <v>2</v>
      </c>
      <c r="Z2820">
        <v>0</v>
      </c>
      <c r="AA2820" t="s">
        <v>49</v>
      </c>
      <c r="AB2820">
        <v>0</v>
      </c>
      <c r="AC2820" t="s">
        <v>49</v>
      </c>
      <c r="AD2820">
        <v>0</v>
      </c>
      <c r="AE2820">
        <v>-1</v>
      </c>
      <c r="AF2820" t="s">
        <v>50</v>
      </c>
      <c r="AG2820" t="s">
        <v>118</v>
      </c>
    </row>
    <row r="2821" spans="1:33" x14ac:dyDescent="0.35">
      <c r="A2821" s="1">
        <v>44814.96597222222</v>
      </c>
      <c r="B2821">
        <v>6554313</v>
      </c>
      <c r="C2821" t="s">
        <v>5825</v>
      </c>
      <c r="D2821" t="s">
        <v>810</v>
      </c>
      <c r="E2821" s="2">
        <v>44346</v>
      </c>
      <c r="F2821" t="str">
        <f>"9781627083263"</f>
        <v>9781627083263</v>
      </c>
      <c r="G2821" t="str">
        <f>"9781627083249"</f>
        <v>9781627083249</v>
      </c>
      <c r="H2821" t="s">
        <v>5826</v>
      </c>
      <c r="I2821">
        <v>671.36</v>
      </c>
      <c r="J2821" t="s">
        <v>5827</v>
      </c>
      <c r="K2821" t="s">
        <v>44</v>
      </c>
      <c r="N2821" t="s">
        <v>45</v>
      </c>
      <c r="O2821" t="s">
        <v>46</v>
      </c>
      <c r="P2821" t="s">
        <v>45</v>
      </c>
      <c r="Q2821" t="s">
        <v>47</v>
      </c>
      <c r="R2821" t="s">
        <v>44</v>
      </c>
      <c r="S2821">
        <v>0</v>
      </c>
      <c r="W2821" s="3">
        <v>0</v>
      </c>
      <c r="X2821" t="s">
        <v>49</v>
      </c>
      <c r="Y2821">
        <v>0</v>
      </c>
      <c r="Z2821">
        <v>2</v>
      </c>
      <c r="AA2821" t="s">
        <v>5828</v>
      </c>
      <c r="AB2821">
        <v>63</v>
      </c>
      <c r="AC2821" t="s">
        <v>49</v>
      </c>
      <c r="AD2821">
        <v>0</v>
      </c>
      <c r="AE2821">
        <v>-1</v>
      </c>
      <c r="AF2821" t="s">
        <v>50</v>
      </c>
      <c r="AG2821" t="s">
        <v>5772</v>
      </c>
    </row>
    <row r="2822" spans="1:33" x14ac:dyDescent="0.35">
      <c r="A2822" s="1">
        <v>44814.772916666669</v>
      </c>
      <c r="B2822">
        <v>843655</v>
      </c>
      <c r="C2822" t="s">
        <v>5829</v>
      </c>
      <c r="D2822" t="s">
        <v>59</v>
      </c>
      <c r="E2822" s="2">
        <v>41058</v>
      </c>
      <c r="F2822" t="str">
        <f>"9781118273111"</f>
        <v>9781118273111</v>
      </c>
      <c r="G2822" t="str">
        <f>"9781118243046"</f>
        <v>9781118243046</v>
      </c>
      <c r="H2822" t="s">
        <v>542</v>
      </c>
      <c r="I2822">
        <v>621.38149999999996</v>
      </c>
      <c r="J2822" t="s">
        <v>5830</v>
      </c>
      <c r="K2822" t="s">
        <v>44</v>
      </c>
      <c r="N2822" t="s">
        <v>45</v>
      </c>
      <c r="O2822" t="s">
        <v>46</v>
      </c>
      <c r="P2822" t="s">
        <v>45</v>
      </c>
      <c r="Q2822" t="s">
        <v>47</v>
      </c>
      <c r="R2822" t="s">
        <v>44</v>
      </c>
      <c r="S2822">
        <v>0</v>
      </c>
      <c r="W2822" s="3">
        <v>1.1226851851851851E-3</v>
      </c>
      <c r="X2822" t="s">
        <v>5831</v>
      </c>
      <c r="Y2822">
        <v>9</v>
      </c>
      <c r="Z2822">
        <v>0</v>
      </c>
      <c r="AA2822" t="s">
        <v>49</v>
      </c>
      <c r="AB2822">
        <v>0</v>
      </c>
      <c r="AC2822" t="s">
        <v>49</v>
      </c>
      <c r="AD2822">
        <v>0</v>
      </c>
      <c r="AE2822">
        <v>10538699</v>
      </c>
      <c r="AF2822" t="s">
        <v>63</v>
      </c>
      <c r="AG2822" t="s">
        <v>3037</v>
      </c>
    </row>
    <row r="2823" spans="1:33" x14ac:dyDescent="0.35">
      <c r="A2823" s="1">
        <v>44814.695138888892</v>
      </c>
      <c r="B2823">
        <v>5829217</v>
      </c>
      <c r="C2823" t="s">
        <v>626</v>
      </c>
      <c r="D2823" t="s">
        <v>627</v>
      </c>
      <c r="E2823" s="2">
        <v>43259</v>
      </c>
      <c r="F2823" t="str">
        <f>"9781496395139"</f>
        <v>9781496395139</v>
      </c>
      <c r="G2823" t="str">
        <f>"9781496335418"</f>
        <v>9781496335418</v>
      </c>
      <c r="H2823" t="s">
        <v>77</v>
      </c>
      <c r="I2823" t="s">
        <v>628</v>
      </c>
      <c r="J2823" t="s">
        <v>629</v>
      </c>
      <c r="K2823" t="s">
        <v>44</v>
      </c>
      <c r="N2823" t="s">
        <v>45</v>
      </c>
      <c r="O2823" t="s">
        <v>46</v>
      </c>
      <c r="P2823" t="s">
        <v>45</v>
      </c>
      <c r="Q2823" t="s">
        <v>47</v>
      </c>
      <c r="R2823" t="s">
        <v>44</v>
      </c>
      <c r="S2823">
        <v>0</v>
      </c>
      <c r="W2823" s="3">
        <v>7.8032407407407411E-2</v>
      </c>
      <c r="X2823" t="s">
        <v>5832</v>
      </c>
      <c r="Y2823">
        <v>31</v>
      </c>
      <c r="Z2823">
        <v>0</v>
      </c>
      <c r="AA2823" t="s">
        <v>49</v>
      </c>
      <c r="AB2823">
        <v>0</v>
      </c>
      <c r="AC2823" t="s">
        <v>49</v>
      </c>
      <c r="AD2823">
        <v>0</v>
      </c>
      <c r="AE2823">
        <v>-1</v>
      </c>
      <c r="AF2823" t="s">
        <v>63</v>
      </c>
      <c r="AG2823" t="s">
        <v>741</v>
      </c>
    </row>
    <row r="2824" spans="1:33" x14ac:dyDescent="0.35">
      <c r="A2824" s="1">
        <v>44814.534722222219</v>
      </c>
      <c r="B2824">
        <v>6621529</v>
      </c>
      <c r="C2824" t="s">
        <v>5833</v>
      </c>
      <c r="D2824" t="s">
        <v>76</v>
      </c>
      <c r="E2824" s="2">
        <v>44379</v>
      </c>
      <c r="F2824" t="str">
        <f>"9781000406306"</f>
        <v>9781000406306</v>
      </c>
      <c r="G2824" t="str">
        <f>"9780367262228"</f>
        <v>9780367262228</v>
      </c>
      <c r="H2824" t="s">
        <v>90</v>
      </c>
      <c r="I2824" t="s">
        <v>5834</v>
      </c>
      <c r="J2824" t="s">
        <v>5835</v>
      </c>
      <c r="K2824" t="s">
        <v>55</v>
      </c>
      <c r="Q2824" t="s">
        <v>47</v>
      </c>
      <c r="R2824" t="s">
        <v>44</v>
      </c>
      <c r="S2824">
        <v>0</v>
      </c>
      <c r="W2824" s="3">
        <v>3.9351851851851852E-4</v>
      </c>
      <c r="X2824" t="s">
        <v>320</v>
      </c>
      <c r="Y2824">
        <v>3</v>
      </c>
      <c r="Z2824">
        <v>0</v>
      </c>
      <c r="AA2824" t="s">
        <v>49</v>
      </c>
      <c r="AB2824">
        <v>0</v>
      </c>
      <c r="AC2824" t="s">
        <v>49</v>
      </c>
      <c r="AD2824">
        <v>0</v>
      </c>
      <c r="AE2824">
        <v>-1</v>
      </c>
      <c r="AF2824" t="s">
        <v>50</v>
      </c>
      <c r="AG2824" t="s">
        <v>118</v>
      </c>
    </row>
    <row r="2825" spans="1:33" x14ac:dyDescent="0.35">
      <c r="A2825" s="1">
        <v>44814.53402777778</v>
      </c>
      <c r="B2825">
        <v>366363</v>
      </c>
      <c r="C2825" t="s">
        <v>5836</v>
      </c>
      <c r="D2825" t="s">
        <v>76</v>
      </c>
      <c r="E2825" s="2">
        <v>37438</v>
      </c>
      <c r="F2825" t="str">
        <f>"9781410606655"</f>
        <v>9781410606655</v>
      </c>
      <c r="G2825" t="str">
        <f>"9780805840629"</f>
        <v>9780805840629</v>
      </c>
      <c r="H2825" t="s">
        <v>5837</v>
      </c>
      <c r="I2825" t="s">
        <v>5838</v>
      </c>
      <c r="J2825" t="s">
        <v>5839</v>
      </c>
      <c r="K2825" t="s">
        <v>44</v>
      </c>
      <c r="N2825" t="s">
        <v>45</v>
      </c>
      <c r="O2825" t="s">
        <v>46</v>
      </c>
      <c r="P2825" t="s">
        <v>45</v>
      </c>
      <c r="Q2825" t="s">
        <v>47</v>
      </c>
      <c r="R2825" t="s">
        <v>44</v>
      </c>
      <c r="S2825">
        <v>0</v>
      </c>
      <c r="W2825" s="3">
        <v>6.9444444444444444E-5</v>
      </c>
      <c r="X2825" t="s">
        <v>196</v>
      </c>
      <c r="Y2825">
        <v>2</v>
      </c>
      <c r="Z2825">
        <v>0</v>
      </c>
      <c r="AA2825" t="s">
        <v>49</v>
      </c>
      <c r="AB2825">
        <v>0</v>
      </c>
      <c r="AC2825" t="s">
        <v>49</v>
      </c>
      <c r="AD2825">
        <v>0</v>
      </c>
      <c r="AE2825">
        <v>10258300</v>
      </c>
      <c r="AF2825" t="s">
        <v>50</v>
      </c>
      <c r="AG2825" t="s">
        <v>118</v>
      </c>
    </row>
    <row r="2826" spans="1:33" x14ac:dyDescent="0.35">
      <c r="A2826" s="1">
        <v>44813.777083333334</v>
      </c>
      <c r="B2826">
        <v>4530240</v>
      </c>
      <c r="C2826" t="s">
        <v>1361</v>
      </c>
      <c r="D2826" t="s">
        <v>213</v>
      </c>
      <c r="E2826" s="2">
        <v>41703</v>
      </c>
      <c r="F2826" t="str">
        <f>"9780080994192"</f>
        <v>9780080994192</v>
      </c>
      <c r="G2826" t="str">
        <f>"9780080994178"</f>
        <v>9780080994178</v>
      </c>
      <c r="H2826" t="s">
        <v>4839</v>
      </c>
      <c r="I2826">
        <v>670.72</v>
      </c>
      <c r="J2826" t="s">
        <v>4840</v>
      </c>
      <c r="K2826" t="s">
        <v>44</v>
      </c>
      <c r="N2826" t="s">
        <v>45</v>
      </c>
      <c r="O2826" t="s">
        <v>46</v>
      </c>
      <c r="P2826" t="s">
        <v>45</v>
      </c>
      <c r="Q2826" t="s">
        <v>47</v>
      </c>
      <c r="R2826" t="s">
        <v>44</v>
      </c>
      <c r="S2826">
        <v>1</v>
      </c>
      <c r="W2826" s="3">
        <v>0</v>
      </c>
      <c r="X2826" t="s">
        <v>49</v>
      </c>
      <c r="Y2826">
        <v>0</v>
      </c>
      <c r="Z2826">
        <v>0</v>
      </c>
      <c r="AA2826" t="s">
        <v>49</v>
      </c>
      <c r="AB2826">
        <v>0</v>
      </c>
      <c r="AC2826" t="s">
        <v>49</v>
      </c>
      <c r="AD2826">
        <v>0</v>
      </c>
      <c r="AE2826">
        <v>11233279</v>
      </c>
      <c r="AF2826" t="s">
        <v>63</v>
      </c>
      <c r="AG2826" t="s">
        <v>118</v>
      </c>
    </row>
    <row r="2827" spans="1:33" x14ac:dyDescent="0.35">
      <c r="A2827" s="1">
        <v>44813.736111111109</v>
      </c>
      <c r="B2827">
        <v>5829217</v>
      </c>
      <c r="C2827" t="s">
        <v>626</v>
      </c>
      <c r="D2827" t="s">
        <v>627</v>
      </c>
      <c r="E2827" s="2">
        <v>43259</v>
      </c>
      <c r="F2827" t="str">
        <f>"9781496395139"</f>
        <v>9781496395139</v>
      </c>
      <c r="G2827" t="str">
        <f>"9781496335418"</f>
        <v>9781496335418</v>
      </c>
      <c r="H2827" t="s">
        <v>77</v>
      </c>
      <c r="I2827" t="s">
        <v>628</v>
      </c>
      <c r="J2827" t="s">
        <v>629</v>
      </c>
      <c r="K2827" t="s">
        <v>44</v>
      </c>
      <c r="N2827" t="s">
        <v>45</v>
      </c>
      <c r="O2827" t="s">
        <v>46</v>
      </c>
      <c r="P2827" t="s">
        <v>45</v>
      </c>
      <c r="Q2827" t="s">
        <v>47</v>
      </c>
      <c r="R2827" t="s">
        <v>44</v>
      </c>
      <c r="S2827">
        <v>0</v>
      </c>
      <c r="W2827" s="3">
        <v>1.8703703703703705E-2</v>
      </c>
      <c r="X2827" t="s">
        <v>5840</v>
      </c>
      <c r="Y2827">
        <v>11</v>
      </c>
      <c r="Z2827">
        <v>0</v>
      </c>
      <c r="AA2827" t="s">
        <v>49</v>
      </c>
      <c r="AB2827">
        <v>0</v>
      </c>
      <c r="AC2827" t="s">
        <v>49</v>
      </c>
      <c r="AD2827">
        <v>0</v>
      </c>
      <c r="AE2827">
        <v>-1</v>
      </c>
      <c r="AF2827" t="s">
        <v>50</v>
      </c>
      <c r="AG2827" t="s">
        <v>741</v>
      </c>
    </row>
    <row r="2828" spans="1:33" x14ac:dyDescent="0.35">
      <c r="A2828" s="1">
        <v>44813.686805555553</v>
      </c>
      <c r="B2828">
        <v>5829217</v>
      </c>
      <c r="C2828" t="s">
        <v>626</v>
      </c>
      <c r="D2828" t="s">
        <v>627</v>
      </c>
      <c r="E2828" s="2">
        <v>43259</v>
      </c>
      <c r="F2828" t="str">
        <f>"9781496395139"</f>
        <v>9781496395139</v>
      </c>
      <c r="G2828" t="str">
        <f>"9781496335418"</f>
        <v>9781496335418</v>
      </c>
      <c r="H2828" t="s">
        <v>77</v>
      </c>
      <c r="I2828" t="s">
        <v>628</v>
      </c>
      <c r="J2828" t="s">
        <v>629</v>
      </c>
      <c r="K2828" t="s">
        <v>44</v>
      </c>
      <c r="N2828" t="s">
        <v>45</v>
      </c>
      <c r="O2828" t="s">
        <v>46</v>
      </c>
      <c r="P2828" t="s">
        <v>45</v>
      </c>
      <c r="Q2828" t="s">
        <v>47</v>
      </c>
      <c r="R2828" t="s">
        <v>44</v>
      </c>
      <c r="S2828">
        <v>0</v>
      </c>
      <c r="W2828" s="3">
        <v>1.6076388888888887E-2</v>
      </c>
      <c r="X2828" t="s">
        <v>5841</v>
      </c>
      <c r="Y2828">
        <v>5</v>
      </c>
      <c r="Z2828">
        <v>0</v>
      </c>
      <c r="AA2828" t="s">
        <v>49</v>
      </c>
      <c r="AB2828">
        <v>0</v>
      </c>
      <c r="AC2828" t="s">
        <v>5842</v>
      </c>
      <c r="AD2828">
        <v>2</v>
      </c>
      <c r="AE2828">
        <v>-1</v>
      </c>
      <c r="AF2828" t="s">
        <v>63</v>
      </c>
      <c r="AG2828" t="s">
        <v>741</v>
      </c>
    </row>
    <row r="2829" spans="1:33" x14ac:dyDescent="0.35">
      <c r="A2829" s="1">
        <v>44813.654166666667</v>
      </c>
      <c r="B2829">
        <v>5752801</v>
      </c>
      <c r="C2829" t="s">
        <v>2344</v>
      </c>
      <c r="D2829" t="s">
        <v>2345</v>
      </c>
      <c r="E2829" s="2">
        <v>43516</v>
      </c>
      <c r="F2829" t="str">
        <f>"9781547573660"</f>
        <v>9781547573660</v>
      </c>
      <c r="G2829" t="str">
        <f>""</f>
        <v/>
      </c>
      <c r="H2829" t="s">
        <v>171</v>
      </c>
      <c r="I2829">
        <v>428.00760000000002</v>
      </c>
      <c r="J2829" t="s">
        <v>2346</v>
      </c>
      <c r="K2829" t="s">
        <v>55</v>
      </c>
      <c r="Q2829" t="s">
        <v>47</v>
      </c>
      <c r="R2829" t="s">
        <v>44</v>
      </c>
      <c r="S2829">
        <v>0</v>
      </c>
      <c r="W2829" s="3">
        <v>4.4328703703703709E-3</v>
      </c>
      <c r="X2829" t="s">
        <v>5843</v>
      </c>
      <c r="Y2829">
        <v>25</v>
      </c>
      <c r="Z2829">
        <v>0</v>
      </c>
      <c r="AA2829" t="s">
        <v>49</v>
      </c>
      <c r="AB2829">
        <v>0</v>
      </c>
      <c r="AC2829" t="s">
        <v>49</v>
      </c>
      <c r="AD2829">
        <v>0</v>
      </c>
      <c r="AE2829">
        <v>-1</v>
      </c>
      <c r="AF2829" t="s">
        <v>63</v>
      </c>
      <c r="AG2829" t="s">
        <v>5844</v>
      </c>
    </row>
    <row r="2830" spans="1:33" x14ac:dyDescent="0.35">
      <c r="A2830" s="1">
        <v>44813.647916666669</v>
      </c>
      <c r="B2830">
        <v>5829217</v>
      </c>
      <c r="C2830" t="s">
        <v>626</v>
      </c>
      <c r="D2830" t="s">
        <v>627</v>
      </c>
      <c r="E2830" s="2">
        <v>43259</v>
      </c>
      <c r="F2830" t="str">
        <f>"9781496395139"</f>
        <v>9781496395139</v>
      </c>
      <c r="G2830" t="str">
        <f>"9781496335418"</f>
        <v>9781496335418</v>
      </c>
      <c r="H2830" t="s">
        <v>77</v>
      </c>
      <c r="I2830" t="s">
        <v>628</v>
      </c>
      <c r="J2830" t="s">
        <v>629</v>
      </c>
      <c r="K2830" t="s">
        <v>44</v>
      </c>
      <c r="N2830" t="s">
        <v>45</v>
      </c>
      <c r="O2830" t="s">
        <v>46</v>
      </c>
      <c r="P2830" t="s">
        <v>45</v>
      </c>
      <c r="Q2830" t="s">
        <v>47</v>
      </c>
      <c r="R2830" t="s">
        <v>44</v>
      </c>
      <c r="S2830">
        <v>0</v>
      </c>
      <c r="W2830" s="3">
        <v>1.8634259259259257E-2</v>
      </c>
      <c r="X2830" t="s">
        <v>5845</v>
      </c>
      <c r="Y2830">
        <v>16</v>
      </c>
      <c r="Z2830">
        <v>0</v>
      </c>
      <c r="AA2830" t="s">
        <v>49</v>
      </c>
      <c r="AB2830">
        <v>0</v>
      </c>
      <c r="AC2830" t="s">
        <v>49</v>
      </c>
      <c r="AD2830">
        <v>0</v>
      </c>
      <c r="AE2830">
        <v>-1</v>
      </c>
      <c r="AF2830" t="s">
        <v>50</v>
      </c>
      <c r="AG2830" t="s">
        <v>741</v>
      </c>
    </row>
    <row r="2831" spans="1:33" x14ac:dyDescent="0.35">
      <c r="A2831" s="1">
        <v>44813.646527777775</v>
      </c>
      <c r="B2831">
        <v>5752801</v>
      </c>
      <c r="C2831" t="s">
        <v>2344</v>
      </c>
      <c r="D2831" t="s">
        <v>2345</v>
      </c>
      <c r="E2831" s="2">
        <v>43516</v>
      </c>
      <c r="F2831" t="str">
        <f>"9781547573660"</f>
        <v>9781547573660</v>
      </c>
      <c r="G2831" t="str">
        <f>""</f>
        <v/>
      </c>
      <c r="H2831" t="s">
        <v>171</v>
      </c>
      <c r="I2831">
        <v>428.00760000000002</v>
      </c>
      <c r="J2831" t="s">
        <v>2346</v>
      </c>
      <c r="K2831" t="s">
        <v>55</v>
      </c>
      <c r="Q2831" t="s">
        <v>47</v>
      </c>
      <c r="R2831" t="s">
        <v>44</v>
      </c>
      <c r="S2831">
        <v>0</v>
      </c>
      <c r="W2831" s="3">
        <v>5.2083333333333333E-4</v>
      </c>
      <c r="X2831" t="s">
        <v>5846</v>
      </c>
      <c r="Y2831">
        <v>10</v>
      </c>
      <c r="Z2831">
        <v>0</v>
      </c>
      <c r="AA2831" t="s">
        <v>49</v>
      </c>
      <c r="AB2831">
        <v>0</v>
      </c>
      <c r="AC2831" t="s">
        <v>49</v>
      </c>
      <c r="AD2831">
        <v>0</v>
      </c>
      <c r="AE2831">
        <v>-1</v>
      </c>
      <c r="AF2831" t="s">
        <v>50</v>
      </c>
      <c r="AG2831" t="s">
        <v>118</v>
      </c>
    </row>
    <row r="2832" spans="1:33" x14ac:dyDescent="0.35">
      <c r="A2832" s="1">
        <v>44813.603472222225</v>
      </c>
      <c r="B2832">
        <v>6229061</v>
      </c>
      <c r="C2832" t="s">
        <v>5847</v>
      </c>
      <c r="D2832" t="s">
        <v>141</v>
      </c>
      <c r="E2832" s="2">
        <v>43994</v>
      </c>
      <c r="F2832" t="str">
        <f>"9781789809862"</f>
        <v>9781789809862</v>
      </c>
      <c r="G2832" t="str">
        <f>"9781789801217"</f>
        <v>9781789801217</v>
      </c>
      <c r="H2832" t="s">
        <v>138</v>
      </c>
      <c r="I2832">
        <v>5.0999999999999996</v>
      </c>
      <c r="J2832" t="s">
        <v>5848</v>
      </c>
      <c r="K2832" t="s">
        <v>55</v>
      </c>
      <c r="Q2832" t="s">
        <v>47</v>
      </c>
      <c r="R2832" t="s">
        <v>44</v>
      </c>
      <c r="S2832">
        <v>0</v>
      </c>
      <c r="W2832" s="3">
        <v>2.1990740740740742E-3</v>
      </c>
      <c r="X2832" t="s">
        <v>5849</v>
      </c>
      <c r="Y2832">
        <v>19</v>
      </c>
      <c r="Z2832">
        <v>0</v>
      </c>
      <c r="AA2832" t="s">
        <v>49</v>
      </c>
      <c r="AB2832">
        <v>0</v>
      </c>
      <c r="AC2832" t="s">
        <v>49</v>
      </c>
      <c r="AD2832">
        <v>0</v>
      </c>
      <c r="AE2832">
        <v>-1</v>
      </c>
      <c r="AF2832" t="s">
        <v>63</v>
      </c>
      <c r="AG2832" t="s">
        <v>5850</v>
      </c>
    </row>
    <row r="2833" spans="1:33" x14ac:dyDescent="0.35">
      <c r="A2833" s="1">
        <v>44813.552777777775</v>
      </c>
      <c r="B2833">
        <v>5829217</v>
      </c>
      <c r="C2833" t="s">
        <v>626</v>
      </c>
      <c r="D2833" t="s">
        <v>627</v>
      </c>
      <c r="E2833" s="2">
        <v>43259</v>
      </c>
      <c r="F2833" t="str">
        <f>"9781496395139"</f>
        <v>9781496395139</v>
      </c>
      <c r="G2833" t="str">
        <f>"9781496335418"</f>
        <v>9781496335418</v>
      </c>
      <c r="H2833" t="s">
        <v>77</v>
      </c>
      <c r="I2833" t="s">
        <v>628</v>
      </c>
      <c r="J2833" t="s">
        <v>629</v>
      </c>
      <c r="K2833" t="s">
        <v>44</v>
      </c>
      <c r="N2833" t="s">
        <v>45</v>
      </c>
      <c r="O2833" t="s">
        <v>46</v>
      </c>
      <c r="P2833" t="s">
        <v>45</v>
      </c>
      <c r="Q2833" t="s">
        <v>47</v>
      </c>
      <c r="R2833" t="s">
        <v>44</v>
      </c>
      <c r="S2833">
        <v>0</v>
      </c>
      <c r="W2833" s="3">
        <v>1.951388888888889E-2</v>
      </c>
      <c r="X2833" t="s">
        <v>5851</v>
      </c>
      <c r="Y2833">
        <v>23</v>
      </c>
      <c r="Z2833">
        <v>0</v>
      </c>
      <c r="AA2833" t="s">
        <v>49</v>
      </c>
      <c r="AB2833">
        <v>0</v>
      </c>
      <c r="AC2833" t="s">
        <v>49</v>
      </c>
      <c r="AD2833">
        <v>0</v>
      </c>
      <c r="AE2833">
        <v>-1</v>
      </c>
      <c r="AF2833" t="s">
        <v>50</v>
      </c>
      <c r="AG2833" t="s">
        <v>741</v>
      </c>
    </row>
    <row r="2834" spans="1:33" x14ac:dyDescent="0.35">
      <c r="A2834" s="1">
        <v>44813.538888888892</v>
      </c>
      <c r="B2834">
        <v>6452695</v>
      </c>
      <c r="C2834" t="s">
        <v>5852</v>
      </c>
      <c r="D2834" t="s">
        <v>59</v>
      </c>
      <c r="E2834" s="2">
        <v>44223</v>
      </c>
      <c r="F2834" t="str">
        <f>"9781119602996"</f>
        <v>9781119602996</v>
      </c>
      <c r="G2834" t="str">
        <f>"9781119602989"</f>
        <v>9781119602989</v>
      </c>
      <c r="H2834" t="s">
        <v>5853</v>
      </c>
      <c r="I2834">
        <v>332.02855699999998</v>
      </c>
      <c r="J2834" t="s">
        <v>5854</v>
      </c>
      <c r="K2834" t="s">
        <v>55</v>
      </c>
      <c r="Q2834" t="s">
        <v>47</v>
      </c>
      <c r="R2834" t="s">
        <v>44</v>
      </c>
      <c r="S2834">
        <v>0</v>
      </c>
      <c r="W2834" s="3">
        <v>0</v>
      </c>
      <c r="X2834" t="s">
        <v>49</v>
      </c>
      <c r="Y2834">
        <v>0</v>
      </c>
      <c r="Z2834">
        <v>0</v>
      </c>
      <c r="AA2834" t="s">
        <v>49</v>
      </c>
      <c r="AB2834">
        <v>0</v>
      </c>
      <c r="AC2834" t="s">
        <v>49</v>
      </c>
      <c r="AD2834">
        <v>0</v>
      </c>
      <c r="AE2834">
        <v>-1</v>
      </c>
      <c r="AF2834" t="s">
        <v>63</v>
      </c>
      <c r="AG2834" t="s">
        <v>5850</v>
      </c>
    </row>
    <row r="2835" spans="1:33" x14ac:dyDescent="0.35">
      <c r="A2835" s="1">
        <v>44813.537499999999</v>
      </c>
      <c r="B2835">
        <v>5764287</v>
      </c>
      <c r="C2835" t="s">
        <v>5649</v>
      </c>
      <c r="D2835" t="s">
        <v>141</v>
      </c>
      <c r="E2835" s="2">
        <v>43585</v>
      </c>
      <c r="F2835" t="str">
        <f>"9781789345278"</f>
        <v>9781789345278</v>
      </c>
      <c r="G2835" t="str">
        <f>"9781789346466"</f>
        <v>9781789346466</v>
      </c>
      <c r="H2835" t="s">
        <v>138</v>
      </c>
      <c r="I2835">
        <v>6.76</v>
      </c>
      <c r="J2835" t="s">
        <v>5650</v>
      </c>
      <c r="K2835" t="s">
        <v>55</v>
      </c>
      <c r="Q2835" t="s">
        <v>47</v>
      </c>
      <c r="R2835" t="s">
        <v>44</v>
      </c>
      <c r="S2835">
        <v>0</v>
      </c>
      <c r="W2835" s="3">
        <v>0</v>
      </c>
      <c r="X2835" t="s">
        <v>49</v>
      </c>
      <c r="Y2835">
        <v>0</v>
      </c>
      <c r="Z2835">
        <v>0</v>
      </c>
      <c r="AA2835" t="s">
        <v>49</v>
      </c>
      <c r="AB2835">
        <v>0</v>
      </c>
      <c r="AC2835" t="s">
        <v>49</v>
      </c>
      <c r="AD2835">
        <v>0</v>
      </c>
      <c r="AE2835">
        <v>-1</v>
      </c>
      <c r="AF2835" t="s">
        <v>63</v>
      </c>
      <c r="AG2835" t="s">
        <v>5850</v>
      </c>
    </row>
    <row r="2836" spans="1:33" x14ac:dyDescent="0.35">
      <c r="A2836" s="1">
        <v>44813.536805555559</v>
      </c>
      <c r="B2836">
        <v>6034338</v>
      </c>
      <c r="C2836" t="s">
        <v>5855</v>
      </c>
      <c r="D2836" t="s">
        <v>141</v>
      </c>
      <c r="E2836" s="2">
        <v>43861</v>
      </c>
      <c r="F2836" t="str">
        <f>"9781789617320"</f>
        <v>9781789617320</v>
      </c>
      <c r="G2836" t="str">
        <f>"9781789618518"</f>
        <v>9781789618518</v>
      </c>
      <c r="H2836" t="s">
        <v>133</v>
      </c>
      <c r="I2836">
        <v>332.01519500000001</v>
      </c>
      <c r="J2836" t="s">
        <v>5856</v>
      </c>
      <c r="K2836" t="s">
        <v>55</v>
      </c>
      <c r="Q2836" t="s">
        <v>47</v>
      </c>
      <c r="R2836" t="s">
        <v>44</v>
      </c>
      <c r="S2836">
        <v>0</v>
      </c>
      <c r="W2836" s="3">
        <v>0</v>
      </c>
      <c r="X2836" t="s">
        <v>49</v>
      </c>
      <c r="Y2836">
        <v>0</v>
      </c>
      <c r="Z2836">
        <v>0</v>
      </c>
      <c r="AA2836" t="s">
        <v>49</v>
      </c>
      <c r="AB2836">
        <v>0</v>
      </c>
      <c r="AC2836" t="s">
        <v>49</v>
      </c>
      <c r="AD2836">
        <v>0</v>
      </c>
      <c r="AE2836">
        <v>-1</v>
      </c>
      <c r="AF2836" t="s">
        <v>63</v>
      </c>
      <c r="AG2836" t="s">
        <v>5850</v>
      </c>
    </row>
    <row r="2837" spans="1:33" x14ac:dyDescent="0.35">
      <c r="A2837" s="1">
        <v>44813.534722222219</v>
      </c>
      <c r="B2837">
        <v>6276149</v>
      </c>
      <c r="C2837" t="s">
        <v>5857</v>
      </c>
      <c r="D2837" t="s">
        <v>141</v>
      </c>
      <c r="E2837" s="2">
        <v>44043</v>
      </c>
      <c r="F2837" t="str">
        <f>"9781839216787"</f>
        <v>9781839216787</v>
      </c>
      <c r="G2837" t="str">
        <f>"9781839217715"</f>
        <v>9781839217715</v>
      </c>
      <c r="H2837" t="s">
        <v>138</v>
      </c>
      <c r="I2837">
        <v>6.31</v>
      </c>
      <c r="K2837" t="s">
        <v>55</v>
      </c>
      <c r="Q2837" t="s">
        <v>47</v>
      </c>
      <c r="R2837" t="s">
        <v>44</v>
      </c>
      <c r="S2837">
        <v>0</v>
      </c>
      <c r="W2837" s="3">
        <v>0</v>
      </c>
      <c r="X2837" t="s">
        <v>49</v>
      </c>
      <c r="Y2837">
        <v>0</v>
      </c>
      <c r="Z2837">
        <v>0</v>
      </c>
      <c r="AA2837" t="s">
        <v>49</v>
      </c>
      <c r="AB2837">
        <v>0</v>
      </c>
      <c r="AC2837" t="s">
        <v>49</v>
      </c>
      <c r="AD2837">
        <v>0</v>
      </c>
      <c r="AE2837">
        <v>-1</v>
      </c>
      <c r="AF2837" t="s">
        <v>63</v>
      </c>
      <c r="AG2837" t="s">
        <v>5850</v>
      </c>
    </row>
    <row r="2838" spans="1:33" x14ac:dyDescent="0.35">
      <c r="A2838" s="1">
        <v>44813.532638888886</v>
      </c>
      <c r="B2838">
        <v>2077525</v>
      </c>
      <c r="C2838" t="s">
        <v>4199</v>
      </c>
      <c r="D2838" t="s">
        <v>141</v>
      </c>
      <c r="E2838" s="2">
        <v>42180</v>
      </c>
      <c r="F2838" t="str">
        <f>"9781783558650"</f>
        <v>9781783558650</v>
      </c>
      <c r="G2838" t="str">
        <f>"9781782175117"</f>
        <v>9781782175117</v>
      </c>
      <c r="H2838" t="s">
        <v>4200</v>
      </c>
      <c r="I2838">
        <v>572.80285000000003</v>
      </c>
      <c r="J2838" t="s">
        <v>4201</v>
      </c>
      <c r="K2838" t="s">
        <v>44</v>
      </c>
      <c r="N2838" t="s">
        <v>45</v>
      </c>
      <c r="O2838" t="s">
        <v>46</v>
      </c>
      <c r="P2838" t="s">
        <v>177</v>
      </c>
      <c r="Q2838" t="s">
        <v>47</v>
      </c>
      <c r="R2838" t="s">
        <v>55</v>
      </c>
      <c r="S2838">
        <v>1</v>
      </c>
      <c r="W2838" s="3">
        <v>0</v>
      </c>
      <c r="X2838" t="s">
        <v>49</v>
      </c>
      <c r="Y2838">
        <v>0</v>
      </c>
      <c r="Z2838">
        <v>0</v>
      </c>
      <c r="AA2838" t="s">
        <v>49</v>
      </c>
      <c r="AB2838">
        <v>0</v>
      </c>
      <c r="AC2838" t="s">
        <v>49</v>
      </c>
      <c r="AD2838">
        <v>0</v>
      </c>
      <c r="AE2838">
        <v>11069216</v>
      </c>
      <c r="AF2838" t="s">
        <v>63</v>
      </c>
      <c r="AG2838" t="s">
        <v>5850</v>
      </c>
    </row>
    <row r="2839" spans="1:33" x14ac:dyDescent="0.35">
      <c r="A2839" s="1">
        <v>44813.521527777775</v>
      </c>
      <c r="B2839">
        <v>5721790</v>
      </c>
      <c r="C2839" t="s">
        <v>5858</v>
      </c>
      <c r="D2839" t="s">
        <v>141</v>
      </c>
      <c r="E2839" s="2">
        <v>43524</v>
      </c>
      <c r="F2839" t="str">
        <f>"9781838553692"</f>
        <v>9781838553692</v>
      </c>
      <c r="G2839" t="str">
        <f>"9781838551216"</f>
        <v>9781838551216</v>
      </c>
      <c r="H2839" t="s">
        <v>138</v>
      </c>
      <c r="I2839">
        <v>5.133</v>
      </c>
      <c r="J2839" t="s">
        <v>5859</v>
      </c>
      <c r="K2839" t="s">
        <v>55</v>
      </c>
      <c r="N2839" t="s">
        <v>45</v>
      </c>
      <c r="O2839" t="s">
        <v>46</v>
      </c>
      <c r="P2839" t="s">
        <v>177</v>
      </c>
      <c r="Q2839" t="s">
        <v>47</v>
      </c>
      <c r="R2839" t="s">
        <v>55</v>
      </c>
      <c r="S2839">
        <v>1</v>
      </c>
      <c r="W2839" s="3">
        <v>7.5347222222222213E-3</v>
      </c>
      <c r="X2839" t="s">
        <v>5860</v>
      </c>
      <c r="Y2839">
        <v>49</v>
      </c>
      <c r="Z2839">
        <v>0</v>
      </c>
      <c r="AA2839" t="s">
        <v>49</v>
      </c>
      <c r="AB2839">
        <v>0</v>
      </c>
      <c r="AC2839" t="s">
        <v>2517</v>
      </c>
      <c r="AD2839">
        <v>1</v>
      </c>
      <c r="AE2839">
        <v>11657204</v>
      </c>
      <c r="AF2839" t="s">
        <v>63</v>
      </c>
      <c r="AG2839" t="s">
        <v>5850</v>
      </c>
    </row>
    <row r="2840" spans="1:33" x14ac:dyDescent="0.35">
      <c r="A2840" s="1">
        <v>44813.515277777777</v>
      </c>
      <c r="B2840">
        <v>6624015</v>
      </c>
      <c r="C2840" t="s">
        <v>2410</v>
      </c>
      <c r="D2840" t="s">
        <v>65</v>
      </c>
      <c r="E2840" s="2">
        <v>44336</v>
      </c>
      <c r="F2840" t="str">
        <f>"9780128235980"</f>
        <v>9780128235980</v>
      </c>
      <c r="G2840" t="str">
        <f>"9780128235386"</f>
        <v>9780128235386</v>
      </c>
      <c r="H2840" t="s">
        <v>2223</v>
      </c>
      <c r="I2840">
        <v>333.79399999999998</v>
      </c>
      <c r="J2840" t="s">
        <v>2411</v>
      </c>
      <c r="K2840" t="s">
        <v>55</v>
      </c>
      <c r="Q2840" t="s">
        <v>47</v>
      </c>
      <c r="R2840" t="s">
        <v>44</v>
      </c>
      <c r="S2840">
        <v>0</v>
      </c>
      <c r="W2840" s="3">
        <v>1.273148148148148E-4</v>
      </c>
      <c r="X2840" t="s">
        <v>49</v>
      </c>
      <c r="Y2840">
        <v>0</v>
      </c>
      <c r="Z2840">
        <v>0</v>
      </c>
      <c r="AA2840" t="s">
        <v>49</v>
      </c>
      <c r="AB2840">
        <v>0</v>
      </c>
      <c r="AC2840" t="s">
        <v>49</v>
      </c>
      <c r="AD2840">
        <v>0</v>
      </c>
      <c r="AE2840">
        <v>-1</v>
      </c>
      <c r="AF2840" t="s">
        <v>63</v>
      </c>
      <c r="AG2840" t="s">
        <v>118</v>
      </c>
    </row>
    <row r="2841" spans="1:33" x14ac:dyDescent="0.35">
      <c r="A2841" s="1">
        <v>44813.070138888892</v>
      </c>
      <c r="B2841">
        <v>6946268</v>
      </c>
      <c r="C2841" t="s">
        <v>333</v>
      </c>
      <c r="D2841" t="s">
        <v>213</v>
      </c>
      <c r="E2841" s="2">
        <v>44658</v>
      </c>
      <c r="F2841" t="str">
        <f>"9780323859875"</f>
        <v>9780323859875</v>
      </c>
      <c r="G2841" t="str">
        <f>"9780128244708"</f>
        <v>9780128244708</v>
      </c>
      <c r="H2841" t="s">
        <v>261</v>
      </c>
      <c r="I2841">
        <v>628.16200000000003</v>
      </c>
      <c r="J2841" t="s">
        <v>334</v>
      </c>
      <c r="K2841" t="s">
        <v>55</v>
      </c>
      <c r="N2841" t="s">
        <v>79</v>
      </c>
      <c r="P2841" t="s">
        <v>80</v>
      </c>
      <c r="Q2841" t="s">
        <v>47</v>
      </c>
      <c r="R2841" t="s">
        <v>44</v>
      </c>
      <c r="S2841">
        <v>1</v>
      </c>
      <c r="T2841">
        <v>90</v>
      </c>
      <c r="U2841" s="1">
        <v>44813.070138888892</v>
      </c>
      <c r="V2841" s="1">
        <v>44903.070138888892</v>
      </c>
      <c r="W2841" s="3">
        <v>0</v>
      </c>
      <c r="X2841" t="s">
        <v>49</v>
      </c>
      <c r="Y2841">
        <v>0</v>
      </c>
      <c r="Z2841">
        <v>0</v>
      </c>
      <c r="AA2841" t="s">
        <v>49</v>
      </c>
      <c r="AB2841">
        <v>0</v>
      </c>
      <c r="AC2841" t="s">
        <v>49</v>
      </c>
      <c r="AD2841">
        <v>0</v>
      </c>
      <c r="AE2841">
        <v>-1</v>
      </c>
      <c r="AF2841" t="s">
        <v>63</v>
      </c>
      <c r="AG2841" t="s">
        <v>3037</v>
      </c>
    </row>
    <row r="2842" spans="1:33" x14ac:dyDescent="0.35">
      <c r="A2842" s="1">
        <v>44812.87777777778</v>
      </c>
      <c r="B2842">
        <v>5829217</v>
      </c>
      <c r="C2842" t="s">
        <v>626</v>
      </c>
      <c r="D2842" t="s">
        <v>627</v>
      </c>
      <c r="E2842" s="2">
        <v>43259</v>
      </c>
      <c r="F2842" t="str">
        <f>"9781496395139"</f>
        <v>9781496395139</v>
      </c>
      <c r="G2842" t="str">
        <f>"9781496335418"</f>
        <v>9781496335418</v>
      </c>
      <c r="H2842" t="s">
        <v>77</v>
      </c>
      <c r="I2842" t="s">
        <v>628</v>
      </c>
      <c r="J2842" t="s">
        <v>629</v>
      </c>
      <c r="K2842" t="s">
        <v>44</v>
      </c>
      <c r="N2842" t="s">
        <v>45</v>
      </c>
      <c r="O2842" t="s">
        <v>46</v>
      </c>
      <c r="P2842" t="s">
        <v>45</v>
      </c>
      <c r="Q2842" t="s">
        <v>47</v>
      </c>
      <c r="R2842" t="s">
        <v>44</v>
      </c>
      <c r="S2842">
        <v>0</v>
      </c>
      <c r="W2842" s="3">
        <v>1.1122685185185185E-2</v>
      </c>
      <c r="X2842" t="s">
        <v>5861</v>
      </c>
      <c r="Y2842">
        <v>17</v>
      </c>
      <c r="Z2842">
        <v>0</v>
      </c>
      <c r="AA2842" t="s">
        <v>49</v>
      </c>
      <c r="AB2842">
        <v>0</v>
      </c>
      <c r="AC2842" t="s">
        <v>49</v>
      </c>
      <c r="AD2842">
        <v>0</v>
      </c>
      <c r="AE2842">
        <v>-1</v>
      </c>
      <c r="AF2842" t="s">
        <v>63</v>
      </c>
      <c r="AG2842" t="s">
        <v>741</v>
      </c>
    </row>
    <row r="2843" spans="1:33" x14ac:dyDescent="0.35">
      <c r="A2843" s="1">
        <v>44812.804861111108</v>
      </c>
      <c r="B2843">
        <v>5829217</v>
      </c>
      <c r="C2843" t="s">
        <v>626</v>
      </c>
      <c r="D2843" t="s">
        <v>627</v>
      </c>
      <c r="E2843" s="2">
        <v>43259</v>
      </c>
      <c r="F2843" t="str">
        <f>"9781496395139"</f>
        <v>9781496395139</v>
      </c>
      <c r="G2843" t="str">
        <f>"9781496335418"</f>
        <v>9781496335418</v>
      </c>
      <c r="H2843" t="s">
        <v>77</v>
      </c>
      <c r="I2843" t="s">
        <v>628</v>
      </c>
      <c r="J2843" t="s">
        <v>629</v>
      </c>
      <c r="K2843" t="s">
        <v>44</v>
      </c>
      <c r="N2843" t="s">
        <v>45</v>
      </c>
      <c r="O2843" t="s">
        <v>46</v>
      </c>
      <c r="P2843" t="s">
        <v>45</v>
      </c>
      <c r="Q2843" t="s">
        <v>47</v>
      </c>
      <c r="R2843" t="s">
        <v>44</v>
      </c>
      <c r="S2843">
        <v>0</v>
      </c>
      <c r="W2843" s="3">
        <v>6.9444444444444444E-5</v>
      </c>
      <c r="X2843" t="s">
        <v>196</v>
      </c>
      <c r="Y2843">
        <v>2</v>
      </c>
      <c r="Z2843">
        <v>0</v>
      </c>
      <c r="AA2843" t="s">
        <v>49</v>
      </c>
      <c r="AB2843">
        <v>0</v>
      </c>
      <c r="AC2843" t="s">
        <v>49</v>
      </c>
      <c r="AD2843">
        <v>0</v>
      </c>
      <c r="AE2843">
        <v>-1</v>
      </c>
      <c r="AF2843" t="s">
        <v>50</v>
      </c>
      <c r="AG2843" t="s">
        <v>741</v>
      </c>
    </row>
    <row r="2844" spans="1:33" x14ac:dyDescent="0.35">
      <c r="A2844" s="1">
        <v>44812.554861111108</v>
      </c>
      <c r="B2844">
        <v>5928197</v>
      </c>
      <c r="C2844" t="s">
        <v>4738</v>
      </c>
      <c r="D2844" t="s">
        <v>59</v>
      </c>
      <c r="E2844" s="2">
        <v>43839</v>
      </c>
      <c r="F2844" t="str">
        <f>"9781118907269"</f>
        <v>9781118907269</v>
      </c>
      <c r="G2844" t="str">
        <f>"9781118907429"</f>
        <v>9781118907429</v>
      </c>
      <c r="H2844" t="s">
        <v>2799</v>
      </c>
      <c r="I2844">
        <v>502.3</v>
      </c>
      <c r="J2844" t="s">
        <v>4739</v>
      </c>
      <c r="K2844" t="s">
        <v>44</v>
      </c>
      <c r="N2844" t="s">
        <v>45</v>
      </c>
      <c r="O2844" t="s">
        <v>46</v>
      </c>
      <c r="P2844" t="s">
        <v>45</v>
      </c>
      <c r="Q2844" t="s">
        <v>47</v>
      </c>
      <c r="R2844" t="s">
        <v>44</v>
      </c>
      <c r="S2844">
        <v>0</v>
      </c>
      <c r="W2844" s="3">
        <v>0</v>
      </c>
      <c r="X2844" t="s">
        <v>49</v>
      </c>
      <c r="Y2844">
        <v>0</v>
      </c>
      <c r="Z2844">
        <v>2</v>
      </c>
      <c r="AA2844" t="s">
        <v>5862</v>
      </c>
      <c r="AB2844">
        <v>164</v>
      </c>
      <c r="AC2844" t="s">
        <v>49</v>
      </c>
      <c r="AD2844">
        <v>0</v>
      </c>
      <c r="AE2844">
        <v>-1</v>
      </c>
      <c r="AF2844" t="s">
        <v>63</v>
      </c>
      <c r="AG2844" t="s">
        <v>1355</v>
      </c>
    </row>
    <row r="2845" spans="1:33" x14ac:dyDescent="0.35">
      <c r="A2845" s="1">
        <v>44812.554861111108</v>
      </c>
      <c r="B2845">
        <v>3117813</v>
      </c>
      <c r="C2845" t="s">
        <v>5863</v>
      </c>
      <c r="D2845" t="s">
        <v>76</v>
      </c>
      <c r="E2845" s="2">
        <v>26099</v>
      </c>
      <c r="F2845" t="str">
        <f>"9780895034496"</f>
        <v>9780895034496</v>
      </c>
      <c r="G2845" t="str">
        <f>"9780895030061"</f>
        <v>9780895030061</v>
      </c>
      <c r="H2845" t="s">
        <v>5864</v>
      </c>
      <c r="I2845">
        <v>808.06659999999999</v>
      </c>
      <c r="J2845" t="s">
        <v>5865</v>
      </c>
      <c r="K2845" t="s">
        <v>44</v>
      </c>
      <c r="N2845" t="s">
        <v>45</v>
      </c>
      <c r="O2845" t="s">
        <v>46</v>
      </c>
      <c r="P2845" t="s">
        <v>45</v>
      </c>
      <c r="Q2845" t="s">
        <v>47</v>
      </c>
      <c r="R2845" t="s">
        <v>44</v>
      </c>
      <c r="S2845">
        <v>0</v>
      </c>
      <c r="W2845" s="3">
        <v>0</v>
      </c>
      <c r="X2845" t="s">
        <v>49</v>
      </c>
      <c r="Y2845">
        <v>0</v>
      </c>
      <c r="Z2845">
        <v>1</v>
      </c>
      <c r="AA2845" t="s">
        <v>5866</v>
      </c>
      <c r="AB2845">
        <v>10</v>
      </c>
      <c r="AC2845" t="s">
        <v>49</v>
      </c>
      <c r="AD2845">
        <v>0</v>
      </c>
      <c r="AE2845">
        <v>10613396</v>
      </c>
      <c r="AF2845" t="s">
        <v>63</v>
      </c>
      <c r="AG2845" t="s">
        <v>1355</v>
      </c>
    </row>
    <row r="2846" spans="1:33" x14ac:dyDescent="0.35">
      <c r="A2846" s="1">
        <v>44812.445138888892</v>
      </c>
      <c r="B2846">
        <v>6403491</v>
      </c>
      <c r="C2846" t="s">
        <v>5867</v>
      </c>
      <c r="D2846" t="s">
        <v>530</v>
      </c>
      <c r="E2846" s="2">
        <v>44013</v>
      </c>
      <c r="F2846" t="str">
        <f>"9789814951036"</f>
        <v>9789814951036</v>
      </c>
      <c r="G2846" t="str">
        <f>"9789814951029"</f>
        <v>9789814951029</v>
      </c>
      <c r="H2846" t="s">
        <v>667</v>
      </c>
      <c r="I2846">
        <v>959.053</v>
      </c>
      <c r="J2846" t="s">
        <v>5868</v>
      </c>
      <c r="K2846" t="s">
        <v>44</v>
      </c>
      <c r="N2846" t="s">
        <v>45</v>
      </c>
      <c r="O2846" t="s">
        <v>46</v>
      </c>
      <c r="P2846" t="s">
        <v>177</v>
      </c>
      <c r="Q2846" t="s">
        <v>47</v>
      </c>
      <c r="R2846" t="s">
        <v>55</v>
      </c>
      <c r="S2846">
        <v>0</v>
      </c>
      <c r="W2846" s="3">
        <v>1.8379629629629628E-2</v>
      </c>
      <c r="X2846" t="s">
        <v>5869</v>
      </c>
      <c r="Y2846">
        <v>13</v>
      </c>
      <c r="Z2846">
        <v>0</v>
      </c>
      <c r="AA2846" t="s">
        <v>49</v>
      </c>
      <c r="AB2846">
        <v>0</v>
      </c>
      <c r="AC2846" t="s">
        <v>49</v>
      </c>
      <c r="AD2846">
        <v>0</v>
      </c>
      <c r="AE2846">
        <v>-1</v>
      </c>
      <c r="AF2846" t="s">
        <v>50</v>
      </c>
      <c r="AG2846" t="s">
        <v>118</v>
      </c>
    </row>
    <row r="2847" spans="1:33" x14ac:dyDescent="0.35">
      <c r="A2847" s="1">
        <v>44812.411805555559</v>
      </c>
      <c r="B2847">
        <v>427564</v>
      </c>
      <c r="C2847" t="s">
        <v>5870</v>
      </c>
      <c r="D2847" t="s">
        <v>59</v>
      </c>
      <c r="E2847" s="2">
        <v>39902</v>
      </c>
      <c r="F2847" t="str">
        <f>"9780470434932"</f>
        <v>9780470434932</v>
      </c>
      <c r="G2847" t="str">
        <f>"9780470181775"</f>
        <v>9780470181775</v>
      </c>
      <c r="H2847" t="s">
        <v>542</v>
      </c>
      <c r="I2847">
        <v>621.38400000000001</v>
      </c>
      <c r="J2847" t="s">
        <v>5871</v>
      </c>
      <c r="K2847" t="s">
        <v>44</v>
      </c>
      <c r="N2847" t="s">
        <v>45</v>
      </c>
      <c r="O2847" t="s">
        <v>46</v>
      </c>
      <c r="P2847" t="s">
        <v>45</v>
      </c>
      <c r="Q2847" t="s">
        <v>47</v>
      </c>
      <c r="R2847" t="s">
        <v>44</v>
      </c>
      <c r="S2847">
        <v>0</v>
      </c>
      <c r="W2847" s="3">
        <v>1.4467592592592594E-3</v>
      </c>
      <c r="X2847" t="s">
        <v>5872</v>
      </c>
      <c r="Y2847">
        <v>19</v>
      </c>
      <c r="Z2847">
        <v>0</v>
      </c>
      <c r="AA2847" t="s">
        <v>49</v>
      </c>
      <c r="AB2847">
        <v>0</v>
      </c>
      <c r="AC2847" t="s">
        <v>49</v>
      </c>
      <c r="AD2847">
        <v>0</v>
      </c>
      <c r="AE2847">
        <v>10303977</v>
      </c>
      <c r="AF2847" t="s">
        <v>50</v>
      </c>
      <c r="AG2847" t="s">
        <v>5772</v>
      </c>
    </row>
    <row r="2848" spans="1:33" x14ac:dyDescent="0.35">
      <c r="A2848" s="1">
        <v>44811.620138888888</v>
      </c>
      <c r="B2848">
        <v>4612387</v>
      </c>
      <c r="C2848" t="s">
        <v>5873</v>
      </c>
      <c r="D2848" t="s">
        <v>2116</v>
      </c>
      <c r="E2848" s="2">
        <v>42576</v>
      </c>
      <c r="F2848" t="str">
        <f>"9781606505571"</f>
        <v>9781606505571</v>
      </c>
      <c r="G2848" t="str">
        <f>"9781606505564"</f>
        <v>9781606505564</v>
      </c>
      <c r="H2848" t="s">
        <v>5874</v>
      </c>
      <c r="K2848" t="s">
        <v>44</v>
      </c>
      <c r="N2848" t="s">
        <v>45</v>
      </c>
      <c r="O2848" t="s">
        <v>46</v>
      </c>
      <c r="P2848" t="s">
        <v>45</v>
      </c>
      <c r="Q2848" t="s">
        <v>47</v>
      </c>
      <c r="R2848" t="s">
        <v>44</v>
      </c>
      <c r="S2848">
        <v>0</v>
      </c>
      <c r="W2848" s="3">
        <v>0</v>
      </c>
      <c r="X2848" t="s">
        <v>49</v>
      </c>
      <c r="Y2848">
        <v>0</v>
      </c>
      <c r="Z2848">
        <v>1</v>
      </c>
      <c r="AA2848" t="s">
        <v>5875</v>
      </c>
      <c r="AB2848">
        <v>10</v>
      </c>
      <c r="AC2848" t="s">
        <v>49</v>
      </c>
      <c r="AD2848">
        <v>0</v>
      </c>
      <c r="AE2848">
        <v>11239007</v>
      </c>
      <c r="AF2848" t="s">
        <v>50</v>
      </c>
      <c r="AG2848" t="s">
        <v>5772</v>
      </c>
    </row>
    <row r="2849" spans="1:33" x14ac:dyDescent="0.35">
      <c r="A2849" s="1">
        <v>44811.556944444441</v>
      </c>
      <c r="B2849">
        <v>3421001</v>
      </c>
      <c r="C2849" t="s">
        <v>5612</v>
      </c>
      <c r="D2849" t="s">
        <v>347</v>
      </c>
      <c r="E2849" s="2">
        <v>40442</v>
      </c>
      <c r="F2849" t="str">
        <f>"9780300152623"</f>
        <v>9780300152623</v>
      </c>
      <c r="G2849" t="str">
        <f>"9780300152609"</f>
        <v>9780300152609</v>
      </c>
      <c r="H2849" t="s">
        <v>667</v>
      </c>
      <c r="I2849">
        <v>956.1</v>
      </c>
      <c r="J2849" t="s">
        <v>5613</v>
      </c>
      <c r="K2849" t="s">
        <v>44</v>
      </c>
      <c r="N2849" t="s">
        <v>45</v>
      </c>
      <c r="O2849" t="s">
        <v>46</v>
      </c>
      <c r="P2849" t="s">
        <v>45</v>
      </c>
      <c r="Q2849" t="s">
        <v>47</v>
      </c>
      <c r="R2849" t="s">
        <v>44</v>
      </c>
      <c r="S2849">
        <v>1</v>
      </c>
      <c r="W2849" s="3">
        <v>1.5509259259259261E-3</v>
      </c>
      <c r="X2849" t="s">
        <v>5876</v>
      </c>
      <c r="Y2849">
        <v>9</v>
      </c>
      <c r="Z2849">
        <v>0</v>
      </c>
      <c r="AA2849" t="s">
        <v>49</v>
      </c>
      <c r="AB2849">
        <v>0</v>
      </c>
      <c r="AC2849" t="s">
        <v>49</v>
      </c>
      <c r="AD2849">
        <v>0</v>
      </c>
      <c r="AE2849">
        <v>10579400</v>
      </c>
      <c r="AF2849" t="s">
        <v>63</v>
      </c>
      <c r="AG2849" t="s">
        <v>5877</v>
      </c>
    </row>
    <row r="2850" spans="1:33" x14ac:dyDescent="0.35">
      <c r="A2850" s="1">
        <v>44811.518750000003</v>
      </c>
      <c r="B2850">
        <v>2031843</v>
      </c>
      <c r="C2850" t="s">
        <v>5878</v>
      </c>
      <c r="D2850" t="s">
        <v>5879</v>
      </c>
      <c r="E2850" s="2">
        <v>40897</v>
      </c>
      <c r="F2850" t="str">
        <f>"9781469880365"</f>
        <v>9781469880365</v>
      </c>
      <c r="G2850" t="str">
        <f>"9781608317400"</f>
        <v>9781608317400</v>
      </c>
      <c r="H2850" t="s">
        <v>77</v>
      </c>
      <c r="I2850">
        <v>617</v>
      </c>
      <c r="J2850" t="s">
        <v>5880</v>
      </c>
      <c r="K2850" t="s">
        <v>44</v>
      </c>
      <c r="N2850" t="s">
        <v>45</v>
      </c>
      <c r="O2850" t="s">
        <v>46</v>
      </c>
      <c r="P2850" t="s">
        <v>45</v>
      </c>
      <c r="Q2850" t="s">
        <v>47</v>
      </c>
      <c r="R2850" t="s">
        <v>44</v>
      </c>
      <c r="S2850">
        <v>1</v>
      </c>
      <c r="W2850" s="3">
        <v>0</v>
      </c>
      <c r="X2850" t="s">
        <v>49</v>
      </c>
      <c r="Y2850">
        <v>0</v>
      </c>
      <c r="Z2850">
        <v>0</v>
      </c>
      <c r="AA2850" t="s">
        <v>49</v>
      </c>
      <c r="AB2850">
        <v>0</v>
      </c>
      <c r="AC2850" t="s">
        <v>49</v>
      </c>
      <c r="AD2850">
        <v>0</v>
      </c>
      <c r="AE2850">
        <v>10825740</v>
      </c>
      <c r="AF2850" t="s">
        <v>63</v>
      </c>
      <c r="AG2850" t="s">
        <v>1309</v>
      </c>
    </row>
    <row r="2851" spans="1:33" x14ac:dyDescent="0.35">
      <c r="A2851" s="1">
        <v>44811.518055555556</v>
      </c>
      <c r="B2851">
        <v>2031721</v>
      </c>
      <c r="C2851" t="s">
        <v>5881</v>
      </c>
      <c r="D2851" t="s">
        <v>5879</v>
      </c>
      <c r="E2851" s="2">
        <v>41064</v>
      </c>
      <c r="F2851" t="str">
        <f>"9781469880358"</f>
        <v>9781469880358</v>
      </c>
      <c r="G2851" t="str">
        <f>"9781608314287"</f>
        <v>9781608314287</v>
      </c>
      <c r="H2851" t="s">
        <v>77</v>
      </c>
      <c r="I2851">
        <v>617.9</v>
      </c>
      <c r="J2851" t="s">
        <v>5882</v>
      </c>
      <c r="K2851" t="s">
        <v>44</v>
      </c>
      <c r="N2851" t="s">
        <v>45</v>
      </c>
      <c r="O2851" t="s">
        <v>46</v>
      </c>
      <c r="P2851" t="s">
        <v>45</v>
      </c>
      <c r="Q2851" t="s">
        <v>47</v>
      </c>
      <c r="R2851" t="s">
        <v>44</v>
      </c>
      <c r="S2851">
        <v>1</v>
      </c>
      <c r="W2851" s="3">
        <v>0</v>
      </c>
      <c r="X2851" t="s">
        <v>49</v>
      </c>
      <c r="Y2851">
        <v>0</v>
      </c>
      <c r="Z2851">
        <v>0</v>
      </c>
      <c r="AA2851" t="s">
        <v>49</v>
      </c>
      <c r="AB2851">
        <v>0</v>
      </c>
      <c r="AC2851" t="s">
        <v>49</v>
      </c>
      <c r="AD2851">
        <v>0</v>
      </c>
      <c r="AE2851">
        <v>10825723</v>
      </c>
      <c r="AF2851" t="s">
        <v>63</v>
      </c>
      <c r="AG2851" t="s">
        <v>1309</v>
      </c>
    </row>
    <row r="2852" spans="1:33" x14ac:dyDescent="0.35">
      <c r="A2852" s="1">
        <v>44811.496527777781</v>
      </c>
      <c r="B2852">
        <v>4660609</v>
      </c>
      <c r="C2852" t="s">
        <v>5883</v>
      </c>
      <c r="D2852" t="s">
        <v>5884</v>
      </c>
      <c r="E2852" s="2">
        <v>41352</v>
      </c>
      <c r="F2852" t="str">
        <f>"9781635054323"</f>
        <v>9781635054323</v>
      </c>
      <c r="G2852" t="str">
        <f>"9781938690709"</f>
        <v>9781938690709</v>
      </c>
      <c r="H2852" t="s">
        <v>77</v>
      </c>
      <c r="I2852">
        <v>617</v>
      </c>
      <c r="J2852" t="s">
        <v>5885</v>
      </c>
      <c r="K2852" t="s">
        <v>44</v>
      </c>
      <c r="N2852" t="s">
        <v>45</v>
      </c>
      <c r="O2852" t="s">
        <v>46</v>
      </c>
      <c r="P2852" t="s">
        <v>45</v>
      </c>
      <c r="Q2852" t="s">
        <v>47</v>
      </c>
      <c r="R2852" t="s">
        <v>44</v>
      </c>
      <c r="S2852">
        <v>1</v>
      </c>
      <c r="W2852" s="3">
        <v>0</v>
      </c>
      <c r="X2852" t="s">
        <v>49</v>
      </c>
      <c r="Y2852">
        <v>0</v>
      </c>
      <c r="Z2852">
        <v>0</v>
      </c>
      <c r="AA2852" t="s">
        <v>49</v>
      </c>
      <c r="AB2852">
        <v>0</v>
      </c>
      <c r="AC2852" t="s">
        <v>49</v>
      </c>
      <c r="AD2852">
        <v>0</v>
      </c>
      <c r="AE2852">
        <v>11252782</v>
      </c>
      <c r="AF2852" t="s">
        <v>63</v>
      </c>
      <c r="AG2852" t="s">
        <v>1309</v>
      </c>
    </row>
    <row r="2853" spans="1:33" x14ac:dyDescent="0.35">
      <c r="A2853" s="1">
        <v>44811.484722222223</v>
      </c>
      <c r="B2853">
        <v>7002619</v>
      </c>
      <c r="C2853" t="s">
        <v>5886</v>
      </c>
      <c r="D2853" t="s">
        <v>105</v>
      </c>
      <c r="E2853" s="2">
        <v>44758</v>
      </c>
      <c r="F2853" t="str">
        <f>"9783030991128"</f>
        <v>9783030991128</v>
      </c>
      <c r="G2853" t="str">
        <f>"9783030991111"</f>
        <v>9783030991111</v>
      </c>
      <c r="H2853" t="s">
        <v>77</v>
      </c>
      <c r="I2853">
        <v>610.28</v>
      </c>
      <c r="J2853" t="s">
        <v>5887</v>
      </c>
      <c r="K2853" t="s">
        <v>55</v>
      </c>
      <c r="N2853" t="s">
        <v>79</v>
      </c>
      <c r="P2853" t="s">
        <v>80</v>
      </c>
      <c r="Q2853" t="s">
        <v>47</v>
      </c>
      <c r="R2853" t="s">
        <v>44</v>
      </c>
      <c r="S2853">
        <v>0</v>
      </c>
      <c r="W2853" s="3">
        <v>1.1574074074074073E-4</v>
      </c>
      <c r="X2853" t="s">
        <v>5888</v>
      </c>
      <c r="Y2853">
        <v>2</v>
      </c>
      <c r="Z2853">
        <v>0</v>
      </c>
      <c r="AA2853" t="s">
        <v>49</v>
      </c>
      <c r="AB2853">
        <v>0</v>
      </c>
      <c r="AC2853" t="s">
        <v>49</v>
      </c>
      <c r="AD2853">
        <v>0</v>
      </c>
      <c r="AE2853">
        <v>-1</v>
      </c>
      <c r="AF2853" t="s">
        <v>50</v>
      </c>
      <c r="AG2853" t="s">
        <v>3037</v>
      </c>
    </row>
    <row r="2854" spans="1:33" x14ac:dyDescent="0.35">
      <c r="A2854" s="1">
        <v>44811.458333333336</v>
      </c>
      <c r="B2854">
        <v>4612387</v>
      </c>
      <c r="C2854" t="s">
        <v>5873</v>
      </c>
      <c r="D2854" t="s">
        <v>2116</v>
      </c>
      <c r="E2854" s="2">
        <v>42576</v>
      </c>
      <c r="F2854" t="str">
        <f>"9781606505571"</f>
        <v>9781606505571</v>
      </c>
      <c r="G2854" t="str">
        <f>"9781606505564"</f>
        <v>9781606505564</v>
      </c>
      <c r="H2854" t="s">
        <v>5874</v>
      </c>
      <c r="K2854" t="s">
        <v>44</v>
      </c>
      <c r="N2854" t="s">
        <v>45</v>
      </c>
      <c r="O2854" t="s">
        <v>46</v>
      </c>
      <c r="P2854" t="s">
        <v>45</v>
      </c>
      <c r="Q2854" t="s">
        <v>47</v>
      </c>
      <c r="R2854" t="s">
        <v>44</v>
      </c>
      <c r="S2854">
        <v>0</v>
      </c>
      <c r="W2854" s="3">
        <v>6.134259259259259E-4</v>
      </c>
      <c r="X2854" t="s">
        <v>5889</v>
      </c>
      <c r="Y2854">
        <v>5</v>
      </c>
      <c r="Z2854">
        <v>3</v>
      </c>
      <c r="AA2854" t="s">
        <v>5890</v>
      </c>
      <c r="AB2854">
        <v>34</v>
      </c>
      <c r="AC2854" t="s">
        <v>49</v>
      </c>
      <c r="AD2854">
        <v>0</v>
      </c>
      <c r="AE2854">
        <v>11239007</v>
      </c>
      <c r="AF2854" t="s">
        <v>50</v>
      </c>
      <c r="AG2854" t="s">
        <v>5772</v>
      </c>
    </row>
    <row r="2855" spans="1:33" x14ac:dyDescent="0.35">
      <c r="A2855" s="1">
        <v>44811.386805555558</v>
      </c>
      <c r="B2855">
        <v>4612387</v>
      </c>
      <c r="C2855" t="s">
        <v>5873</v>
      </c>
      <c r="D2855" t="s">
        <v>2116</v>
      </c>
      <c r="E2855" s="2">
        <v>42576</v>
      </c>
      <c r="F2855" t="str">
        <f>"9781606505571"</f>
        <v>9781606505571</v>
      </c>
      <c r="G2855" t="str">
        <f>"9781606505564"</f>
        <v>9781606505564</v>
      </c>
      <c r="H2855" t="s">
        <v>5874</v>
      </c>
      <c r="K2855" t="s">
        <v>44</v>
      </c>
      <c r="N2855" t="s">
        <v>45</v>
      </c>
      <c r="O2855" t="s">
        <v>46</v>
      </c>
      <c r="P2855" t="s">
        <v>45</v>
      </c>
      <c r="Q2855" t="s">
        <v>47</v>
      </c>
      <c r="R2855" t="s">
        <v>44</v>
      </c>
      <c r="S2855">
        <v>0</v>
      </c>
      <c r="W2855" s="3">
        <v>0</v>
      </c>
      <c r="X2855" t="s">
        <v>49</v>
      </c>
      <c r="Y2855">
        <v>0</v>
      </c>
      <c r="Z2855">
        <v>3</v>
      </c>
      <c r="AA2855" t="s">
        <v>5891</v>
      </c>
      <c r="AB2855">
        <v>26</v>
      </c>
      <c r="AC2855" t="s">
        <v>49</v>
      </c>
      <c r="AD2855">
        <v>0</v>
      </c>
      <c r="AE2855">
        <v>11239007</v>
      </c>
      <c r="AF2855" t="s">
        <v>50</v>
      </c>
      <c r="AG2855" t="s">
        <v>5772</v>
      </c>
    </row>
    <row r="2856" spans="1:33" x14ac:dyDescent="0.35">
      <c r="A2856" s="1">
        <v>44810.92083333333</v>
      </c>
      <c r="B2856">
        <v>6624070</v>
      </c>
      <c r="C2856" t="s">
        <v>5892</v>
      </c>
      <c r="D2856" t="s">
        <v>5893</v>
      </c>
      <c r="E2856" s="2">
        <v>44393</v>
      </c>
      <c r="F2856" t="str">
        <f>"9781912454808"</f>
        <v>9781912454808</v>
      </c>
      <c r="G2856" t="str">
        <f>"9781912454792"</f>
        <v>9781912454792</v>
      </c>
      <c r="H2856" t="s">
        <v>1046</v>
      </c>
      <c r="I2856">
        <v>302.23099999999999</v>
      </c>
      <c r="J2856" t="s">
        <v>5894</v>
      </c>
      <c r="K2856" t="s">
        <v>55</v>
      </c>
      <c r="Q2856" t="s">
        <v>47</v>
      </c>
      <c r="R2856" t="s">
        <v>44</v>
      </c>
      <c r="S2856">
        <v>0</v>
      </c>
      <c r="W2856" s="3">
        <v>2.6377314814814815E-2</v>
      </c>
      <c r="X2856" t="s">
        <v>5895</v>
      </c>
      <c r="Y2856">
        <v>8</v>
      </c>
      <c r="Z2856">
        <v>0</v>
      </c>
      <c r="AA2856" t="s">
        <v>49</v>
      </c>
      <c r="AB2856">
        <v>0</v>
      </c>
      <c r="AC2856" t="s">
        <v>49</v>
      </c>
      <c r="AD2856">
        <v>0</v>
      </c>
      <c r="AE2856">
        <v>-1</v>
      </c>
      <c r="AF2856" t="s">
        <v>63</v>
      </c>
      <c r="AG2856" t="s">
        <v>5709</v>
      </c>
    </row>
    <row r="2857" spans="1:33" x14ac:dyDescent="0.35">
      <c r="A2857" s="1">
        <v>44810.913888888892</v>
      </c>
      <c r="B2857">
        <v>865738</v>
      </c>
      <c r="C2857" t="s">
        <v>5896</v>
      </c>
      <c r="D2857" t="s">
        <v>672</v>
      </c>
      <c r="E2857" s="2">
        <v>40969</v>
      </c>
      <c r="F2857" t="str">
        <f>"9780814763025"</f>
        <v>9780814763025</v>
      </c>
      <c r="G2857" t="str">
        <f>"9780814764053"</f>
        <v>9780814764053</v>
      </c>
      <c r="H2857" t="s">
        <v>1046</v>
      </c>
      <c r="I2857" t="s">
        <v>5897</v>
      </c>
      <c r="J2857" t="s">
        <v>5898</v>
      </c>
      <c r="K2857" t="s">
        <v>44</v>
      </c>
      <c r="N2857" t="s">
        <v>45</v>
      </c>
      <c r="O2857" t="s">
        <v>46</v>
      </c>
      <c r="P2857" t="s">
        <v>177</v>
      </c>
      <c r="Q2857" t="s">
        <v>47</v>
      </c>
      <c r="R2857" t="s">
        <v>55</v>
      </c>
      <c r="S2857">
        <v>0</v>
      </c>
      <c r="W2857" s="3">
        <v>9.7222222222222209E-4</v>
      </c>
      <c r="X2857" t="s">
        <v>5899</v>
      </c>
      <c r="Y2857">
        <v>4</v>
      </c>
      <c r="Z2857">
        <v>0</v>
      </c>
      <c r="AA2857" t="s">
        <v>49</v>
      </c>
      <c r="AB2857">
        <v>0</v>
      </c>
      <c r="AC2857" t="s">
        <v>49</v>
      </c>
      <c r="AD2857">
        <v>0</v>
      </c>
      <c r="AE2857">
        <v>10535662</v>
      </c>
      <c r="AF2857" t="s">
        <v>63</v>
      </c>
      <c r="AG2857" t="s">
        <v>5709</v>
      </c>
    </row>
    <row r="2858" spans="1:33" x14ac:dyDescent="0.35">
      <c r="A2858" s="1">
        <v>44810.845138888886</v>
      </c>
      <c r="B2858">
        <v>4758449</v>
      </c>
      <c r="C2858" t="s">
        <v>5900</v>
      </c>
      <c r="D2858" t="s">
        <v>76</v>
      </c>
      <c r="E2858" s="2">
        <v>38380</v>
      </c>
      <c r="F2858" t="str">
        <f>"9781351916257"</f>
        <v>9781351916257</v>
      </c>
      <c r="G2858" t="str">
        <f>"9780754643890"</f>
        <v>9780754643890</v>
      </c>
      <c r="H2858" t="s">
        <v>712</v>
      </c>
      <c r="I2858">
        <v>340.59</v>
      </c>
      <c r="J2858" t="s">
        <v>5901</v>
      </c>
      <c r="K2858" t="s">
        <v>44</v>
      </c>
      <c r="N2858" t="s">
        <v>45</v>
      </c>
      <c r="O2858" t="s">
        <v>46</v>
      </c>
      <c r="P2858" t="s">
        <v>45</v>
      </c>
      <c r="Q2858" t="s">
        <v>47</v>
      </c>
      <c r="R2858" t="s">
        <v>44</v>
      </c>
      <c r="S2858">
        <v>0</v>
      </c>
      <c r="W2858" s="3">
        <v>7.1874999999999994E-3</v>
      </c>
      <c r="X2858" t="s">
        <v>5902</v>
      </c>
      <c r="Y2858">
        <v>26</v>
      </c>
      <c r="Z2858">
        <v>0</v>
      </c>
      <c r="AA2858" t="s">
        <v>49</v>
      </c>
      <c r="AB2858">
        <v>0</v>
      </c>
      <c r="AC2858" t="s">
        <v>49</v>
      </c>
      <c r="AD2858">
        <v>0</v>
      </c>
      <c r="AE2858">
        <v>11310646</v>
      </c>
      <c r="AF2858" t="s">
        <v>63</v>
      </c>
      <c r="AG2858" t="s">
        <v>3037</v>
      </c>
    </row>
    <row r="2859" spans="1:33" x14ac:dyDescent="0.35">
      <c r="A2859" s="1">
        <v>44810.844444444447</v>
      </c>
      <c r="B2859">
        <v>1899984</v>
      </c>
      <c r="C2859" t="s">
        <v>1907</v>
      </c>
      <c r="D2859" t="s">
        <v>76</v>
      </c>
      <c r="E2859" s="2">
        <v>39722</v>
      </c>
      <c r="F2859" t="str">
        <f>"9781317461241"</f>
        <v>9781317461241</v>
      </c>
      <c r="G2859" t="str">
        <f>"9780765622389"</f>
        <v>9780765622389</v>
      </c>
      <c r="H2859" t="s">
        <v>162</v>
      </c>
      <c r="I2859" t="s">
        <v>1908</v>
      </c>
      <c r="J2859" t="s">
        <v>1909</v>
      </c>
      <c r="K2859" t="s">
        <v>44</v>
      </c>
      <c r="N2859" t="s">
        <v>45</v>
      </c>
      <c r="O2859" t="s">
        <v>46</v>
      </c>
      <c r="P2859" t="s">
        <v>45</v>
      </c>
      <c r="Q2859" t="s">
        <v>47</v>
      </c>
      <c r="R2859" t="s">
        <v>44</v>
      </c>
      <c r="S2859">
        <v>0</v>
      </c>
      <c r="W2859" s="3">
        <v>2.3148148148148147E-5</v>
      </c>
      <c r="X2859" t="s">
        <v>196</v>
      </c>
      <c r="Y2859">
        <v>2</v>
      </c>
      <c r="Z2859">
        <v>0</v>
      </c>
      <c r="AA2859" t="s">
        <v>49</v>
      </c>
      <c r="AB2859">
        <v>0</v>
      </c>
      <c r="AC2859" t="s">
        <v>49</v>
      </c>
      <c r="AD2859">
        <v>0</v>
      </c>
      <c r="AE2859">
        <v>10292183</v>
      </c>
      <c r="AF2859" t="s">
        <v>63</v>
      </c>
      <c r="AG2859" t="s">
        <v>3037</v>
      </c>
    </row>
    <row r="2860" spans="1:33" x14ac:dyDescent="0.35">
      <c r="A2860" s="1">
        <v>44810.55</v>
      </c>
      <c r="B2860">
        <v>4396575</v>
      </c>
      <c r="C2860" t="s">
        <v>1474</v>
      </c>
      <c r="D2860" t="s">
        <v>645</v>
      </c>
      <c r="E2860" s="2">
        <v>42278</v>
      </c>
      <c r="F2860" t="str">
        <f>"9781438457765"</f>
        <v>9781438457765</v>
      </c>
      <c r="G2860" t="str">
        <f>"9781438457758"</f>
        <v>9781438457758</v>
      </c>
      <c r="H2860" t="s">
        <v>1046</v>
      </c>
      <c r="I2860" t="s">
        <v>1203</v>
      </c>
      <c r="K2860" t="s">
        <v>44</v>
      </c>
      <c r="N2860" t="s">
        <v>45</v>
      </c>
      <c r="O2860" t="s">
        <v>46</v>
      </c>
      <c r="P2860" t="s">
        <v>45</v>
      </c>
      <c r="Q2860" t="s">
        <v>47</v>
      </c>
      <c r="R2860" t="s">
        <v>44</v>
      </c>
      <c r="S2860">
        <v>2</v>
      </c>
      <c r="W2860" s="3">
        <v>0</v>
      </c>
      <c r="X2860" t="s">
        <v>49</v>
      </c>
      <c r="Y2860">
        <v>0</v>
      </c>
      <c r="Z2860">
        <v>0</v>
      </c>
      <c r="AA2860" t="s">
        <v>49</v>
      </c>
      <c r="AB2860">
        <v>0</v>
      </c>
      <c r="AC2860" t="s">
        <v>49</v>
      </c>
      <c r="AD2860">
        <v>0</v>
      </c>
      <c r="AE2860">
        <v>11155580</v>
      </c>
      <c r="AF2860" t="s">
        <v>63</v>
      </c>
      <c r="AG2860" t="s">
        <v>3037</v>
      </c>
    </row>
    <row r="2861" spans="1:33" x14ac:dyDescent="0.35">
      <c r="A2861" s="1">
        <v>44810.543749999997</v>
      </c>
      <c r="B2861">
        <v>1899984</v>
      </c>
      <c r="C2861" t="s">
        <v>1907</v>
      </c>
      <c r="D2861" t="s">
        <v>76</v>
      </c>
      <c r="E2861" s="2">
        <v>39722</v>
      </c>
      <c r="F2861" t="str">
        <f>"9781317461241"</f>
        <v>9781317461241</v>
      </c>
      <c r="G2861" t="str">
        <f>"9780765622389"</f>
        <v>9780765622389</v>
      </c>
      <c r="H2861" t="s">
        <v>162</v>
      </c>
      <c r="I2861" t="s">
        <v>1908</v>
      </c>
      <c r="J2861" t="s">
        <v>1909</v>
      </c>
      <c r="K2861" t="s">
        <v>44</v>
      </c>
      <c r="N2861" t="s">
        <v>45</v>
      </c>
      <c r="O2861" t="s">
        <v>46</v>
      </c>
      <c r="P2861" t="s">
        <v>45</v>
      </c>
      <c r="Q2861" t="s">
        <v>47</v>
      </c>
      <c r="R2861" t="s">
        <v>44</v>
      </c>
      <c r="S2861">
        <v>0</v>
      </c>
      <c r="W2861" s="3">
        <v>4.4444444444444444E-3</v>
      </c>
      <c r="X2861" t="s">
        <v>5903</v>
      </c>
      <c r="Y2861">
        <v>17</v>
      </c>
      <c r="Z2861">
        <v>1</v>
      </c>
      <c r="AA2861" t="s">
        <v>3286</v>
      </c>
      <c r="AB2861">
        <v>1</v>
      </c>
      <c r="AC2861" t="s">
        <v>49</v>
      </c>
      <c r="AD2861">
        <v>0</v>
      </c>
      <c r="AE2861">
        <v>10292183</v>
      </c>
      <c r="AF2861" t="s">
        <v>63</v>
      </c>
      <c r="AG2861" t="s">
        <v>3037</v>
      </c>
    </row>
    <row r="2862" spans="1:33" x14ac:dyDescent="0.35">
      <c r="A2862" s="1">
        <v>44810.522916666669</v>
      </c>
      <c r="B2862">
        <v>4877050</v>
      </c>
      <c r="C2862" t="s">
        <v>2704</v>
      </c>
      <c r="D2862" t="s">
        <v>199</v>
      </c>
      <c r="E2862" s="2">
        <v>42491</v>
      </c>
      <c r="F2862" t="str">
        <f>"9781423233671"</f>
        <v>9781423233671</v>
      </c>
      <c r="G2862" t="str">
        <f>"9781423233039"</f>
        <v>9781423233039</v>
      </c>
      <c r="H2862" t="s">
        <v>43</v>
      </c>
      <c r="I2862">
        <v>515</v>
      </c>
      <c r="J2862" t="s">
        <v>2705</v>
      </c>
      <c r="K2862" t="s">
        <v>44</v>
      </c>
      <c r="N2862" t="s">
        <v>45</v>
      </c>
      <c r="O2862" t="s">
        <v>46</v>
      </c>
      <c r="P2862" t="s">
        <v>45</v>
      </c>
      <c r="Q2862" t="s">
        <v>47</v>
      </c>
      <c r="R2862" t="s">
        <v>44</v>
      </c>
      <c r="S2862">
        <v>0</v>
      </c>
      <c r="W2862" s="3">
        <v>2.3148148148148146E-4</v>
      </c>
      <c r="X2862" t="s">
        <v>5904</v>
      </c>
      <c r="Y2862">
        <v>5</v>
      </c>
      <c r="Z2862">
        <v>0</v>
      </c>
      <c r="AA2862" t="s">
        <v>49</v>
      </c>
      <c r="AB2862">
        <v>0</v>
      </c>
      <c r="AC2862" t="s">
        <v>49</v>
      </c>
      <c r="AD2862">
        <v>0</v>
      </c>
      <c r="AE2862">
        <v>11397719</v>
      </c>
      <c r="AF2862" t="s">
        <v>50</v>
      </c>
      <c r="AG2862" t="s">
        <v>5905</v>
      </c>
    </row>
    <row r="2863" spans="1:33" x14ac:dyDescent="0.35">
      <c r="A2863" s="1">
        <v>44810.504166666666</v>
      </c>
      <c r="B2863">
        <v>865738</v>
      </c>
      <c r="C2863" t="s">
        <v>5896</v>
      </c>
      <c r="D2863" t="s">
        <v>672</v>
      </c>
      <c r="E2863" s="2">
        <v>40969</v>
      </c>
      <c r="F2863" t="str">
        <f>"9780814763025"</f>
        <v>9780814763025</v>
      </c>
      <c r="G2863" t="str">
        <f>"9780814764053"</f>
        <v>9780814764053</v>
      </c>
      <c r="H2863" t="s">
        <v>1046</v>
      </c>
      <c r="I2863" t="s">
        <v>5897</v>
      </c>
      <c r="J2863" t="s">
        <v>5898</v>
      </c>
      <c r="K2863" t="s">
        <v>44</v>
      </c>
      <c r="N2863" t="s">
        <v>45</v>
      </c>
      <c r="O2863" t="s">
        <v>46</v>
      </c>
      <c r="P2863" t="s">
        <v>177</v>
      </c>
      <c r="Q2863" t="s">
        <v>47</v>
      </c>
      <c r="R2863" t="s">
        <v>55</v>
      </c>
      <c r="S2863">
        <v>0</v>
      </c>
      <c r="W2863" s="3">
        <v>2.2685185185185182E-3</v>
      </c>
      <c r="X2863" t="s">
        <v>5906</v>
      </c>
      <c r="Y2863">
        <v>18</v>
      </c>
      <c r="Z2863">
        <v>0</v>
      </c>
      <c r="AA2863" t="s">
        <v>49</v>
      </c>
      <c r="AB2863">
        <v>0</v>
      </c>
      <c r="AC2863" t="s">
        <v>49</v>
      </c>
      <c r="AD2863">
        <v>0</v>
      </c>
      <c r="AE2863">
        <v>10535662</v>
      </c>
      <c r="AF2863" t="s">
        <v>63</v>
      </c>
      <c r="AG2863" t="s">
        <v>5709</v>
      </c>
    </row>
    <row r="2864" spans="1:33" x14ac:dyDescent="0.35">
      <c r="A2864" s="1">
        <v>44810.488888888889</v>
      </c>
      <c r="B2864">
        <v>5942030</v>
      </c>
      <c r="C2864" t="s">
        <v>5907</v>
      </c>
      <c r="D2864" t="s">
        <v>76</v>
      </c>
      <c r="E2864" s="2">
        <v>43763</v>
      </c>
      <c r="F2864" t="str">
        <f>"9780429790898"</f>
        <v>9780429790898</v>
      </c>
      <c r="G2864" t="str">
        <f>"9781138349155"</f>
        <v>9781138349155</v>
      </c>
      <c r="H2864" t="s">
        <v>1046</v>
      </c>
      <c r="I2864">
        <v>302.23</v>
      </c>
      <c r="J2864" t="s">
        <v>5908</v>
      </c>
      <c r="K2864" t="s">
        <v>55</v>
      </c>
      <c r="Q2864" t="s">
        <v>47</v>
      </c>
      <c r="R2864" t="s">
        <v>44</v>
      </c>
      <c r="S2864">
        <v>0</v>
      </c>
      <c r="W2864" s="3">
        <v>1.712962962962963E-3</v>
      </c>
      <c r="X2864" t="s">
        <v>5909</v>
      </c>
      <c r="Y2864">
        <v>12</v>
      </c>
      <c r="Z2864">
        <v>0</v>
      </c>
      <c r="AA2864" t="s">
        <v>49</v>
      </c>
      <c r="AB2864">
        <v>0</v>
      </c>
      <c r="AC2864" t="s">
        <v>49</v>
      </c>
      <c r="AD2864">
        <v>0</v>
      </c>
      <c r="AE2864">
        <v>-1</v>
      </c>
      <c r="AF2864" t="s">
        <v>63</v>
      </c>
      <c r="AG2864" t="s">
        <v>5709</v>
      </c>
    </row>
    <row r="2865" spans="1:33" x14ac:dyDescent="0.35">
      <c r="A2865" s="1">
        <v>44810.420138888891</v>
      </c>
      <c r="B2865">
        <v>6234839</v>
      </c>
      <c r="C2865" t="s">
        <v>5910</v>
      </c>
      <c r="D2865" t="s">
        <v>497</v>
      </c>
      <c r="E2865" s="2">
        <v>43782</v>
      </c>
      <c r="F2865" t="str">
        <f>"9781352006537"</f>
        <v>9781352006537</v>
      </c>
      <c r="G2865" t="str">
        <f>"9781352006230"</f>
        <v>9781352006230</v>
      </c>
      <c r="H2865" t="s">
        <v>43</v>
      </c>
      <c r="I2865">
        <v>515</v>
      </c>
      <c r="J2865" t="s">
        <v>5911</v>
      </c>
      <c r="K2865" t="s">
        <v>55</v>
      </c>
      <c r="Q2865" t="s">
        <v>47</v>
      </c>
      <c r="R2865" t="s">
        <v>44</v>
      </c>
      <c r="S2865">
        <v>0</v>
      </c>
      <c r="W2865" s="3">
        <v>2.3032407407407407E-3</v>
      </c>
      <c r="X2865" t="s">
        <v>5912</v>
      </c>
      <c r="Y2865">
        <v>8</v>
      </c>
      <c r="Z2865">
        <v>0</v>
      </c>
      <c r="AA2865" t="s">
        <v>49</v>
      </c>
      <c r="AB2865">
        <v>0</v>
      </c>
      <c r="AC2865" t="s">
        <v>49</v>
      </c>
      <c r="AD2865">
        <v>0</v>
      </c>
      <c r="AE2865">
        <v>-1</v>
      </c>
      <c r="AF2865" t="s">
        <v>50</v>
      </c>
      <c r="AG2865" t="s">
        <v>2972</v>
      </c>
    </row>
    <row r="2866" spans="1:33" x14ac:dyDescent="0.35">
      <c r="A2866" s="1">
        <v>44810.419444444444</v>
      </c>
      <c r="B2866">
        <v>3073487</v>
      </c>
      <c r="C2866" t="s">
        <v>5913</v>
      </c>
      <c r="D2866" t="s">
        <v>5914</v>
      </c>
      <c r="E2866" s="2">
        <v>36539</v>
      </c>
      <c r="F2866" t="str">
        <f>"9781447105978"</f>
        <v>9781447105978</v>
      </c>
      <c r="G2866" t="str">
        <f>"9783540761808"</f>
        <v>9783540761808</v>
      </c>
      <c r="H2866" t="s">
        <v>5915</v>
      </c>
      <c r="I2866" t="s">
        <v>5916</v>
      </c>
      <c r="J2866" t="s">
        <v>5917</v>
      </c>
      <c r="K2866" t="s">
        <v>44</v>
      </c>
      <c r="N2866" t="s">
        <v>45</v>
      </c>
      <c r="O2866" t="s">
        <v>46</v>
      </c>
      <c r="P2866" t="s">
        <v>45</v>
      </c>
      <c r="Q2866" t="s">
        <v>47</v>
      </c>
      <c r="R2866" t="s">
        <v>44</v>
      </c>
      <c r="S2866">
        <v>0</v>
      </c>
      <c r="W2866" s="3">
        <v>1.5046296296296297E-4</v>
      </c>
      <c r="X2866" t="s">
        <v>5918</v>
      </c>
      <c r="Y2866">
        <v>4</v>
      </c>
      <c r="Z2866">
        <v>0</v>
      </c>
      <c r="AA2866" t="s">
        <v>49</v>
      </c>
      <c r="AB2866">
        <v>0</v>
      </c>
      <c r="AC2866" t="s">
        <v>49</v>
      </c>
      <c r="AD2866">
        <v>0</v>
      </c>
      <c r="AE2866">
        <v>10916586</v>
      </c>
      <c r="AF2866" t="s">
        <v>50</v>
      </c>
      <c r="AG2866" t="s">
        <v>2972</v>
      </c>
    </row>
    <row r="2867" spans="1:33" x14ac:dyDescent="0.35">
      <c r="A2867" s="1">
        <v>44809.779861111114</v>
      </c>
      <c r="B2867">
        <v>6798536</v>
      </c>
      <c r="C2867" t="s">
        <v>2011</v>
      </c>
      <c r="D2867" t="s">
        <v>76</v>
      </c>
      <c r="E2867" s="2">
        <v>43600</v>
      </c>
      <c r="F2867" t="str">
        <f>"9780429680885"</f>
        <v>9780429680885</v>
      </c>
      <c r="G2867" t="str">
        <f>"9780367023782"</f>
        <v>9780367023782</v>
      </c>
      <c r="H2867" t="s">
        <v>77</v>
      </c>
      <c r="I2867" t="s">
        <v>628</v>
      </c>
      <c r="J2867" t="s">
        <v>2012</v>
      </c>
      <c r="K2867" t="s">
        <v>55</v>
      </c>
      <c r="Q2867" t="s">
        <v>47</v>
      </c>
      <c r="R2867" t="s">
        <v>44</v>
      </c>
      <c r="S2867">
        <v>0</v>
      </c>
      <c r="W2867" s="3">
        <v>7.5231481481481477E-3</v>
      </c>
      <c r="X2867" t="s">
        <v>5919</v>
      </c>
      <c r="Y2867">
        <v>15</v>
      </c>
      <c r="Z2867">
        <v>0</v>
      </c>
      <c r="AA2867" t="s">
        <v>49</v>
      </c>
      <c r="AB2867">
        <v>0</v>
      </c>
      <c r="AC2867" t="s">
        <v>49</v>
      </c>
      <c r="AD2867">
        <v>0</v>
      </c>
      <c r="AE2867">
        <v>-1</v>
      </c>
      <c r="AF2867" t="s">
        <v>63</v>
      </c>
      <c r="AG2867" t="s">
        <v>3037</v>
      </c>
    </row>
    <row r="2868" spans="1:33" x14ac:dyDescent="0.35">
      <c r="A2868" s="1">
        <v>44809.679861111108</v>
      </c>
      <c r="B2868">
        <v>836920</v>
      </c>
      <c r="C2868" t="s">
        <v>5920</v>
      </c>
      <c r="D2868" t="s">
        <v>4958</v>
      </c>
      <c r="E2868" s="2">
        <v>40739</v>
      </c>
      <c r="F2868" t="str">
        <f>"9780226736877"</f>
        <v>9780226736877</v>
      </c>
      <c r="G2868" t="str">
        <f>"9780226736853"</f>
        <v>9780226736853</v>
      </c>
      <c r="H2868" t="s">
        <v>66</v>
      </c>
      <c r="I2868">
        <v>577.01</v>
      </c>
      <c r="J2868" t="s">
        <v>5921</v>
      </c>
      <c r="K2868" t="s">
        <v>44</v>
      </c>
      <c r="N2868" t="s">
        <v>45</v>
      </c>
      <c r="O2868" t="s">
        <v>46</v>
      </c>
      <c r="P2868" t="s">
        <v>45</v>
      </c>
      <c r="Q2868" t="s">
        <v>47</v>
      </c>
      <c r="R2868" t="s">
        <v>44</v>
      </c>
      <c r="S2868">
        <v>0</v>
      </c>
      <c r="W2868" s="3">
        <v>3.4722222222222224E-4</v>
      </c>
      <c r="X2868" t="s">
        <v>5922</v>
      </c>
      <c r="Y2868">
        <v>6</v>
      </c>
      <c r="Z2868">
        <v>0</v>
      </c>
      <c r="AA2868" t="s">
        <v>49</v>
      </c>
      <c r="AB2868">
        <v>0</v>
      </c>
      <c r="AC2868" t="s">
        <v>49</v>
      </c>
      <c r="AD2868">
        <v>0</v>
      </c>
      <c r="AE2868">
        <v>10519591</v>
      </c>
      <c r="AF2868" t="s">
        <v>50</v>
      </c>
      <c r="AG2868" t="s">
        <v>118</v>
      </c>
    </row>
    <row r="2869" spans="1:33" x14ac:dyDescent="0.35">
      <c r="A2869" s="1">
        <v>44809.67083333333</v>
      </c>
      <c r="B2869">
        <v>483516</v>
      </c>
      <c r="C2869" t="s">
        <v>5923</v>
      </c>
      <c r="D2869" t="s">
        <v>53</v>
      </c>
      <c r="E2869" s="2">
        <v>40125</v>
      </c>
      <c r="F2869" t="str">
        <f>"9781400831920"</f>
        <v>9781400831920</v>
      </c>
      <c r="G2869" t="str">
        <f>"9780691136530"</f>
        <v>9780691136530</v>
      </c>
      <c r="H2869" t="s">
        <v>66</v>
      </c>
      <c r="I2869" t="s">
        <v>5924</v>
      </c>
      <c r="J2869" t="s">
        <v>5925</v>
      </c>
      <c r="K2869" t="s">
        <v>44</v>
      </c>
      <c r="N2869" t="s">
        <v>45</v>
      </c>
      <c r="O2869" t="s">
        <v>46</v>
      </c>
      <c r="P2869" t="s">
        <v>45</v>
      </c>
      <c r="Q2869" t="s">
        <v>47</v>
      </c>
      <c r="R2869" t="s">
        <v>44</v>
      </c>
      <c r="S2869">
        <v>0</v>
      </c>
      <c r="W2869" s="3">
        <v>3.1250000000000001E-4</v>
      </c>
      <c r="X2869" t="s">
        <v>5926</v>
      </c>
      <c r="Y2869">
        <v>8</v>
      </c>
      <c r="Z2869">
        <v>0</v>
      </c>
      <c r="AA2869" t="s">
        <v>49</v>
      </c>
      <c r="AB2869">
        <v>0</v>
      </c>
      <c r="AC2869" t="s">
        <v>49</v>
      </c>
      <c r="AD2869">
        <v>0</v>
      </c>
      <c r="AE2869">
        <v>10364748</v>
      </c>
      <c r="AF2869" t="s">
        <v>50</v>
      </c>
      <c r="AG2869" t="s">
        <v>118</v>
      </c>
    </row>
    <row r="2870" spans="1:33" x14ac:dyDescent="0.35">
      <c r="A2870" s="1">
        <v>44809.655555555553</v>
      </c>
      <c r="B2870">
        <v>3117813</v>
      </c>
      <c r="C2870" t="s">
        <v>5863</v>
      </c>
      <c r="D2870" t="s">
        <v>76</v>
      </c>
      <c r="E2870" s="2">
        <v>26099</v>
      </c>
      <c r="F2870" t="str">
        <f>"9780895034496"</f>
        <v>9780895034496</v>
      </c>
      <c r="G2870" t="str">
        <f>"9780895030061"</f>
        <v>9780895030061</v>
      </c>
      <c r="H2870" t="s">
        <v>5864</v>
      </c>
      <c r="I2870">
        <v>808.06659999999999</v>
      </c>
      <c r="J2870" t="s">
        <v>5865</v>
      </c>
      <c r="K2870" t="s">
        <v>44</v>
      </c>
      <c r="N2870" t="s">
        <v>45</v>
      </c>
      <c r="O2870" t="s">
        <v>46</v>
      </c>
      <c r="P2870" t="s">
        <v>45</v>
      </c>
      <c r="Q2870" t="s">
        <v>47</v>
      </c>
      <c r="R2870" t="s">
        <v>44</v>
      </c>
      <c r="S2870">
        <v>0</v>
      </c>
      <c r="W2870" s="3">
        <v>1.1574074074074073E-4</v>
      </c>
      <c r="X2870" t="s">
        <v>5927</v>
      </c>
      <c r="Y2870">
        <v>2</v>
      </c>
      <c r="Z2870">
        <v>1</v>
      </c>
      <c r="AA2870" t="s">
        <v>5866</v>
      </c>
      <c r="AB2870">
        <v>10</v>
      </c>
      <c r="AC2870" t="s">
        <v>49</v>
      </c>
      <c r="AD2870">
        <v>0</v>
      </c>
      <c r="AE2870">
        <v>10613396</v>
      </c>
      <c r="AF2870" t="s">
        <v>63</v>
      </c>
      <c r="AG2870" t="s">
        <v>2972</v>
      </c>
    </row>
    <row r="2871" spans="1:33" x14ac:dyDescent="0.35">
      <c r="A2871" s="1">
        <v>44809.655555555553</v>
      </c>
      <c r="B2871">
        <v>5928197</v>
      </c>
      <c r="C2871" t="s">
        <v>4738</v>
      </c>
      <c r="D2871" t="s">
        <v>59</v>
      </c>
      <c r="E2871" s="2">
        <v>43839</v>
      </c>
      <c r="F2871" t="str">
        <f>"9781118907269"</f>
        <v>9781118907269</v>
      </c>
      <c r="G2871" t="str">
        <f>"9781118907429"</f>
        <v>9781118907429</v>
      </c>
      <c r="H2871" t="s">
        <v>2799</v>
      </c>
      <c r="I2871">
        <v>502.3</v>
      </c>
      <c r="J2871" t="s">
        <v>4739</v>
      </c>
      <c r="K2871" t="s">
        <v>44</v>
      </c>
      <c r="N2871" t="s">
        <v>45</v>
      </c>
      <c r="O2871" t="s">
        <v>46</v>
      </c>
      <c r="P2871" t="s">
        <v>45</v>
      </c>
      <c r="Q2871" t="s">
        <v>47</v>
      </c>
      <c r="R2871" t="s">
        <v>44</v>
      </c>
      <c r="S2871">
        <v>0</v>
      </c>
      <c r="W2871" s="3">
        <v>6.8287037037037025E-4</v>
      </c>
      <c r="X2871" t="s">
        <v>5928</v>
      </c>
      <c r="Y2871">
        <v>7</v>
      </c>
      <c r="Z2871">
        <v>0</v>
      </c>
      <c r="AA2871" t="s">
        <v>49</v>
      </c>
      <c r="AB2871">
        <v>0</v>
      </c>
      <c r="AC2871" t="s">
        <v>49</v>
      </c>
      <c r="AD2871">
        <v>0</v>
      </c>
      <c r="AE2871">
        <v>-1</v>
      </c>
      <c r="AF2871" t="s">
        <v>63</v>
      </c>
      <c r="AG2871" t="s">
        <v>2972</v>
      </c>
    </row>
    <row r="2872" spans="1:33" x14ac:dyDescent="0.35">
      <c r="A2872" s="1">
        <v>44809.631944444445</v>
      </c>
      <c r="B2872">
        <v>377899</v>
      </c>
      <c r="C2872" t="s">
        <v>3965</v>
      </c>
      <c r="D2872" t="s">
        <v>502</v>
      </c>
      <c r="E2872" s="2">
        <v>39786</v>
      </c>
      <c r="F2872" t="str">
        <f>"9780511454202"</f>
        <v>9780511454202</v>
      </c>
      <c r="G2872" t="str">
        <f>"9780521862288"</f>
        <v>9780521862288</v>
      </c>
      <c r="H2872" t="s">
        <v>237</v>
      </c>
      <c r="I2872">
        <v>551.9</v>
      </c>
      <c r="J2872" t="s">
        <v>3966</v>
      </c>
      <c r="K2872" t="s">
        <v>44</v>
      </c>
      <c r="N2872" t="s">
        <v>45</v>
      </c>
      <c r="O2872" t="s">
        <v>46</v>
      </c>
      <c r="P2872" t="s">
        <v>45</v>
      </c>
      <c r="Q2872" t="s">
        <v>47</v>
      </c>
      <c r="R2872" t="s">
        <v>44</v>
      </c>
      <c r="S2872">
        <v>0</v>
      </c>
      <c r="W2872" s="3">
        <v>0</v>
      </c>
      <c r="X2872" t="s">
        <v>49</v>
      </c>
      <c r="Y2872">
        <v>0</v>
      </c>
      <c r="Z2872">
        <v>1</v>
      </c>
      <c r="AA2872" t="s">
        <v>5929</v>
      </c>
      <c r="AB2872">
        <v>28</v>
      </c>
      <c r="AC2872" t="s">
        <v>49</v>
      </c>
      <c r="AD2872">
        <v>0</v>
      </c>
      <c r="AE2872">
        <v>10265028</v>
      </c>
      <c r="AF2872" t="s">
        <v>63</v>
      </c>
      <c r="AG2872" t="s">
        <v>2972</v>
      </c>
    </row>
    <row r="2873" spans="1:33" x14ac:dyDescent="0.35">
      <c r="A2873" s="1">
        <v>44809.613888888889</v>
      </c>
      <c r="B2873">
        <v>477200</v>
      </c>
      <c r="C2873" t="s">
        <v>5930</v>
      </c>
      <c r="D2873" t="s">
        <v>71</v>
      </c>
      <c r="E2873" s="2">
        <v>39966</v>
      </c>
      <c r="F2873" t="str">
        <f>"9789812797506"</f>
        <v>9789812797506</v>
      </c>
      <c r="G2873" t="str">
        <f>"9789812797490"</f>
        <v>9789812797490</v>
      </c>
      <c r="H2873" t="s">
        <v>5931</v>
      </c>
      <c r="I2873">
        <v>614.40110000000004</v>
      </c>
      <c r="J2873" t="s">
        <v>5932</v>
      </c>
      <c r="K2873" t="s">
        <v>44</v>
      </c>
      <c r="N2873" t="s">
        <v>45</v>
      </c>
      <c r="O2873" t="s">
        <v>46</v>
      </c>
      <c r="P2873" t="s">
        <v>45</v>
      </c>
      <c r="Q2873" t="s">
        <v>47</v>
      </c>
      <c r="R2873" t="s">
        <v>44</v>
      </c>
      <c r="S2873">
        <v>0</v>
      </c>
      <c r="W2873" s="3">
        <v>0</v>
      </c>
      <c r="X2873" t="s">
        <v>49</v>
      </c>
      <c r="Y2873">
        <v>0</v>
      </c>
      <c r="Z2873">
        <v>3</v>
      </c>
      <c r="AA2873" t="s">
        <v>5933</v>
      </c>
      <c r="AB2873">
        <v>124</v>
      </c>
      <c r="AC2873" t="s">
        <v>49</v>
      </c>
      <c r="AD2873">
        <v>0</v>
      </c>
      <c r="AE2873">
        <v>10361879</v>
      </c>
      <c r="AF2873" t="s">
        <v>50</v>
      </c>
      <c r="AG2873" t="s">
        <v>118</v>
      </c>
    </row>
    <row r="2874" spans="1:33" x14ac:dyDescent="0.35">
      <c r="A2874" s="1">
        <v>44809.603472222225</v>
      </c>
      <c r="B2874">
        <v>477200</v>
      </c>
      <c r="C2874" t="s">
        <v>5930</v>
      </c>
      <c r="D2874" t="s">
        <v>71</v>
      </c>
      <c r="E2874" s="2">
        <v>39966</v>
      </c>
      <c r="F2874" t="str">
        <f>"9789812797506"</f>
        <v>9789812797506</v>
      </c>
      <c r="G2874" t="str">
        <f>"9789812797490"</f>
        <v>9789812797490</v>
      </c>
      <c r="H2874" t="s">
        <v>5931</v>
      </c>
      <c r="I2874">
        <v>614.40110000000004</v>
      </c>
      <c r="J2874" t="s">
        <v>5932</v>
      </c>
      <c r="K2874" t="s">
        <v>44</v>
      </c>
      <c r="N2874" t="s">
        <v>45</v>
      </c>
      <c r="O2874" t="s">
        <v>46</v>
      </c>
      <c r="P2874" t="s">
        <v>45</v>
      </c>
      <c r="Q2874" t="s">
        <v>47</v>
      </c>
      <c r="R2874" t="s">
        <v>44</v>
      </c>
      <c r="S2874">
        <v>0</v>
      </c>
      <c r="W2874" s="3">
        <v>1.5740740740740741E-3</v>
      </c>
      <c r="X2874" t="s">
        <v>5934</v>
      </c>
      <c r="Y2874">
        <v>8</v>
      </c>
      <c r="Z2874">
        <v>9</v>
      </c>
      <c r="AA2874" t="s">
        <v>5935</v>
      </c>
      <c r="AB2874">
        <v>321</v>
      </c>
      <c r="AC2874" t="s">
        <v>49</v>
      </c>
      <c r="AD2874">
        <v>0</v>
      </c>
      <c r="AE2874">
        <v>10361879</v>
      </c>
      <c r="AF2874" t="s">
        <v>63</v>
      </c>
      <c r="AG2874" t="s">
        <v>118</v>
      </c>
    </row>
    <row r="2875" spans="1:33" x14ac:dyDescent="0.35">
      <c r="A2875" s="1">
        <v>44809.601388888892</v>
      </c>
      <c r="B2875">
        <v>800810</v>
      </c>
      <c r="C2875" t="s">
        <v>5936</v>
      </c>
      <c r="D2875" t="s">
        <v>125</v>
      </c>
      <c r="E2875" s="2">
        <v>40780</v>
      </c>
      <c r="F2875" t="str">
        <f>"9780191617485"</f>
        <v>9780191617485</v>
      </c>
      <c r="G2875" t="str">
        <f>"9780199602285"</f>
        <v>9780199602285</v>
      </c>
      <c r="H2875" t="s">
        <v>1069</v>
      </c>
      <c r="I2875">
        <v>822.33</v>
      </c>
      <c r="J2875" t="s">
        <v>5937</v>
      </c>
      <c r="K2875" t="s">
        <v>44</v>
      </c>
      <c r="N2875" t="s">
        <v>45</v>
      </c>
      <c r="O2875" t="s">
        <v>46</v>
      </c>
      <c r="P2875" t="s">
        <v>45</v>
      </c>
      <c r="Q2875" t="s">
        <v>47</v>
      </c>
      <c r="R2875" t="s">
        <v>44</v>
      </c>
      <c r="S2875">
        <v>0</v>
      </c>
      <c r="W2875" s="3">
        <v>3.4722222222222224E-4</v>
      </c>
      <c r="X2875" t="s">
        <v>5938</v>
      </c>
      <c r="Y2875">
        <v>7</v>
      </c>
      <c r="Z2875">
        <v>0</v>
      </c>
      <c r="AA2875" t="s">
        <v>49</v>
      </c>
      <c r="AB2875">
        <v>0</v>
      </c>
      <c r="AC2875" t="s">
        <v>49</v>
      </c>
      <c r="AD2875">
        <v>0</v>
      </c>
      <c r="AE2875">
        <v>10673156</v>
      </c>
      <c r="AF2875" t="s">
        <v>50</v>
      </c>
      <c r="AG2875" t="s">
        <v>5772</v>
      </c>
    </row>
    <row r="2876" spans="1:33" x14ac:dyDescent="0.35">
      <c r="A2876" s="1">
        <v>44809.484722222223</v>
      </c>
      <c r="B2876">
        <v>1579779</v>
      </c>
      <c r="C2876" t="s">
        <v>5939</v>
      </c>
      <c r="D2876" t="s">
        <v>76</v>
      </c>
      <c r="E2876" s="2">
        <v>41239</v>
      </c>
      <c r="F2876" t="str">
        <f>"9781466592193"</f>
        <v>9781466592193</v>
      </c>
      <c r="G2876" t="str">
        <f>"9781439861400"</f>
        <v>9781439861400</v>
      </c>
      <c r="H2876" t="s">
        <v>5940</v>
      </c>
      <c r="I2876">
        <v>621.36699999999996</v>
      </c>
      <c r="J2876" t="s">
        <v>5941</v>
      </c>
      <c r="K2876" t="s">
        <v>44</v>
      </c>
      <c r="N2876" t="s">
        <v>45</v>
      </c>
      <c r="O2876" t="s">
        <v>46</v>
      </c>
      <c r="P2876" t="s">
        <v>45</v>
      </c>
      <c r="Q2876" t="s">
        <v>47</v>
      </c>
      <c r="R2876" t="s">
        <v>44</v>
      </c>
      <c r="S2876">
        <v>1</v>
      </c>
      <c r="W2876" s="3">
        <v>0</v>
      </c>
      <c r="X2876" t="s">
        <v>49</v>
      </c>
      <c r="Y2876">
        <v>0</v>
      </c>
      <c r="Z2876">
        <v>0</v>
      </c>
      <c r="AA2876" t="s">
        <v>49</v>
      </c>
      <c r="AB2876">
        <v>0</v>
      </c>
      <c r="AC2876" t="s">
        <v>49</v>
      </c>
      <c r="AD2876">
        <v>0</v>
      </c>
      <c r="AE2876">
        <v>11167045</v>
      </c>
      <c r="AF2876" t="s">
        <v>63</v>
      </c>
      <c r="AG2876" t="s">
        <v>3037</v>
      </c>
    </row>
    <row r="2877" spans="1:33" x14ac:dyDescent="0.35">
      <c r="A2877" s="1">
        <v>44809.484722222223</v>
      </c>
      <c r="B2877">
        <v>566053</v>
      </c>
      <c r="C2877" t="s">
        <v>5942</v>
      </c>
      <c r="D2877" t="s">
        <v>76</v>
      </c>
      <c r="E2877" s="2">
        <v>40197</v>
      </c>
      <c r="F2877" t="str">
        <f>"9781420066531"</f>
        <v>9781420066531</v>
      </c>
      <c r="G2877" t="str">
        <f>"9781420066524"</f>
        <v>9781420066524</v>
      </c>
      <c r="H2877" t="s">
        <v>43</v>
      </c>
      <c r="I2877">
        <v>515.72299999999996</v>
      </c>
      <c r="J2877" t="s">
        <v>5943</v>
      </c>
      <c r="K2877" t="s">
        <v>44</v>
      </c>
      <c r="N2877" t="s">
        <v>45</v>
      </c>
      <c r="O2877" t="s">
        <v>46</v>
      </c>
      <c r="P2877" t="s">
        <v>45</v>
      </c>
      <c r="Q2877" t="s">
        <v>47</v>
      </c>
      <c r="R2877" t="s">
        <v>44</v>
      </c>
      <c r="S2877">
        <v>1</v>
      </c>
      <c r="W2877" s="3">
        <v>0</v>
      </c>
      <c r="X2877" t="s">
        <v>49</v>
      </c>
      <c r="Y2877">
        <v>0</v>
      </c>
      <c r="Z2877">
        <v>0</v>
      </c>
      <c r="AA2877" t="s">
        <v>49</v>
      </c>
      <c r="AB2877">
        <v>0</v>
      </c>
      <c r="AC2877" t="s">
        <v>49</v>
      </c>
      <c r="AD2877">
        <v>0</v>
      </c>
      <c r="AE2877">
        <v>10367166</v>
      </c>
      <c r="AF2877" t="s">
        <v>63</v>
      </c>
      <c r="AG2877" t="s">
        <v>3037</v>
      </c>
    </row>
    <row r="2878" spans="1:33" x14ac:dyDescent="0.35">
      <c r="A2878" s="1">
        <v>44809.481944444444</v>
      </c>
      <c r="B2878">
        <v>4040762</v>
      </c>
      <c r="C2878" t="s">
        <v>5944</v>
      </c>
      <c r="D2878" t="s">
        <v>59</v>
      </c>
      <c r="E2878" s="2">
        <v>42436</v>
      </c>
      <c r="F2878" t="str">
        <f>"9781119046073"</f>
        <v>9781119046073</v>
      </c>
      <c r="G2878" t="str">
        <f>"9781119046066"</f>
        <v>9781119046066</v>
      </c>
      <c r="H2878" t="s">
        <v>43</v>
      </c>
      <c r="I2878" t="s">
        <v>5945</v>
      </c>
      <c r="J2878" t="s">
        <v>5946</v>
      </c>
      <c r="K2878" t="s">
        <v>44</v>
      </c>
      <c r="N2878" t="s">
        <v>45</v>
      </c>
      <c r="O2878" t="s">
        <v>46</v>
      </c>
      <c r="P2878" t="s">
        <v>45</v>
      </c>
      <c r="Q2878" t="s">
        <v>47</v>
      </c>
      <c r="R2878" t="s">
        <v>44</v>
      </c>
      <c r="S2878">
        <v>1</v>
      </c>
      <c r="W2878" s="3">
        <v>0</v>
      </c>
      <c r="X2878" t="s">
        <v>49</v>
      </c>
      <c r="Y2878">
        <v>0</v>
      </c>
      <c r="Z2878">
        <v>0</v>
      </c>
      <c r="AA2878" t="s">
        <v>49</v>
      </c>
      <c r="AB2878">
        <v>0</v>
      </c>
      <c r="AC2878" t="s">
        <v>49</v>
      </c>
      <c r="AD2878">
        <v>0</v>
      </c>
      <c r="AE2878">
        <v>11113850</v>
      </c>
      <c r="AF2878" t="s">
        <v>63</v>
      </c>
      <c r="AG2878" t="s">
        <v>3037</v>
      </c>
    </row>
    <row r="2879" spans="1:33" x14ac:dyDescent="0.35">
      <c r="A2879" s="1">
        <v>44809.45416666667</v>
      </c>
      <c r="B2879">
        <v>2197482</v>
      </c>
      <c r="C2879" t="s">
        <v>5947</v>
      </c>
      <c r="D2879" t="s">
        <v>170</v>
      </c>
      <c r="E2879" s="2">
        <v>42192</v>
      </c>
      <c r="F2879" t="str">
        <f>"9781462917754"</f>
        <v>9781462917754</v>
      </c>
      <c r="G2879" t="str">
        <f>"9780804844314"</f>
        <v>9780804844314</v>
      </c>
      <c r="H2879" t="s">
        <v>171</v>
      </c>
      <c r="I2879">
        <v>495.782421</v>
      </c>
      <c r="J2879" t="s">
        <v>5948</v>
      </c>
      <c r="K2879" t="s">
        <v>44</v>
      </c>
      <c r="N2879" t="s">
        <v>45</v>
      </c>
      <c r="O2879" t="s">
        <v>46</v>
      </c>
      <c r="P2879" t="s">
        <v>45</v>
      </c>
      <c r="Q2879" t="s">
        <v>47</v>
      </c>
      <c r="R2879" t="s">
        <v>44</v>
      </c>
      <c r="S2879">
        <v>0</v>
      </c>
      <c r="W2879" s="3">
        <v>9.7222222222222209E-4</v>
      </c>
      <c r="X2879" t="s">
        <v>5949</v>
      </c>
      <c r="Y2879">
        <v>12</v>
      </c>
      <c r="Z2879">
        <v>0</v>
      </c>
      <c r="AA2879" t="s">
        <v>49</v>
      </c>
      <c r="AB2879">
        <v>0</v>
      </c>
      <c r="AC2879" t="s">
        <v>49</v>
      </c>
      <c r="AD2879">
        <v>0</v>
      </c>
      <c r="AE2879">
        <v>-1</v>
      </c>
      <c r="AF2879" t="s">
        <v>63</v>
      </c>
      <c r="AG2879" t="s">
        <v>493</v>
      </c>
    </row>
    <row r="2880" spans="1:33" x14ac:dyDescent="0.35">
      <c r="A2880" s="1">
        <v>44807.890972222223</v>
      </c>
      <c r="B2880">
        <v>5977933</v>
      </c>
      <c r="C2880" t="s">
        <v>5950</v>
      </c>
      <c r="D2880" t="s">
        <v>844</v>
      </c>
      <c r="E2880" s="2">
        <v>43738</v>
      </c>
      <c r="F2880" t="str">
        <f>"9781839092503"</f>
        <v>9781839092503</v>
      </c>
      <c r="G2880" t="str">
        <f>"9781839092497"</f>
        <v>9781839092497</v>
      </c>
      <c r="H2880" t="s">
        <v>60</v>
      </c>
      <c r="I2880">
        <v>658.8</v>
      </c>
      <c r="J2880" t="s">
        <v>5951</v>
      </c>
      <c r="K2880" t="s">
        <v>44</v>
      </c>
      <c r="N2880" t="s">
        <v>45</v>
      </c>
      <c r="O2880" t="s">
        <v>46</v>
      </c>
      <c r="P2880" t="s">
        <v>45</v>
      </c>
      <c r="Q2880" t="s">
        <v>47</v>
      </c>
      <c r="R2880" t="s">
        <v>44</v>
      </c>
      <c r="S2880">
        <v>0</v>
      </c>
      <c r="W2880" s="3">
        <v>1.1574074074074073E-3</v>
      </c>
      <c r="X2880" t="s">
        <v>5952</v>
      </c>
      <c r="Y2880">
        <v>4</v>
      </c>
      <c r="Z2880">
        <v>0</v>
      </c>
      <c r="AA2880" t="s">
        <v>49</v>
      </c>
      <c r="AB2880">
        <v>0</v>
      </c>
      <c r="AC2880" t="s">
        <v>49</v>
      </c>
      <c r="AD2880">
        <v>0</v>
      </c>
      <c r="AE2880">
        <v>-1</v>
      </c>
      <c r="AF2880" t="s">
        <v>50</v>
      </c>
      <c r="AG2880" t="s">
        <v>3037</v>
      </c>
    </row>
    <row r="2881" spans="1:33" x14ac:dyDescent="0.35">
      <c r="A2881" s="1">
        <v>44807.888888888891</v>
      </c>
      <c r="B2881">
        <v>467046</v>
      </c>
      <c r="C2881" t="s">
        <v>5953</v>
      </c>
      <c r="D2881" t="s">
        <v>424</v>
      </c>
      <c r="E2881" s="2">
        <v>40102</v>
      </c>
      <c r="F2881" t="str">
        <f>"9780742565364"</f>
        <v>9780742565364</v>
      </c>
      <c r="G2881" t="str">
        <f>"9780742564008"</f>
        <v>9780742564008</v>
      </c>
      <c r="H2881" t="s">
        <v>120</v>
      </c>
      <c r="I2881">
        <v>601</v>
      </c>
      <c r="J2881" t="s">
        <v>5954</v>
      </c>
      <c r="K2881" t="s">
        <v>44</v>
      </c>
      <c r="N2881" t="s">
        <v>45</v>
      </c>
      <c r="O2881" t="s">
        <v>46</v>
      </c>
      <c r="P2881" t="s">
        <v>45</v>
      </c>
      <c r="Q2881" t="s">
        <v>47</v>
      </c>
      <c r="R2881" t="s">
        <v>44</v>
      </c>
      <c r="S2881">
        <v>0</v>
      </c>
      <c r="W2881" s="3">
        <v>3.8194444444444446E-4</v>
      </c>
      <c r="X2881" t="s">
        <v>5955</v>
      </c>
      <c r="Y2881">
        <v>2</v>
      </c>
      <c r="Z2881">
        <v>0</v>
      </c>
      <c r="AA2881" t="s">
        <v>49</v>
      </c>
      <c r="AB2881">
        <v>0</v>
      </c>
      <c r="AC2881" t="s">
        <v>49</v>
      </c>
      <c r="AD2881">
        <v>0</v>
      </c>
      <c r="AE2881">
        <v>10364259</v>
      </c>
      <c r="AF2881" t="s">
        <v>50</v>
      </c>
      <c r="AG2881" t="s">
        <v>3037</v>
      </c>
    </row>
    <row r="2882" spans="1:33" x14ac:dyDescent="0.35">
      <c r="A2882" s="1">
        <v>44807.884722222225</v>
      </c>
      <c r="B2882">
        <v>3569427</v>
      </c>
      <c r="C2882" t="s">
        <v>5956</v>
      </c>
      <c r="D2882" t="s">
        <v>76</v>
      </c>
      <c r="E2882" s="2">
        <v>42131</v>
      </c>
      <c r="F2882" t="str">
        <f>"9781315680798"</f>
        <v>9781315680798</v>
      </c>
      <c r="G2882" t="str">
        <f>"9781138929913"</f>
        <v>9781138929913</v>
      </c>
      <c r="H2882" t="s">
        <v>5957</v>
      </c>
      <c r="I2882">
        <v>333.7</v>
      </c>
      <c r="J2882" t="s">
        <v>5958</v>
      </c>
      <c r="K2882" t="s">
        <v>44</v>
      </c>
      <c r="N2882" t="s">
        <v>45</v>
      </c>
      <c r="O2882" t="s">
        <v>46</v>
      </c>
      <c r="P2882" t="s">
        <v>45</v>
      </c>
      <c r="Q2882" t="s">
        <v>47</v>
      </c>
      <c r="R2882" t="s">
        <v>44</v>
      </c>
      <c r="S2882">
        <v>0</v>
      </c>
      <c r="W2882" s="3">
        <v>1.1921296296296296E-3</v>
      </c>
      <c r="X2882" t="s">
        <v>5959</v>
      </c>
      <c r="Y2882">
        <v>4</v>
      </c>
      <c r="Z2882">
        <v>0</v>
      </c>
      <c r="AA2882" t="s">
        <v>49</v>
      </c>
      <c r="AB2882">
        <v>0</v>
      </c>
      <c r="AC2882" t="s">
        <v>49</v>
      </c>
      <c r="AD2882">
        <v>0</v>
      </c>
      <c r="AE2882">
        <v>11064790</v>
      </c>
      <c r="AF2882" t="s">
        <v>50</v>
      </c>
      <c r="AG2882" t="s">
        <v>3037</v>
      </c>
    </row>
    <row r="2883" spans="1:33" x14ac:dyDescent="0.35">
      <c r="A2883" s="1">
        <v>44807.881944444445</v>
      </c>
      <c r="B2883">
        <v>6579558</v>
      </c>
      <c r="C2883" t="s">
        <v>5960</v>
      </c>
      <c r="D2883" t="s">
        <v>65</v>
      </c>
      <c r="E2883" s="2">
        <v>44326</v>
      </c>
      <c r="F2883" t="str">
        <f>"9780128147139"</f>
        <v>9780128147139</v>
      </c>
      <c r="G2883" t="str">
        <f>"9780128147122"</f>
        <v>9780128147122</v>
      </c>
      <c r="H2883" t="s">
        <v>5961</v>
      </c>
      <c r="K2883" t="s">
        <v>55</v>
      </c>
      <c r="Q2883" t="s">
        <v>47</v>
      </c>
      <c r="R2883" t="s">
        <v>44</v>
      </c>
      <c r="S2883">
        <v>0</v>
      </c>
      <c r="W2883" s="3">
        <v>1.9907407407407408E-3</v>
      </c>
      <c r="X2883" t="s">
        <v>5962</v>
      </c>
      <c r="Y2883">
        <v>9</v>
      </c>
      <c r="Z2883">
        <v>0</v>
      </c>
      <c r="AA2883" t="s">
        <v>49</v>
      </c>
      <c r="AB2883">
        <v>0</v>
      </c>
      <c r="AC2883" t="s">
        <v>49</v>
      </c>
      <c r="AD2883">
        <v>0</v>
      </c>
      <c r="AE2883">
        <v>-1</v>
      </c>
      <c r="AF2883" t="s">
        <v>50</v>
      </c>
      <c r="AG2883" t="s">
        <v>3037</v>
      </c>
    </row>
    <row r="2884" spans="1:33" x14ac:dyDescent="0.35">
      <c r="A2884" s="1">
        <v>44807.707638888889</v>
      </c>
      <c r="B2884">
        <v>1901847</v>
      </c>
      <c r="C2884" t="s">
        <v>5963</v>
      </c>
      <c r="D2884" t="s">
        <v>59</v>
      </c>
      <c r="E2884" s="2">
        <v>42058</v>
      </c>
      <c r="F2884" t="str">
        <f>"9781118700426"</f>
        <v>9781118700426</v>
      </c>
      <c r="G2884" t="str">
        <f>"9781118488010"</f>
        <v>9781118488010</v>
      </c>
      <c r="H2884" t="s">
        <v>579</v>
      </c>
      <c r="I2884" t="s">
        <v>5964</v>
      </c>
      <c r="J2884" t="s">
        <v>5965</v>
      </c>
      <c r="K2884" t="s">
        <v>44</v>
      </c>
      <c r="N2884" t="s">
        <v>45</v>
      </c>
      <c r="O2884" t="s">
        <v>46</v>
      </c>
      <c r="P2884" t="s">
        <v>45</v>
      </c>
      <c r="Q2884" t="s">
        <v>47</v>
      </c>
      <c r="R2884" t="s">
        <v>44</v>
      </c>
      <c r="S2884">
        <v>1</v>
      </c>
      <c r="W2884" s="3">
        <v>1.1574074074074073E-5</v>
      </c>
      <c r="X2884" t="s">
        <v>49</v>
      </c>
      <c r="Y2884">
        <v>0</v>
      </c>
      <c r="Z2884">
        <v>0</v>
      </c>
      <c r="AA2884" t="s">
        <v>49</v>
      </c>
      <c r="AB2884">
        <v>0</v>
      </c>
      <c r="AC2884" t="s">
        <v>49</v>
      </c>
      <c r="AD2884">
        <v>0</v>
      </c>
      <c r="AE2884">
        <v>11005737</v>
      </c>
      <c r="AF2884" t="s">
        <v>63</v>
      </c>
      <c r="AG2884" t="s">
        <v>630</v>
      </c>
    </row>
    <row r="2885" spans="1:33" x14ac:dyDescent="0.35">
      <c r="A2885" s="1">
        <v>44807.706944444442</v>
      </c>
      <c r="B2885">
        <v>1184219</v>
      </c>
      <c r="C2885" t="s">
        <v>5966</v>
      </c>
      <c r="D2885" t="s">
        <v>59</v>
      </c>
      <c r="E2885" s="2">
        <v>41484</v>
      </c>
      <c r="F2885" t="str">
        <f>"9781118568088"</f>
        <v>9781118568088</v>
      </c>
      <c r="G2885" t="str">
        <f>"9781118568101"</f>
        <v>9781118568101</v>
      </c>
      <c r="H2885" t="s">
        <v>857</v>
      </c>
      <c r="I2885">
        <v>629.13333999999998</v>
      </c>
      <c r="J2885" t="s">
        <v>5967</v>
      </c>
      <c r="K2885" t="s">
        <v>44</v>
      </c>
      <c r="N2885" t="s">
        <v>45</v>
      </c>
      <c r="O2885" t="s">
        <v>46</v>
      </c>
      <c r="P2885" t="s">
        <v>45</v>
      </c>
      <c r="Q2885" t="s">
        <v>47</v>
      </c>
      <c r="R2885" t="s">
        <v>44</v>
      </c>
      <c r="S2885">
        <v>1</v>
      </c>
      <c r="W2885" s="3">
        <v>0</v>
      </c>
      <c r="X2885" t="s">
        <v>49</v>
      </c>
      <c r="Y2885">
        <v>0</v>
      </c>
      <c r="Z2885">
        <v>0</v>
      </c>
      <c r="AA2885" t="s">
        <v>49</v>
      </c>
      <c r="AB2885">
        <v>0</v>
      </c>
      <c r="AC2885" t="s">
        <v>49</v>
      </c>
      <c r="AD2885">
        <v>0</v>
      </c>
      <c r="AE2885">
        <v>10695846</v>
      </c>
      <c r="AF2885" t="s">
        <v>63</v>
      </c>
      <c r="AG2885" t="s">
        <v>630</v>
      </c>
    </row>
    <row r="2886" spans="1:33" x14ac:dyDescent="0.35">
      <c r="A2886" s="1">
        <v>44806.973611111112</v>
      </c>
      <c r="B2886">
        <v>5495893</v>
      </c>
      <c r="C2886" t="s">
        <v>5156</v>
      </c>
      <c r="D2886" t="s">
        <v>76</v>
      </c>
      <c r="E2886" s="2">
        <v>43332</v>
      </c>
      <c r="F2886" t="str">
        <f>"9780429955402"</f>
        <v>9780429955402</v>
      </c>
      <c r="G2886" t="str">
        <f>"9781444179637"</f>
        <v>9781444179637</v>
      </c>
      <c r="H2886" t="s">
        <v>77</v>
      </c>
      <c r="I2886">
        <v>615.84199999999998</v>
      </c>
      <c r="J2886" t="s">
        <v>5157</v>
      </c>
      <c r="K2886" t="s">
        <v>55</v>
      </c>
      <c r="N2886" t="s">
        <v>79</v>
      </c>
      <c r="P2886" t="s">
        <v>97</v>
      </c>
      <c r="Q2886" t="s">
        <v>47</v>
      </c>
      <c r="R2886" t="s">
        <v>44</v>
      </c>
      <c r="S2886">
        <v>0</v>
      </c>
      <c r="W2886" s="3">
        <v>4.0509259259259258E-4</v>
      </c>
      <c r="X2886" t="s">
        <v>5968</v>
      </c>
      <c r="Y2886">
        <v>6</v>
      </c>
      <c r="Z2886">
        <v>0</v>
      </c>
      <c r="AA2886" t="s">
        <v>49</v>
      </c>
      <c r="AB2886">
        <v>0</v>
      </c>
      <c r="AC2886" t="s">
        <v>49</v>
      </c>
      <c r="AD2886">
        <v>0</v>
      </c>
      <c r="AE2886">
        <v>-1</v>
      </c>
      <c r="AF2886" t="s">
        <v>63</v>
      </c>
      <c r="AG2886" t="s">
        <v>1476</v>
      </c>
    </row>
    <row r="2887" spans="1:33" x14ac:dyDescent="0.35">
      <c r="A2887" s="1">
        <v>44806.955555555556</v>
      </c>
      <c r="B2887">
        <v>5829217</v>
      </c>
      <c r="C2887" t="s">
        <v>626</v>
      </c>
      <c r="D2887" t="s">
        <v>627</v>
      </c>
      <c r="E2887" s="2">
        <v>43259</v>
      </c>
      <c r="F2887" t="str">
        <f>"9781496395139"</f>
        <v>9781496395139</v>
      </c>
      <c r="G2887" t="str">
        <f>"9781496335418"</f>
        <v>9781496335418</v>
      </c>
      <c r="H2887" t="s">
        <v>77</v>
      </c>
      <c r="I2887" t="s">
        <v>628</v>
      </c>
      <c r="J2887" t="s">
        <v>629</v>
      </c>
      <c r="K2887" t="s">
        <v>44</v>
      </c>
      <c r="N2887" t="s">
        <v>45</v>
      </c>
      <c r="O2887" t="s">
        <v>46</v>
      </c>
      <c r="P2887" t="s">
        <v>45</v>
      </c>
      <c r="Q2887" t="s">
        <v>47</v>
      </c>
      <c r="R2887" t="s">
        <v>44</v>
      </c>
      <c r="S2887">
        <v>2</v>
      </c>
      <c r="W2887" s="3">
        <v>0</v>
      </c>
      <c r="X2887" t="s">
        <v>49</v>
      </c>
      <c r="Y2887">
        <v>0</v>
      </c>
      <c r="Z2887">
        <v>0</v>
      </c>
      <c r="AA2887" t="s">
        <v>49</v>
      </c>
      <c r="AB2887">
        <v>0</v>
      </c>
      <c r="AC2887" t="s">
        <v>49</v>
      </c>
      <c r="AD2887">
        <v>0</v>
      </c>
      <c r="AE2887">
        <v>-1</v>
      </c>
      <c r="AF2887" t="s">
        <v>63</v>
      </c>
      <c r="AG2887" t="s">
        <v>1476</v>
      </c>
    </row>
    <row r="2888" spans="1:33" x14ac:dyDescent="0.35">
      <c r="A2888" s="1">
        <v>44806.914583333331</v>
      </c>
      <c r="B2888">
        <v>4826498</v>
      </c>
      <c r="C2888" t="s">
        <v>4306</v>
      </c>
      <c r="D2888" t="s">
        <v>4307</v>
      </c>
      <c r="E2888" s="2">
        <v>42795</v>
      </c>
      <c r="F2888" t="str">
        <f>"9781486305100"</f>
        <v>9781486305100</v>
      </c>
      <c r="G2888" t="str">
        <f>"9781486305094"</f>
        <v>9781486305094</v>
      </c>
      <c r="H2888" t="s">
        <v>4308</v>
      </c>
      <c r="K2888" t="s">
        <v>44</v>
      </c>
      <c r="N2888" t="s">
        <v>45</v>
      </c>
      <c r="O2888" t="s">
        <v>46</v>
      </c>
      <c r="P2888" t="s">
        <v>45</v>
      </c>
      <c r="Q2888" t="s">
        <v>47</v>
      </c>
      <c r="R2888" t="s">
        <v>44</v>
      </c>
      <c r="S2888">
        <v>0</v>
      </c>
      <c r="W2888" s="3">
        <v>6.6319444444444446E-3</v>
      </c>
      <c r="X2888" t="s">
        <v>5969</v>
      </c>
      <c r="Y2888">
        <v>9</v>
      </c>
      <c r="Z2888">
        <v>1</v>
      </c>
      <c r="AA2888" t="s">
        <v>5970</v>
      </c>
      <c r="AB2888">
        <v>10</v>
      </c>
      <c r="AC2888" t="s">
        <v>49</v>
      </c>
      <c r="AD2888">
        <v>0</v>
      </c>
      <c r="AE2888">
        <v>11364231</v>
      </c>
      <c r="AF2888" t="s">
        <v>63</v>
      </c>
      <c r="AG2888" t="s">
        <v>5971</v>
      </c>
    </row>
    <row r="2889" spans="1:33" x14ac:dyDescent="0.35">
      <c r="A2889" s="1">
        <v>44806.711805555555</v>
      </c>
      <c r="B2889">
        <v>6185948</v>
      </c>
      <c r="C2889" t="s">
        <v>5972</v>
      </c>
      <c r="D2889" t="s">
        <v>502</v>
      </c>
      <c r="E2889" s="2">
        <v>43937</v>
      </c>
      <c r="F2889" t="str">
        <f>"9781108655941"</f>
        <v>9781108655941</v>
      </c>
      <c r="G2889" t="str">
        <f>"9781108484572"</f>
        <v>9781108484572</v>
      </c>
      <c r="H2889" t="s">
        <v>43</v>
      </c>
      <c r="I2889">
        <v>518.1</v>
      </c>
      <c r="J2889" t="s">
        <v>5973</v>
      </c>
      <c r="K2889" t="s">
        <v>55</v>
      </c>
      <c r="Q2889" t="s">
        <v>47</v>
      </c>
      <c r="R2889" t="s">
        <v>44</v>
      </c>
      <c r="S2889">
        <v>0</v>
      </c>
      <c r="W2889" s="3">
        <v>1.7361111111111112E-4</v>
      </c>
      <c r="X2889" t="s">
        <v>5974</v>
      </c>
      <c r="Y2889">
        <v>3</v>
      </c>
      <c r="Z2889">
        <v>0</v>
      </c>
      <c r="AA2889" t="s">
        <v>49</v>
      </c>
      <c r="AB2889">
        <v>0</v>
      </c>
      <c r="AC2889" t="s">
        <v>49</v>
      </c>
      <c r="AD2889">
        <v>0</v>
      </c>
      <c r="AE2889">
        <v>-1</v>
      </c>
      <c r="AF2889" t="s">
        <v>63</v>
      </c>
      <c r="AG2889" t="s">
        <v>5709</v>
      </c>
    </row>
    <row r="2890" spans="1:33" x14ac:dyDescent="0.35">
      <c r="A2890" s="1">
        <v>44806.6875</v>
      </c>
      <c r="B2890">
        <v>6121968</v>
      </c>
      <c r="C2890" t="s">
        <v>5975</v>
      </c>
      <c r="D2890" t="s">
        <v>125</v>
      </c>
      <c r="E2890" s="2">
        <v>43914</v>
      </c>
      <c r="F2890" t="str">
        <f>"9780190905101"</f>
        <v>9780190905101</v>
      </c>
      <c r="G2890" t="str">
        <f>"9780190905088"</f>
        <v>9780190905088</v>
      </c>
      <c r="H2890" t="s">
        <v>138</v>
      </c>
      <c r="I2890">
        <v>4.0190000000000001</v>
      </c>
      <c r="J2890" t="s">
        <v>5976</v>
      </c>
      <c r="K2890" t="s">
        <v>55</v>
      </c>
      <c r="Q2890" t="s">
        <v>47</v>
      </c>
      <c r="R2890" t="s">
        <v>44</v>
      </c>
      <c r="S2890">
        <v>0</v>
      </c>
      <c r="W2890" s="3">
        <v>3.6689814814814814E-3</v>
      </c>
      <c r="X2890" t="s">
        <v>5977</v>
      </c>
      <c r="Y2890">
        <v>12</v>
      </c>
      <c r="Z2890">
        <v>0</v>
      </c>
      <c r="AA2890" t="s">
        <v>49</v>
      </c>
      <c r="AB2890">
        <v>0</v>
      </c>
      <c r="AC2890" t="s">
        <v>49</v>
      </c>
      <c r="AD2890">
        <v>0</v>
      </c>
      <c r="AE2890">
        <v>-1</v>
      </c>
      <c r="AF2890" t="s">
        <v>63</v>
      </c>
      <c r="AG2890" t="s">
        <v>5709</v>
      </c>
    </row>
    <row r="2891" spans="1:33" x14ac:dyDescent="0.35">
      <c r="A2891" s="1">
        <v>44805.62222222222</v>
      </c>
      <c r="B2891">
        <v>6534200</v>
      </c>
      <c r="C2891" t="s">
        <v>5978</v>
      </c>
      <c r="D2891" t="s">
        <v>844</v>
      </c>
      <c r="E2891" s="2">
        <v>44301</v>
      </c>
      <c r="F2891" t="str">
        <f>"9781839827723"</f>
        <v>9781839827723</v>
      </c>
      <c r="G2891" t="str">
        <f>"9781839827730"</f>
        <v>9781839827730</v>
      </c>
      <c r="H2891" t="s">
        <v>1046</v>
      </c>
      <c r="I2891">
        <v>302.23399999999998</v>
      </c>
      <c r="J2891" t="s">
        <v>5979</v>
      </c>
      <c r="K2891" t="s">
        <v>44</v>
      </c>
      <c r="N2891" t="s">
        <v>45</v>
      </c>
      <c r="O2891" t="s">
        <v>46</v>
      </c>
      <c r="P2891" t="s">
        <v>45</v>
      </c>
      <c r="Q2891" t="s">
        <v>47</v>
      </c>
      <c r="R2891" t="s">
        <v>44</v>
      </c>
      <c r="S2891">
        <v>0</v>
      </c>
      <c r="W2891" s="3">
        <v>3.3680555555555551E-3</v>
      </c>
      <c r="X2891" t="s">
        <v>5980</v>
      </c>
      <c r="Y2891">
        <v>22</v>
      </c>
      <c r="Z2891">
        <v>3</v>
      </c>
      <c r="AA2891" t="s">
        <v>5981</v>
      </c>
      <c r="AB2891">
        <v>42</v>
      </c>
      <c r="AC2891" t="s">
        <v>49</v>
      </c>
      <c r="AD2891">
        <v>0</v>
      </c>
      <c r="AE2891">
        <v>-1</v>
      </c>
      <c r="AF2891" t="s">
        <v>63</v>
      </c>
      <c r="AG2891" t="s">
        <v>5709</v>
      </c>
    </row>
    <row r="2892" spans="1:33" x14ac:dyDescent="0.35">
      <c r="A2892" s="1">
        <v>44805.598611111112</v>
      </c>
      <c r="B2892">
        <v>5720608</v>
      </c>
      <c r="C2892" t="s">
        <v>5982</v>
      </c>
      <c r="D2892" t="s">
        <v>76</v>
      </c>
      <c r="E2892" s="2">
        <v>43532</v>
      </c>
      <c r="F2892" t="str">
        <f>"9780429960505"</f>
        <v>9780429960505</v>
      </c>
      <c r="G2892" t="str">
        <f>"9781138588400"</f>
        <v>9781138588400</v>
      </c>
      <c r="H2892" t="s">
        <v>1046</v>
      </c>
      <c r="I2892">
        <v>302.23099999999999</v>
      </c>
      <c r="J2892" t="s">
        <v>5983</v>
      </c>
      <c r="K2892" t="s">
        <v>55</v>
      </c>
      <c r="Q2892" t="s">
        <v>47</v>
      </c>
      <c r="R2892" t="s">
        <v>44</v>
      </c>
      <c r="S2892">
        <v>0</v>
      </c>
      <c r="W2892" s="3">
        <v>3.6342592592592594E-3</v>
      </c>
      <c r="X2892" t="s">
        <v>5984</v>
      </c>
      <c r="Y2892">
        <v>4</v>
      </c>
      <c r="Z2892">
        <v>0</v>
      </c>
      <c r="AA2892" t="s">
        <v>49</v>
      </c>
      <c r="AB2892">
        <v>0</v>
      </c>
      <c r="AC2892" t="s">
        <v>49</v>
      </c>
      <c r="AD2892">
        <v>0</v>
      </c>
      <c r="AE2892">
        <v>11656906</v>
      </c>
      <c r="AF2892" t="s">
        <v>63</v>
      </c>
      <c r="AG2892" t="s">
        <v>5709</v>
      </c>
    </row>
    <row r="2893" spans="1:33" x14ac:dyDescent="0.35">
      <c r="A2893" s="1">
        <v>44805.498611111114</v>
      </c>
      <c r="B2893">
        <v>4183127</v>
      </c>
      <c r="C2893" t="s">
        <v>190</v>
      </c>
      <c r="D2893" t="s">
        <v>59</v>
      </c>
      <c r="E2893" s="2">
        <v>42310</v>
      </c>
      <c r="F2893" t="str">
        <f>"9783527684649"</f>
        <v>9783527684649</v>
      </c>
      <c r="G2893" t="str">
        <f>"9783527331659"</f>
        <v>9783527331659</v>
      </c>
      <c r="H2893" t="s">
        <v>191</v>
      </c>
      <c r="I2893" t="s">
        <v>192</v>
      </c>
      <c r="J2893" t="s">
        <v>193</v>
      </c>
      <c r="K2893" t="s">
        <v>44</v>
      </c>
      <c r="N2893" t="s">
        <v>45</v>
      </c>
      <c r="O2893" t="s">
        <v>46</v>
      </c>
      <c r="P2893" t="s">
        <v>45</v>
      </c>
      <c r="Q2893" t="s">
        <v>47</v>
      </c>
      <c r="R2893" t="s">
        <v>44</v>
      </c>
      <c r="S2893">
        <v>1</v>
      </c>
      <c r="W2893" s="3">
        <v>0</v>
      </c>
      <c r="X2893" t="s">
        <v>49</v>
      </c>
      <c r="Y2893">
        <v>0</v>
      </c>
      <c r="Z2893">
        <v>4</v>
      </c>
      <c r="AA2893" t="s">
        <v>5985</v>
      </c>
      <c r="AB2893">
        <v>50</v>
      </c>
      <c r="AC2893" t="s">
        <v>49</v>
      </c>
      <c r="AD2893">
        <v>0</v>
      </c>
      <c r="AE2893">
        <v>11125579</v>
      </c>
      <c r="AF2893" t="s">
        <v>63</v>
      </c>
      <c r="AG2893" t="s">
        <v>118</v>
      </c>
    </row>
    <row r="2894" spans="1:33" x14ac:dyDescent="0.35">
      <c r="A2894" s="1">
        <v>44805.49722222222</v>
      </c>
      <c r="B2894">
        <v>293980</v>
      </c>
      <c r="C2894" t="s">
        <v>5986</v>
      </c>
      <c r="D2894" t="s">
        <v>65</v>
      </c>
      <c r="E2894" s="2">
        <v>39143</v>
      </c>
      <c r="F2894" t="str">
        <f>"9780080488318"</f>
        <v>9780080488318</v>
      </c>
      <c r="G2894" t="str">
        <f>"9780750667395"</f>
        <v>9780750667395</v>
      </c>
      <c r="H2894" t="s">
        <v>579</v>
      </c>
      <c r="I2894" t="s">
        <v>5987</v>
      </c>
      <c r="J2894" t="s">
        <v>5988</v>
      </c>
      <c r="K2894" t="s">
        <v>44</v>
      </c>
      <c r="N2894" t="s">
        <v>45</v>
      </c>
      <c r="O2894" t="s">
        <v>46</v>
      </c>
      <c r="P2894" t="s">
        <v>45</v>
      </c>
      <c r="Q2894" t="s">
        <v>47</v>
      </c>
      <c r="R2894" t="s">
        <v>44</v>
      </c>
      <c r="S2894">
        <v>0</v>
      </c>
      <c r="W2894" s="3">
        <v>8.1018518518518516E-5</v>
      </c>
      <c r="X2894" t="s">
        <v>196</v>
      </c>
      <c r="Y2894">
        <v>2</v>
      </c>
      <c r="Z2894">
        <v>0</v>
      </c>
      <c r="AA2894" t="s">
        <v>49</v>
      </c>
      <c r="AB2894">
        <v>0</v>
      </c>
      <c r="AC2894" t="s">
        <v>49</v>
      </c>
      <c r="AD2894">
        <v>0</v>
      </c>
      <c r="AE2894">
        <v>10186250</v>
      </c>
      <c r="AF2894" t="s">
        <v>50</v>
      </c>
      <c r="AG2894" t="s">
        <v>3037</v>
      </c>
    </row>
    <row r="2895" spans="1:33" x14ac:dyDescent="0.35">
      <c r="A2895" s="1">
        <v>44805.474999999999</v>
      </c>
      <c r="B2895">
        <v>6193050</v>
      </c>
      <c r="C2895" t="s">
        <v>5989</v>
      </c>
      <c r="D2895" t="s">
        <v>65</v>
      </c>
      <c r="E2895" s="2">
        <v>43950</v>
      </c>
      <c r="F2895" t="str">
        <f>"9780128183540"</f>
        <v>9780128183540</v>
      </c>
      <c r="G2895" t="str">
        <f>"9780128183533"</f>
        <v>9780128183533</v>
      </c>
      <c r="H2895" t="s">
        <v>4066</v>
      </c>
      <c r="I2895">
        <v>664</v>
      </c>
      <c r="J2895" t="s">
        <v>5990</v>
      </c>
      <c r="K2895" t="s">
        <v>55</v>
      </c>
      <c r="Q2895" t="s">
        <v>47</v>
      </c>
      <c r="R2895" t="s">
        <v>44</v>
      </c>
      <c r="S2895">
        <v>0</v>
      </c>
      <c r="W2895" s="3">
        <v>7.1990740740740739E-3</v>
      </c>
      <c r="X2895" t="s">
        <v>5991</v>
      </c>
      <c r="Y2895">
        <v>6</v>
      </c>
      <c r="Z2895">
        <v>0</v>
      </c>
      <c r="AA2895" t="s">
        <v>49</v>
      </c>
      <c r="AB2895">
        <v>0</v>
      </c>
      <c r="AC2895" t="s">
        <v>49</v>
      </c>
      <c r="AD2895">
        <v>0</v>
      </c>
      <c r="AE2895">
        <v>-1</v>
      </c>
      <c r="AF2895" t="s">
        <v>63</v>
      </c>
      <c r="AG2895" t="s">
        <v>3037</v>
      </c>
    </row>
    <row r="2896" spans="1:33" x14ac:dyDescent="0.35">
      <c r="A2896" s="1">
        <v>44804.984027777777</v>
      </c>
      <c r="B2896">
        <v>6528145</v>
      </c>
      <c r="C2896" t="s">
        <v>5819</v>
      </c>
      <c r="D2896" t="s">
        <v>65</v>
      </c>
      <c r="E2896" s="2">
        <v>44293</v>
      </c>
      <c r="F2896" t="str">
        <f>"9780128231241"</f>
        <v>9780128231241</v>
      </c>
      <c r="G2896" t="str">
        <f>"9780128231234"</f>
        <v>9780128231234</v>
      </c>
      <c r="H2896" t="s">
        <v>106</v>
      </c>
      <c r="I2896">
        <v>6.31</v>
      </c>
      <c r="J2896" t="s">
        <v>5820</v>
      </c>
      <c r="K2896" t="s">
        <v>55</v>
      </c>
      <c r="Q2896" t="s">
        <v>47</v>
      </c>
      <c r="R2896" t="s">
        <v>44</v>
      </c>
      <c r="S2896">
        <v>0</v>
      </c>
      <c r="W2896" s="3">
        <v>1.25E-3</v>
      </c>
      <c r="X2896" t="s">
        <v>2249</v>
      </c>
      <c r="Y2896">
        <v>6</v>
      </c>
      <c r="Z2896">
        <v>0</v>
      </c>
      <c r="AA2896" t="s">
        <v>49</v>
      </c>
      <c r="AB2896">
        <v>0</v>
      </c>
      <c r="AC2896" t="s">
        <v>49</v>
      </c>
      <c r="AD2896">
        <v>0</v>
      </c>
      <c r="AE2896">
        <v>-1</v>
      </c>
      <c r="AF2896" t="s">
        <v>63</v>
      </c>
      <c r="AG2896" t="s">
        <v>3037</v>
      </c>
    </row>
    <row r="2897" spans="1:33" x14ac:dyDescent="0.35">
      <c r="A2897" s="1">
        <v>44804.98333333333</v>
      </c>
      <c r="B2897">
        <v>6712453</v>
      </c>
      <c r="C2897" t="s">
        <v>5992</v>
      </c>
      <c r="D2897" t="s">
        <v>59</v>
      </c>
      <c r="E2897" s="2">
        <v>44439</v>
      </c>
      <c r="F2897" t="str">
        <f>"9781119810469"</f>
        <v>9781119810469</v>
      </c>
      <c r="G2897" t="str">
        <f>"9781119810452"</f>
        <v>9781119810452</v>
      </c>
      <c r="H2897" t="s">
        <v>138</v>
      </c>
      <c r="I2897">
        <v>6.3</v>
      </c>
      <c r="J2897" t="s">
        <v>5993</v>
      </c>
      <c r="K2897" t="s">
        <v>55</v>
      </c>
      <c r="Q2897" t="s">
        <v>47</v>
      </c>
      <c r="R2897" t="s">
        <v>44</v>
      </c>
      <c r="S2897">
        <v>0</v>
      </c>
      <c r="W2897" s="3">
        <v>1.4467592592592594E-3</v>
      </c>
      <c r="X2897" t="s">
        <v>5994</v>
      </c>
      <c r="Y2897">
        <v>10</v>
      </c>
      <c r="Z2897">
        <v>0</v>
      </c>
      <c r="AA2897" t="s">
        <v>49</v>
      </c>
      <c r="AB2897">
        <v>0</v>
      </c>
      <c r="AC2897" t="s">
        <v>49</v>
      </c>
      <c r="AD2897">
        <v>0</v>
      </c>
      <c r="AE2897">
        <v>-1</v>
      </c>
      <c r="AF2897" t="s">
        <v>63</v>
      </c>
      <c r="AG2897" t="s">
        <v>3037</v>
      </c>
    </row>
    <row r="2898" spans="1:33" x14ac:dyDescent="0.35">
      <c r="A2898" s="1">
        <v>44804.956944444442</v>
      </c>
      <c r="B2898">
        <v>6712453</v>
      </c>
      <c r="C2898" t="s">
        <v>5992</v>
      </c>
      <c r="D2898" t="s">
        <v>59</v>
      </c>
      <c r="E2898" s="2">
        <v>44439</v>
      </c>
      <c r="F2898" t="str">
        <f>"9781119810469"</f>
        <v>9781119810469</v>
      </c>
      <c r="G2898" t="str">
        <f>"9781119810452"</f>
        <v>9781119810452</v>
      </c>
      <c r="H2898" t="s">
        <v>138</v>
      </c>
      <c r="I2898">
        <v>6.3</v>
      </c>
      <c r="J2898" t="s">
        <v>5993</v>
      </c>
      <c r="K2898" t="s">
        <v>55</v>
      </c>
      <c r="Q2898" t="s">
        <v>47</v>
      </c>
      <c r="R2898" t="s">
        <v>44</v>
      </c>
      <c r="S2898">
        <v>0</v>
      </c>
      <c r="W2898" s="3">
        <v>3.2407407407407406E-4</v>
      </c>
      <c r="X2898" t="s">
        <v>5995</v>
      </c>
      <c r="Y2898">
        <v>7</v>
      </c>
      <c r="Z2898">
        <v>0</v>
      </c>
      <c r="AA2898" t="s">
        <v>49</v>
      </c>
      <c r="AB2898">
        <v>0</v>
      </c>
      <c r="AC2898" t="s">
        <v>49</v>
      </c>
      <c r="AD2898">
        <v>0</v>
      </c>
      <c r="AE2898">
        <v>-1</v>
      </c>
      <c r="AF2898" t="s">
        <v>63</v>
      </c>
      <c r="AG2898" t="s">
        <v>3037</v>
      </c>
    </row>
    <row r="2899" spans="1:33" x14ac:dyDescent="0.35">
      <c r="A2899" s="1">
        <v>44804.881249999999</v>
      </c>
      <c r="B2899">
        <v>4183127</v>
      </c>
      <c r="C2899" t="s">
        <v>190</v>
      </c>
      <c r="D2899" t="s">
        <v>59</v>
      </c>
      <c r="E2899" s="2">
        <v>42310</v>
      </c>
      <c r="F2899" t="str">
        <f>"9783527684649"</f>
        <v>9783527684649</v>
      </c>
      <c r="G2899" t="str">
        <f>"9783527331659"</f>
        <v>9783527331659</v>
      </c>
      <c r="H2899" t="s">
        <v>191</v>
      </c>
      <c r="I2899" t="s">
        <v>192</v>
      </c>
      <c r="J2899" t="s">
        <v>193</v>
      </c>
      <c r="K2899" t="s">
        <v>44</v>
      </c>
      <c r="N2899" t="s">
        <v>45</v>
      </c>
      <c r="O2899" t="s">
        <v>46</v>
      </c>
      <c r="P2899" t="s">
        <v>45</v>
      </c>
      <c r="Q2899" t="s">
        <v>47</v>
      </c>
      <c r="R2899" t="s">
        <v>44</v>
      </c>
      <c r="S2899">
        <v>1</v>
      </c>
      <c r="W2899" s="3">
        <v>0</v>
      </c>
      <c r="X2899" t="s">
        <v>49</v>
      </c>
      <c r="Y2899">
        <v>0</v>
      </c>
      <c r="Z2899">
        <v>0</v>
      </c>
      <c r="AA2899" t="s">
        <v>49</v>
      </c>
      <c r="AB2899">
        <v>0</v>
      </c>
      <c r="AC2899" t="s">
        <v>49</v>
      </c>
      <c r="AD2899">
        <v>0</v>
      </c>
      <c r="AE2899">
        <v>11125579</v>
      </c>
      <c r="AF2899" t="s">
        <v>63</v>
      </c>
      <c r="AG2899" t="s">
        <v>3037</v>
      </c>
    </row>
    <row r="2900" spans="1:33" x14ac:dyDescent="0.35">
      <c r="A2900" s="1">
        <v>44804.659722222219</v>
      </c>
      <c r="B2900">
        <v>4952448</v>
      </c>
      <c r="C2900" t="s">
        <v>119</v>
      </c>
      <c r="D2900" t="s">
        <v>65</v>
      </c>
      <c r="E2900" s="2">
        <v>40957</v>
      </c>
      <c r="F2900" t="str">
        <f>"9781283735179"</f>
        <v>9781283735179</v>
      </c>
      <c r="G2900" t="str">
        <f>""</f>
        <v/>
      </c>
      <c r="H2900" t="s">
        <v>120</v>
      </c>
      <c r="I2900">
        <v>629.13229999999999</v>
      </c>
      <c r="K2900" t="s">
        <v>55</v>
      </c>
      <c r="P2900" t="s">
        <v>97</v>
      </c>
      <c r="Q2900" t="s">
        <v>47</v>
      </c>
      <c r="R2900" t="s">
        <v>44</v>
      </c>
      <c r="S2900">
        <v>0</v>
      </c>
      <c r="W2900" s="3">
        <v>7.6157407407407415E-3</v>
      </c>
      <c r="X2900" t="s">
        <v>5996</v>
      </c>
      <c r="Y2900">
        <v>57</v>
      </c>
      <c r="Z2900">
        <v>0</v>
      </c>
      <c r="AA2900" t="s">
        <v>49</v>
      </c>
      <c r="AB2900">
        <v>0</v>
      </c>
      <c r="AC2900" t="s">
        <v>49</v>
      </c>
      <c r="AD2900">
        <v>0</v>
      </c>
      <c r="AE2900">
        <v>-1</v>
      </c>
      <c r="AF2900" t="s">
        <v>63</v>
      </c>
      <c r="AG2900" t="s">
        <v>3037</v>
      </c>
    </row>
    <row r="2901" spans="1:33" x14ac:dyDescent="0.35">
      <c r="A2901" s="1">
        <v>44804.5625</v>
      </c>
      <c r="B2901">
        <v>3419934</v>
      </c>
      <c r="C2901" t="s">
        <v>4292</v>
      </c>
      <c r="D2901" t="s">
        <v>347</v>
      </c>
      <c r="E2901" s="2">
        <v>39022</v>
      </c>
      <c r="F2901" t="str">
        <f>"9780300128109"</f>
        <v>9780300128109</v>
      </c>
      <c r="G2901" t="str">
        <f>"9780300110708"</f>
        <v>9780300110708</v>
      </c>
      <c r="H2901" t="s">
        <v>1186</v>
      </c>
      <c r="I2901" t="s">
        <v>4293</v>
      </c>
      <c r="J2901" t="s">
        <v>4294</v>
      </c>
      <c r="K2901" t="s">
        <v>44</v>
      </c>
      <c r="N2901" t="s">
        <v>45</v>
      </c>
      <c r="O2901" t="s">
        <v>46</v>
      </c>
      <c r="P2901" t="s">
        <v>45</v>
      </c>
      <c r="Q2901" t="s">
        <v>47</v>
      </c>
      <c r="R2901" t="s">
        <v>44</v>
      </c>
      <c r="S2901">
        <v>0</v>
      </c>
      <c r="W2901" s="3">
        <v>5.4861111111111117E-3</v>
      </c>
      <c r="X2901" t="s">
        <v>5997</v>
      </c>
      <c r="Y2901">
        <v>24</v>
      </c>
      <c r="Z2901">
        <v>0</v>
      </c>
      <c r="AA2901" t="s">
        <v>49</v>
      </c>
      <c r="AB2901">
        <v>0</v>
      </c>
      <c r="AC2901" t="s">
        <v>5998</v>
      </c>
      <c r="AD2901">
        <v>6</v>
      </c>
      <c r="AE2901">
        <v>10169960</v>
      </c>
      <c r="AF2901" t="s">
        <v>50</v>
      </c>
      <c r="AG2901" t="s">
        <v>3037</v>
      </c>
    </row>
    <row r="2902" spans="1:33" x14ac:dyDescent="0.35">
      <c r="A2902" s="1">
        <v>44804.509722222225</v>
      </c>
      <c r="B2902">
        <v>1426875</v>
      </c>
      <c r="C2902" t="s">
        <v>3188</v>
      </c>
      <c r="D2902" t="s">
        <v>76</v>
      </c>
      <c r="E2902" s="2">
        <v>41598</v>
      </c>
      <c r="F2902" t="str">
        <f>"9781409466352"</f>
        <v>9781409466352</v>
      </c>
      <c r="G2902" t="str">
        <f>"9781409466345"</f>
        <v>9781409466345</v>
      </c>
      <c r="H2902" t="s">
        <v>483</v>
      </c>
      <c r="I2902">
        <v>720.95362999999998</v>
      </c>
      <c r="J2902" t="s">
        <v>3189</v>
      </c>
      <c r="K2902" t="s">
        <v>44</v>
      </c>
      <c r="N2902" t="s">
        <v>45</v>
      </c>
      <c r="O2902" t="s">
        <v>46</v>
      </c>
      <c r="P2902" t="s">
        <v>45</v>
      </c>
      <c r="Q2902" t="s">
        <v>47</v>
      </c>
      <c r="R2902" t="s">
        <v>44</v>
      </c>
      <c r="S2902">
        <v>0</v>
      </c>
      <c r="W2902" s="3">
        <v>0</v>
      </c>
      <c r="X2902" t="s">
        <v>49</v>
      </c>
      <c r="Y2902">
        <v>0</v>
      </c>
      <c r="Z2902">
        <v>1</v>
      </c>
      <c r="AA2902" t="s">
        <v>5999</v>
      </c>
      <c r="AB2902">
        <v>30</v>
      </c>
      <c r="AC2902" t="s">
        <v>49</v>
      </c>
      <c r="AD2902">
        <v>0</v>
      </c>
      <c r="AE2902">
        <v>10768071</v>
      </c>
      <c r="AF2902" t="s">
        <v>63</v>
      </c>
      <c r="AG2902" t="s">
        <v>3037</v>
      </c>
    </row>
    <row r="2903" spans="1:33" x14ac:dyDescent="0.35">
      <c r="A2903" s="1">
        <v>44804.499305555553</v>
      </c>
      <c r="B2903">
        <v>5540872</v>
      </c>
      <c r="C2903" t="s">
        <v>6000</v>
      </c>
      <c r="D2903" t="s">
        <v>105</v>
      </c>
      <c r="E2903" s="2">
        <v>43384</v>
      </c>
      <c r="F2903" t="str">
        <f>"9783319919508"</f>
        <v>9783319919508</v>
      </c>
      <c r="G2903" t="str">
        <f>"9783319919492"</f>
        <v>9783319919492</v>
      </c>
      <c r="H2903" t="s">
        <v>1046</v>
      </c>
      <c r="I2903">
        <v>307.12160993999998</v>
      </c>
      <c r="J2903" t="s">
        <v>6001</v>
      </c>
      <c r="K2903" t="s">
        <v>55</v>
      </c>
      <c r="Q2903" t="s">
        <v>47</v>
      </c>
      <c r="R2903" t="s">
        <v>44</v>
      </c>
      <c r="S2903">
        <v>0</v>
      </c>
      <c r="W2903" s="3">
        <v>5.5555555555555556E-4</v>
      </c>
      <c r="X2903" t="s">
        <v>6002</v>
      </c>
      <c r="Y2903">
        <v>3</v>
      </c>
      <c r="Z2903">
        <v>0</v>
      </c>
      <c r="AA2903" t="s">
        <v>49</v>
      </c>
      <c r="AB2903">
        <v>0</v>
      </c>
      <c r="AC2903" t="s">
        <v>49</v>
      </c>
      <c r="AD2903">
        <v>0</v>
      </c>
      <c r="AE2903">
        <v>-1</v>
      </c>
      <c r="AF2903" t="s">
        <v>63</v>
      </c>
      <c r="AG2903" t="s">
        <v>6003</v>
      </c>
    </row>
    <row r="2904" spans="1:33" x14ac:dyDescent="0.35">
      <c r="A2904" s="1">
        <v>44804.496527777781</v>
      </c>
      <c r="B2904">
        <v>6216430</v>
      </c>
      <c r="C2904" t="s">
        <v>6004</v>
      </c>
      <c r="D2904" t="s">
        <v>6005</v>
      </c>
      <c r="E2904" s="2">
        <v>43985</v>
      </c>
      <c r="F2904" t="str">
        <f>"9781529204469"</f>
        <v>9781529204469</v>
      </c>
      <c r="G2904" t="str">
        <f>"9781529204452"</f>
        <v>9781529204452</v>
      </c>
      <c r="H2904" t="s">
        <v>1046</v>
      </c>
      <c r="I2904">
        <v>307.76</v>
      </c>
      <c r="J2904" t="s">
        <v>6006</v>
      </c>
      <c r="K2904" t="s">
        <v>55</v>
      </c>
      <c r="N2904" t="s">
        <v>293</v>
      </c>
      <c r="P2904" t="s">
        <v>950</v>
      </c>
      <c r="Q2904" t="s">
        <v>47</v>
      </c>
      <c r="R2904" t="s">
        <v>55</v>
      </c>
      <c r="S2904">
        <v>2</v>
      </c>
      <c r="T2904">
        <v>1</v>
      </c>
      <c r="U2904" s="1">
        <v>44804.405555555553</v>
      </c>
      <c r="V2904" s="1">
        <v>44805.405555555553</v>
      </c>
      <c r="W2904" s="3">
        <v>1.1574074074074073E-5</v>
      </c>
      <c r="X2904" t="s">
        <v>49</v>
      </c>
      <c r="Y2904">
        <v>0</v>
      </c>
      <c r="Z2904">
        <v>0</v>
      </c>
      <c r="AA2904" t="s">
        <v>49</v>
      </c>
      <c r="AB2904">
        <v>0</v>
      </c>
      <c r="AC2904" t="s">
        <v>49</v>
      </c>
      <c r="AD2904">
        <v>0</v>
      </c>
      <c r="AE2904">
        <v>-1</v>
      </c>
      <c r="AF2904" t="s">
        <v>63</v>
      </c>
      <c r="AG2904" t="s">
        <v>6003</v>
      </c>
    </row>
    <row r="2905" spans="1:33" x14ac:dyDescent="0.35">
      <c r="A2905" s="1">
        <v>44804.436805555553</v>
      </c>
      <c r="B2905">
        <v>5754491</v>
      </c>
      <c r="C2905" t="s">
        <v>6007</v>
      </c>
      <c r="D2905" t="s">
        <v>65</v>
      </c>
      <c r="E2905" s="2">
        <v>43406</v>
      </c>
      <c r="F2905" t="str">
        <f>"9780128124789"</f>
        <v>9780128124789</v>
      </c>
      <c r="G2905" t="str">
        <f>"9780128124772"</f>
        <v>9780128124772</v>
      </c>
      <c r="H2905" t="s">
        <v>138</v>
      </c>
      <c r="I2905">
        <v>5.8</v>
      </c>
      <c r="J2905" t="s">
        <v>6008</v>
      </c>
      <c r="K2905" t="s">
        <v>55</v>
      </c>
      <c r="N2905" t="s">
        <v>293</v>
      </c>
      <c r="P2905" t="s">
        <v>80</v>
      </c>
      <c r="Q2905" t="s">
        <v>47</v>
      </c>
      <c r="R2905" t="s">
        <v>44</v>
      </c>
      <c r="S2905">
        <v>0</v>
      </c>
      <c r="W2905" s="3">
        <v>1.0416666666666667E-4</v>
      </c>
      <c r="X2905" t="s">
        <v>121</v>
      </c>
      <c r="Y2905">
        <v>1</v>
      </c>
      <c r="Z2905">
        <v>0</v>
      </c>
      <c r="AA2905" t="s">
        <v>49</v>
      </c>
      <c r="AB2905">
        <v>0</v>
      </c>
      <c r="AC2905" t="s">
        <v>49</v>
      </c>
      <c r="AD2905">
        <v>0</v>
      </c>
      <c r="AE2905">
        <v>-1</v>
      </c>
      <c r="AF2905" t="s">
        <v>63</v>
      </c>
      <c r="AG2905" t="s">
        <v>5850</v>
      </c>
    </row>
    <row r="2906" spans="1:33" x14ac:dyDescent="0.35">
      <c r="A2906" s="1">
        <v>44804.405555555553</v>
      </c>
      <c r="B2906">
        <v>6216430</v>
      </c>
      <c r="C2906" t="s">
        <v>6004</v>
      </c>
      <c r="D2906" t="s">
        <v>6005</v>
      </c>
      <c r="E2906" s="2">
        <v>43985</v>
      </c>
      <c r="F2906" t="str">
        <f>"9781529204469"</f>
        <v>9781529204469</v>
      </c>
      <c r="G2906" t="str">
        <f>"9781529204452"</f>
        <v>9781529204452</v>
      </c>
      <c r="H2906" t="s">
        <v>1046</v>
      </c>
      <c r="I2906">
        <v>307.76</v>
      </c>
      <c r="J2906" t="s">
        <v>6006</v>
      </c>
      <c r="K2906" t="s">
        <v>55</v>
      </c>
      <c r="N2906" t="s">
        <v>293</v>
      </c>
      <c r="P2906" t="s">
        <v>950</v>
      </c>
      <c r="Q2906" t="s">
        <v>47</v>
      </c>
      <c r="R2906" t="s">
        <v>55</v>
      </c>
      <c r="S2906">
        <v>1</v>
      </c>
      <c r="T2906">
        <v>1</v>
      </c>
      <c r="U2906" s="1">
        <v>44804.405555555553</v>
      </c>
      <c r="V2906" s="1">
        <v>44805.405555555553</v>
      </c>
      <c r="W2906" s="3">
        <v>0</v>
      </c>
      <c r="X2906" t="s">
        <v>49</v>
      </c>
      <c r="Y2906">
        <v>0</v>
      </c>
      <c r="Z2906">
        <v>0</v>
      </c>
      <c r="AA2906" t="s">
        <v>49</v>
      </c>
      <c r="AB2906">
        <v>0</v>
      </c>
      <c r="AC2906" t="s">
        <v>49</v>
      </c>
      <c r="AD2906">
        <v>0</v>
      </c>
      <c r="AE2906">
        <v>-1</v>
      </c>
      <c r="AF2906" t="s">
        <v>63</v>
      </c>
      <c r="AG2906" t="s">
        <v>6003</v>
      </c>
    </row>
    <row r="2907" spans="1:33" x14ac:dyDescent="0.35">
      <c r="A2907" s="1">
        <v>44804.362500000003</v>
      </c>
      <c r="B2907">
        <v>832582</v>
      </c>
      <c r="C2907" t="s">
        <v>6009</v>
      </c>
      <c r="D2907" t="s">
        <v>59</v>
      </c>
      <c r="E2907" s="2">
        <v>41449</v>
      </c>
      <c r="F2907" t="str">
        <f>"9781118228913"</f>
        <v>9781118228913</v>
      </c>
      <c r="G2907" t="str">
        <f>"9781118217948"</f>
        <v>9781118217948</v>
      </c>
      <c r="H2907" t="s">
        <v>214</v>
      </c>
      <c r="I2907">
        <v>546</v>
      </c>
      <c r="J2907" t="s">
        <v>6010</v>
      </c>
      <c r="K2907" t="s">
        <v>44</v>
      </c>
      <c r="N2907" t="s">
        <v>45</v>
      </c>
      <c r="O2907" t="s">
        <v>46</v>
      </c>
      <c r="P2907" t="s">
        <v>45</v>
      </c>
      <c r="Q2907" t="s">
        <v>47</v>
      </c>
      <c r="R2907" t="s">
        <v>44</v>
      </c>
      <c r="S2907">
        <v>0</v>
      </c>
      <c r="W2907" s="3">
        <v>2.1296296296296298E-3</v>
      </c>
      <c r="X2907" t="s">
        <v>6011</v>
      </c>
      <c r="Y2907">
        <v>32</v>
      </c>
      <c r="Z2907">
        <v>1</v>
      </c>
      <c r="AA2907" t="s">
        <v>2249</v>
      </c>
      <c r="AB2907">
        <v>6</v>
      </c>
      <c r="AC2907" t="s">
        <v>49</v>
      </c>
      <c r="AD2907">
        <v>0</v>
      </c>
      <c r="AE2907">
        <v>10716711</v>
      </c>
      <c r="AF2907" t="s">
        <v>63</v>
      </c>
      <c r="AG2907" t="s">
        <v>6003</v>
      </c>
    </row>
    <row r="2908" spans="1:33" x14ac:dyDescent="0.35">
      <c r="A2908" s="1">
        <v>44803.755555555559</v>
      </c>
      <c r="B2908">
        <v>7050467</v>
      </c>
      <c r="C2908" t="s">
        <v>6012</v>
      </c>
      <c r="D2908" t="s">
        <v>76</v>
      </c>
      <c r="E2908" s="2">
        <v>44837</v>
      </c>
      <c r="F2908" t="str">
        <f>"9781000737318"</f>
        <v>9781000737318</v>
      </c>
      <c r="G2908" t="str">
        <f>"9780367478889"</f>
        <v>9780367478889</v>
      </c>
      <c r="H2908" t="s">
        <v>6013</v>
      </c>
      <c r="I2908">
        <v>711.40950999999995</v>
      </c>
      <c r="J2908" t="s">
        <v>6014</v>
      </c>
      <c r="K2908" t="s">
        <v>55</v>
      </c>
      <c r="N2908" t="s">
        <v>79</v>
      </c>
      <c r="P2908" t="s">
        <v>80</v>
      </c>
      <c r="Q2908" t="s">
        <v>47</v>
      </c>
      <c r="R2908" t="s">
        <v>44</v>
      </c>
      <c r="S2908">
        <v>0</v>
      </c>
      <c r="W2908" s="3">
        <v>5.7870370370370366E-5</v>
      </c>
      <c r="X2908" t="s">
        <v>6015</v>
      </c>
      <c r="Y2908">
        <v>1</v>
      </c>
      <c r="Z2908">
        <v>1</v>
      </c>
      <c r="AA2908" t="s">
        <v>6016</v>
      </c>
      <c r="AB2908">
        <v>43</v>
      </c>
      <c r="AC2908" t="s">
        <v>49</v>
      </c>
      <c r="AD2908">
        <v>0</v>
      </c>
      <c r="AE2908">
        <v>-1</v>
      </c>
      <c r="AF2908" t="s">
        <v>50</v>
      </c>
      <c r="AG2908" t="s">
        <v>3037</v>
      </c>
    </row>
    <row r="2909" spans="1:33" x14ac:dyDescent="0.35">
      <c r="A2909" s="1">
        <v>44803.750694444447</v>
      </c>
      <c r="B2909">
        <v>7050467</v>
      </c>
      <c r="C2909" t="s">
        <v>6012</v>
      </c>
      <c r="D2909" t="s">
        <v>76</v>
      </c>
      <c r="E2909" s="2">
        <v>44837</v>
      </c>
      <c r="F2909" t="str">
        <f>"9781000737318"</f>
        <v>9781000737318</v>
      </c>
      <c r="G2909" t="str">
        <f>"9780367478889"</f>
        <v>9780367478889</v>
      </c>
      <c r="H2909" t="s">
        <v>6013</v>
      </c>
      <c r="I2909">
        <v>711.40950999999995</v>
      </c>
      <c r="J2909" t="s">
        <v>6014</v>
      </c>
      <c r="K2909" t="s">
        <v>55</v>
      </c>
      <c r="N2909" t="s">
        <v>79</v>
      </c>
      <c r="P2909" t="s">
        <v>80</v>
      </c>
      <c r="Q2909" t="s">
        <v>47</v>
      </c>
      <c r="R2909" t="s">
        <v>44</v>
      </c>
      <c r="S2909">
        <v>0</v>
      </c>
      <c r="W2909" s="3">
        <v>5.7870370370370366E-5</v>
      </c>
      <c r="X2909" t="s">
        <v>6015</v>
      </c>
      <c r="Y2909">
        <v>1</v>
      </c>
      <c r="Z2909">
        <v>0</v>
      </c>
      <c r="AA2909" t="s">
        <v>49</v>
      </c>
      <c r="AB2909">
        <v>0</v>
      </c>
      <c r="AC2909" t="s">
        <v>49</v>
      </c>
      <c r="AD2909">
        <v>0</v>
      </c>
      <c r="AE2909">
        <v>-1</v>
      </c>
      <c r="AF2909" t="s">
        <v>50</v>
      </c>
      <c r="AG2909" t="s">
        <v>3037</v>
      </c>
    </row>
    <row r="2910" spans="1:33" x14ac:dyDescent="0.35">
      <c r="A2910" s="1">
        <v>44803.748611111114</v>
      </c>
      <c r="B2910">
        <v>7050467</v>
      </c>
      <c r="C2910" t="s">
        <v>6012</v>
      </c>
      <c r="D2910" t="s">
        <v>76</v>
      </c>
      <c r="E2910" s="2">
        <v>44837</v>
      </c>
      <c r="F2910" t="str">
        <f>"9781000737318"</f>
        <v>9781000737318</v>
      </c>
      <c r="G2910" t="str">
        <f>"9780367478889"</f>
        <v>9780367478889</v>
      </c>
      <c r="H2910" t="s">
        <v>6013</v>
      </c>
      <c r="I2910">
        <v>711.40950999999995</v>
      </c>
      <c r="J2910" t="s">
        <v>6014</v>
      </c>
      <c r="K2910" t="s">
        <v>55</v>
      </c>
      <c r="N2910" t="s">
        <v>79</v>
      </c>
      <c r="P2910" t="s">
        <v>80</v>
      </c>
      <c r="Q2910" t="s">
        <v>47</v>
      </c>
      <c r="R2910" t="s">
        <v>44</v>
      </c>
      <c r="S2910">
        <v>0</v>
      </c>
      <c r="W2910" s="3">
        <v>0</v>
      </c>
      <c r="X2910" t="s">
        <v>49</v>
      </c>
      <c r="Y2910">
        <v>0</v>
      </c>
      <c r="Z2910">
        <v>12</v>
      </c>
      <c r="AA2910" t="s">
        <v>6017</v>
      </c>
      <c r="AB2910">
        <v>61</v>
      </c>
      <c r="AC2910" t="s">
        <v>49</v>
      </c>
      <c r="AD2910">
        <v>0</v>
      </c>
      <c r="AE2910">
        <v>-1</v>
      </c>
      <c r="AF2910" t="s">
        <v>50</v>
      </c>
      <c r="AG2910" t="s">
        <v>3037</v>
      </c>
    </row>
    <row r="2911" spans="1:33" x14ac:dyDescent="0.35">
      <c r="A2911" s="1">
        <v>44803.743750000001</v>
      </c>
      <c r="B2911">
        <v>6216430</v>
      </c>
      <c r="C2911" t="s">
        <v>6004</v>
      </c>
      <c r="D2911" t="s">
        <v>6005</v>
      </c>
      <c r="E2911" s="2">
        <v>43985</v>
      </c>
      <c r="F2911" t="str">
        <f>"9781529204469"</f>
        <v>9781529204469</v>
      </c>
      <c r="G2911" t="str">
        <f>"9781529204452"</f>
        <v>9781529204452</v>
      </c>
      <c r="H2911" t="s">
        <v>1046</v>
      </c>
      <c r="I2911">
        <v>307.76</v>
      </c>
      <c r="J2911" t="s">
        <v>6006</v>
      </c>
      <c r="K2911" t="s">
        <v>55</v>
      </c>
      <c r="Q2911" t="s">
        <v>47</v>
      </c>
      <c r="R2911" t="s">
        <v>44</v>
      </c>
      <c r="S2911">
        <v>0</v>
      </c>
      <c r="W2911" s="3">
        <v>3.7384259259259263E-3</v>
      </c>
      <c r="X2911" t="s">
        <v>6018</v>
      </c>
      <c r="Y2911">
        <v>12</v>
      </c>
      <c r="Z2911">
        <v>0</v>
      </c>
      <c r="AA2911" t="s">
        <v>49</v>
      </c>
      <c r="AB2911">
        <v>0</v>
      </c>
      <c r="AC2911" t="s">
        <v>49</v>
      </c>
      <c r="AD2911">
        <v>0</v>
      </c>
      <c r="AE2911">
        <v>-1</v>
      </c>
      <c r="AF2911" t="s">
        <v>63</v>
      </c>
      <c r="AG2911" t="s">
        <v>6003</v>
      </c>
    </row>
    <row r="2912" spans="1:33" x14ac:dyDescent="0.35">
      <c r="A2912" s="1">
        <v>44803.743055555555</v>
      </c>
      <c r="B2912">
        <v>5580518</v>
      </c>
      <c r="C2912" t="s">
        <v>6019</v>
      </c>
      <c r="D2912" t="s">
        <v>6020</v>
      </c>
      <c r="E2912" s="2">
        <v>43364</v>
      </c>
      <c r="F2912" t="str">
        <f>"9781607326809"</f>
        <v>9781607326809</v>
      </c>
      <c r="G2912" t="str">
        <f>"9781607326793"</f>
        <v>9781607326793</v>
      </c>
      <c r="H2912" t="s">
        <v>120</v>
      </c>
      <c r="I2912">
        <v>607.1</v>
      </c>
      <c r="J2912" t="s">
        <v>6021</v>
      </c>
      <c r="K2912" t="s">
        <v>55</v>
      </c>
      <c r="N2912" t="s">
        <v>79</v>
      </c>
      <c r="P2912" t="s">
        <v>97</v>
      </c>
      <c r="Q2912" t="s">
        <v>47</v>
      </c>
      <c r="R2912" t="s">
        <v>44</v>
      </c>
      <c r="S2912">
        <v>1</v>
      </c>
      <c r="T2912">
        <v>1</v>
      </c>
      <c r="U2912" s="1">
        <v>44803.743055555555</v>
      </c>
      <c r="V2912" s="1">
        <v>44804.743055555555</v>
      </c>
      <c r="W2912" s="3">
        <v>1.1574074074074073E-5</v>
      </c>
      <c r="X2912" t="s">
        <v>49</v>
      </c>
      <c r="Y2912">
        <v>0</v>
      </c>
      <c r="Z2912">
        <v>0</v>
      </c>
      <c r="AA2912" t="s">
        <v>49</v>
      </c>
      <c r="AB2912">
        <v>0</v>
      </c>
      <c r="AC2912" t="s">
        <v>49</v>
      </c>
      <c r="AD2912">
        <v>0</v>
      </c>
      <c r="AE2912">
        <v>-1</v>
      </c>
      <c r="AF2912" t="s">
        <v>63</v>
      </c>
      <c r="AG2912" t="s">
        <v>5140</v>
      </c>
    </row>
    <row r="2913" spans="1:33" x14ac:dyDescent="0.35">
      <c r="A2913" s="1">
        <v>44803.740972222222</v>
      </c>
      <c r="B2913">
        <v>7050467</v>
      </c>
      <c r="C2913" t="s">
        <v>6012</v>
      </c>
      <c r="D2913" t="s">
        <v>76</v>
      </c>
      <c r="E2913" s="2">
        <v>44837</v>
      </c>
      <c r="F2913" t="str">
        <f>"9781000737318"</f>
        <v>9781000737318</v>
      </c>
      <c r="G2913" t="str">
        <f>"9780367478889"</f>
        <v>9780367478889</v>
      </c>
      <c r="H2913" t="s">
        <v>6013</v>
      </c>
      <c r="I2913">
        <v>711.40950999999995</v>
      </c>
      <c r="J2913" t="s">
        <v>6014</v>
      </c>
      <c r="K2913" t="s">
        <v>55</v>
      </c>
      <c r="N2913" t="s">
        <v>79</v>
      </c>
      <c r="P2913" t="s">
        <v>80</v>
      </c>
      <c r="Q2913" t="s">
        <v>47</v>
      </c>
      <c r="R2913" t="s">
        <v>44</v>
      </c>
      <c r="S2913">
        <v>0</v>
      </c>
      <c r="W2913" s="3">
        <v>8.2870370370370372E-3</v>
      </c>
      <c r="X2913" t="s">
        <v>6022</v>
      </c>
      <c r="Y2913">
        <v>12</v>
      </c>
      <c r="Z2913">
        <v>0</v>
      </c>
      <c r="AA2913" t="s">
        <v>49</v>
      </c>
      <c r="AB2913">
        <v>0</v>
      </c>
      <c r="AC2913" t="s">
        <v>49</v>
      </c>
      <c r="AD2913">
        <v>0</v>
      </c>
      <c r="AE2913">
        <v>-1</v>
      </c>
      <c r="AF2913" t="s">
        <v>50</v>
      </c>
      <c r="AG2913" t="s">
        <v>3037</v>
      </c>
    </row>
    <row r="2914" spans="1:33" x14ac:dyDescent="0.35">
      <c r="A2914" s="1">
        <v>44803.736111111109</v>
      </c>
      <c r="B2914">
        <v>6216430</v>
      </c>
      <c r="C2914" t="s">
        <v>6004</v>
      </c>
      <c r="D2914" t="s">
        <v>6005</v>
      </c>
      <c r="E2914" s="2">
        <v>43985</v>
      </c>
      <c r="F2914" t="str">
        <f>"9781529204469"</f>
        <v>9781529204469</v>
      </c>
      <c r="G2914" t="str">
        <f>"9781529204452"</f>
        <v>9781529204452</v>
      </c>
      <c r="H2914" t="s">
        <v>1046</v>
      </c>
      <c r="I2914">
        <v>307.76</v>
      </c>
      <c r="J2914" t="s">
        <v>6006</v>
      </c>
      <c r="K2914" t="s">
        <v>55</v>
      </c>
      <c r="Q2914" t="s">
        <v>47</v>
      </c>
      <c r="R2914" t="s">
        <v>44</v>
      </c>
      <c r="S2914">
        <v>0</v>
      </c>
      <c r="W2914" s="3">
        <v>0</v>
      </c>
      <c r="X2914" t="s">
        <v>49</v>
      </c>
      <c r="Y2914">
        <v>0</v>
      </c>
      <c r="Z2914">
        <v>0</v>
      </c>
      <c r="AA2914" t="s">
        <v>49</v>
      </c>
      <c r="AB2914">
        <v>0</v>
      </c>
      <c r="AC2914" t="s">
        <v>49</v>
      </c>
      <c r="AD2914">
        <v>0</v>
      </c>
      <c r="AE2914">
        <v>-1</v>
      </c>
      <c r="AF2914" t="s">
        <v>63</v>
      </c>
      <c r="AG2914" t="s">
        <v>3037</v>
      </c>
    </row>
    <row r="2915" spans="1:33" x14ac:dyDescent="0.35">
      <c r="A2915" s="1">
        <v>44803.709027777775</v>
      </c>
      <c r="B2915">
        <v>5754491</v>
      </c>
      <c r="C2915" t="s">
        <v>6007</v>
      </c>
      <c r="D2915" t="s">
        <v>65</v>
      </c>
      <c r="E2915" s="2">
        <v>43406</v>
      </c>
      <c r="F2915" t="str">
        <f>"9780128124789"</f>
        <v>9780128124789</v>
      </c>
      <c r="G2915" t="str">
        <f>"9780128124772"</f>
        <v>9780128124772</v>
      </c>
      <c r="H2915" t="s">
        <v>138</v>
      </c>
      <c r="I2915">
        <v>5.8</v>
      </c>
      <c r="J2915" t="s">
        <v>6008</v>
      </c>
      <c r="K2915" t="s">
        <v>55</v>
      </c>
      <c r="Q2915" t="s">
        <v>47</v>
      </c>
      <c r="R2915" t="s">
        <v>44</v>
      </c>
      <c r="S2915">
        <v>0</v>
      </c>
      <c r="W2915" s="3">
        <v>1.0995370370370371E-2</v>
      </c>
      <c r="X2915" t="s">
        <v>6023</v>
      </c>
      <c r="Y2915">
        <v>26</v>
      </c>
      <c r="Z2915">
        <v>0</v>
      </c>
      <c r="AA2915" t="s">
        <v>49</v>
      </c>
      <c r="AB2915">
        <v>0</v>
      </c>
      <c r="AC2915" t="s">
        <v>49</v>
      </c>
      <c r="AD2915">
        <v>0</v>
      </c>
      <c r="AE2915">
        <v>-1</v>
      </c>
      <c r="AF2915" t="s">
        <v>63</v>
      </c>
      <c r="AG2915" t="s">
        <v>5850</v>
      </c>
    </row>
    <row r="2916" spans="1:33" x14ac:dyDescent="0.35">
      <c r="A2916" s="1">
        <v>44803.708333333336</v>
      </c>
      <c r="B2916">
        <v>7050467</v>
      </c>
      <c r="C2916" t="s">
        <v>6012</v>
      </c>
      <c r="D2916" t="s">
        <v>76</v>
      </c>
      <c r="E2916" s="2">
        <v>44837</v>
      </c>
      <c r="F2916" t="str">
        <f>"9781000737318"</f>
        <v>9781000737318</v>
      </c>
      <c r="G2916" t="str">
        <f>"9780367478889"</f>
        <v>9780367478889</v>
      </c>
      <c r="H2916" t="s">
        <v>6013</v>
      </c>
      <c r="I2916">
        <v>711.40950999999995</v>
      </c>
      <c r="J2916" t="s">
        <v>6014</v>
      </c>
      <c r="K2916" t="s">
        <v>55</v>
      </c>
      <c r="N2916" t="s">
        <v>79</v>
      </c>
      <c r="P2916" t="s">
        <v>80</v>
      </c>
      <c r="Q2916" t="s">
        <v>47</v>
      </c>
      <c r="R2916" t="s">
        <v>44</v>
      </c>
      <c r="S2916">
        <v>0</v>
      </c>
      <c r="W2916" s="3">
        <v>5.7870370370370366E-5</v>
      </c>
      <c r="X2916" t="s">
        <v>6024</v>
      </c>
      <c r="Y2916">
        <v>1</v>
      </c>
      <c r="Z2916">
        <v>5</v>
      </c>
      <c r="AA2916" t="s">
        <v>6025</v>
      </c>
      <c r="AB2916">
        <v>65</v>
      </c>
      <c r="AC2916" t="s">
        <v>49</v>
      </c>
      <c r="AD2916">
        <v>0</v>
      </c>
      <c r="AE2916">
        <v>-1</v>
      </c>
      <c r="AF2916" t="s">
        <v>50</v>
      </c>
      <c r="AG2916" t="s">
        <v>3037</v>
      </c>
    </row>
    <row r="2917" spans="1:33" x14ac:dyDescent="0.35">
      <c r="A2917" s="1">
        <v>44803.701388888891</v>
      </c>
      <c r="B2917">
        <v>7050467</v>
      </c>
      <c r="C2917" t="s">
        <v>6012</v>
      </c>
      <c r="D2917" t="s">
        <v>76</v>
      </c>
      <c r="E2917" s="2">
        <v>44837</v>
      </c>
      <c r="F2917" t="str">
        <f>"9781000737318"</f>
        <v>9781000737318</v>
      </c>
      <c r="G2917" t="str">
        <f>"9780367478889"</f>
        <v>9780367478889</v>
      </c>
      <c r="H2917" t="s">
        <v>6013</v>
      </c>
      <c r="I2917">
        <v>711.40950999999995</v>
      </c>
      <c r="J2917" t="s">
        <v>6014</v>
      </c>
      <c r="K2917" t="s">
        <v>55</v>
      </c>
      <c r="N2917" t="s">
        <v>79</v>
      </c>
      <c r="P2917" t="s">
        <v>80</v>
      </c>
      <c r="Q2917" t="s">
        <v>47</v>
      </c>
      <c r="R2917" t="s">
        <v>44</v>
      </c>
      <c r="S2917">
        <v>1</v>
      </c>
      <c r="T2917">
        <v>90</v>
      </c>
      <c r="U2917" s="1">
        <v>44803.701388888891</v>
      </c>
      <c r="V2917" s="1">
        <v>44893.701388888891</v>
      </c>
      <c r="W2917" s="3">
        <v>0</v>
      </c>
      <c r="X2917" t="s">
        <v>49</v>
      </c>
      <c r="Y2917">
        <v>0</v>
      </c>
      <c r="Z2917">
        <v>5</v>
      </c>
      <c r="AA2917" t="s">
        <v>6026</v>
      </c>
      <c r="AB2917">
        <v>65</v>
      </c>
      <c r="AC2917" t="s">
        <v>49</v>
      </c>
      <c r="AD2917">
        <v>0</v>
      </c>
      <c r="AE2917">
        <v>-1</v>
      </c>
      <c r="AF2917" t="s">
        <v>63</v>
      </c>
      <c r="AG2917" t="s">
        <v>3037</v>
      </c>
    </row>
    <row r="2918" spans="1:33" x14ac:dyDescent="0.35">
      <c r="A2918" s="1">
        <v>44803.698611111111</v>
      </c>
      <c r="B2918">
        <v>7050467</v>
      </c>
      <c r="C2918" t="s">
        <v>6012</v>
      </c>
      <c r="D2918" t="s">
        <v>76</v>
      </c>
      <c r="E2918" s="2">
        <v>44837</v>
      </c>
      <c r="F2918" t="str">
        <f>"9781000737318"</f>
        <v>9781000737318</v>
      </c>
      <c r="G2918" t="str">
        <f>"9780367478889"</f>
        <v>9780367478889</v>
      </c>
      <c r="H2918" t="s">
        <v>6013</v>
      </c>
      <c r="I2918">
        <v>711.40950999999995</v>
      </c>
      <c r="J2918" t="s">
        <v>6014</v>
      </c>
      <c r="K2918" t="s">
        <v>55</v>
      </c>
      <c r="N2918" t="s">
        <v>79</v>
      </c>
      <c r="P2918" t="s">
        <v>80</v>
      </c>
      <c r="Q2918" t="s">
        <v>47</v>
      </c>
      <c r="R2918" t="s">
        <v>44</v>
      </c>
      <c r="S2918">
        <v>2</v>
      </c>
      <c r="T2918">
        <v>90</v>
      </c>
      <c r="U2918" s="1">
        <v>44803.698611111111</v>
      </c>
      <c r="V2918" s="1">
        <v>44893.698611111111</v>
      </c>
      <c r="W2918" s="3">
        <v>0</v>
      </c>
      <c r="X2918" t="s">
        <v>49</v>
      </c>
      <c r="Y2918">
        <v>0</v>
      </c>
      <c r="Z2918">
        <v>6</v>
      </c>
      <c r="AA2918" t="s">
        <v>6027</v>
      </c>
      <c r="AB2918">
        <v>90</v>
      </c>
      <c r="AC2918" t="s">
        <v>49</v>
      </c>
      <c r="AD2918">
        <v>0</v>
      </c>
      <c r="AE2918">
        <v>-1</v>
      </c>
      <c r="AF2918" t="s">
        <v>63</v>
      </c>
      <c r="AG2918" t="s">
        <v>6003</v>
      </c>
    </row>
    <row r="2919" spans="1:33" x14ac:dyDescent="0.35">
      <c r="A2919" s="1">
        <v>44803.698611111111</v>
      </c>
      <c r="B2919">
        <v>7050467</v>
      </c>
      <c r="C2919" t="s">
        <v>6012</v>
      </c>
      <c r="D2919" t="s">
        <v>76</v>
      </c>
      <c r="E2919" s="2">
        <v>44837</v>
      </c>
      <c r="F2919" t="str">
        <f>"9781000737318"</f>
        <v>9781000737318</v>
      </c>
      <c r="G2919" t="str">
        <f>"9780367478889"</f>
        <v>9780367478889</v>
      </c>
      <c r="H2919" t="s">
        <v>6013</v>
      </c>
      <c r="I2919">
        <v>711.40950999999995</v>
      </c>
      <c r="J2919" t="s">
        <v>6014</v>
      </c>
      <c r="K2919" t="s">
        <v>55</v>
      </c>
      <c r="N2919" t="s">
        <v>79</v>
      </c>
      <c r="P2919" t="s">
        <v>80</v>
      </c>
      <c r="Q2919" t="s">
        <v>47</v>
      </c>
      <c r="R2919" t="s">
        <v>44</v>
      </c>
      <c r="S2919">
        <v>0</v>
      </c>
      <c r="W2919" s="3">
        <v>0</v>
      </c>
      <c r="X2919" t="s">
        <v>49</v>
      </c>
      <c r="Y2919">
        <v>0</v>
      </c>
      <c r="Z2919">
        <v>0</v>
      </c>
      <c r="AA2919" t="s">
        <v>49</v>
      </c>
      <c r="AB2919">
        <v>0</v>
      </c>
      <c r="AC2919" t="s">
        <v>49</v>
      </c>
      <c r="AD2919">
        <v>0</v>
      </c>
      <c r="AE2919">
        <v>-1</v>
      </c>
      <c r="AF2919" t="s">
        <v>50</v>
      </c>
      <c r="AG2919" t="s">
        <v>3037</v>
      </c>
    </row>
    <row r="2920" spans="1:33" x14ac:dyDescent="0.35">
      <c r="A2920" s="1">
        <v>44803.68472222222</v>
      </c>
      <c r="B2920">
        <v>1130128</v>
      </c>
      <c r="C2920" t="s">
        <v>6028</v>
      </c>
      <c r="D2920" t="s">
        <v>711</v>
      </c>
      <c r="E2920" s="2">
        <v>41275</v>
      </c>
      <c r="F2920" t="str">
        <f>"9780821397503"</f>
        <v>9780821397503</v>
      </c>
      <c r="G2920" t="str">
        <f>"9780821397459"</f>
        <v>9780821397459</v>
      </c>
      <c r="H2920" t="s">
        <v>1046</v>
      </c>
      <c r="I2920" t="s">
        <v>3427</v>
      </c>
      <c r="J2920" t="s">
        <v>6029</v>
      </c>
      <c r="K2920" t="s">
        <v>44</v>
      </c>
      <c r="N2920" t="s">
        <v>45</v>
      </c>
      <c r="O2920" t="s">
        <v>46</v>
      </c>
      <c r="P2920" t="s">
        <v>177</v>
      </c>
      <c r="Q2920" t="s">
        <v>47</v>
      </c>
      <c r="R2920" t="s">
        <v>55</v>
      </c>
      <c r="S2920">
        <v>1</v>
      </c>
      <c r="W2920" s="3">
        <v>0</v>
      </c>
      <c r="X2920" t="s">
        <v>49</v>
      </c>
      <c r="Y2920">
        <v>0</v>
      </c>
      <c r="Z2920">
        <v>0</v>
      </c>
      <c r="AA2920" t="s">
        <v>49</v>
      </c>
      <c r="AB2920">
        <v>0</v>
      </c>
      <c r="AC2920" t="s">
        <v>49</v>
      </c>
      <c r="AD2920">
        <v>0</v>
      </c>
      <c r="AE2920">
        <v>10644879</v>
      </c>
      <c r="AF2920" t="s">
        <v>63</v>
      </c>
      <c r="AG2920" t="s">
        <v>6003</v>
      </c>
    </row>
    <row r="2921" spans="1:33" x14ac:dyDescent="0.35">
      <c r="A2921" s="1">
        <v>44803.668055555558</v>
      </c>
      <c r="B2921">
        <v>5829217</v>
      </c>
      <c r="C2921" t="s">
        <v>626</v>
      </c>
      <c r="D2921" t="s">
        <v>627</v>
      </c>
      <c r="E2921" s="2">
        <v>43259</v>
      </c>
      <c r="F2921" t="str">
        <f>"9781496395139"</f>
        <v>9781496395139</v>
      </c>
      <c r="G2921" t="str">
        <f>"9781496335418"</f>
        <v>9781496335418</v>
      </c>
      <c r="H2921" t="s">
        <v>77</v>
      </c>
      <c r="I2921" t="s">
        <v>628</v>
      </c>
      <c r="J2921" t="s">
        <v>629</v>
      </c>
      <c r="K2921" t="s">
        <v>44</v>
      </c>
      <c r="N2921" t="s">
        <v>45</v>
      </c>
      <c r="O2921" t="s">
        <v>46</v>
      </c>
      <c r="P2921" t="s">
        <v>45</v>
      </c>
      <c r="Q2921" t="s">
        <v>47</v>
      </c>
      <c r="R2921" t="s">
        <v>44</v>
      </c>
      <c r="S2921">
        <v>1</v>
      </c>
      <c r="W2921" s="3">
        <v>1.9791666666666668E-3</v>
      </c>
      <c r="X2921" t="s">
        <v>6030</v>
      </c>
      <c r="Y2921">
        <v>11</v>
      </c>
      <c r="Z2921">
        <v>0</v>
      </c>
      <c r="AA2921" t="s">
        <v>49</v>
      </c>
      <c r="AB2921">
        <v>0</v>
      </c>
      <c r="AC2921" t="s">
        <v>49</v>
      </c>
      <c r="AD2921">
        <v>0</v>
      </c>
      <c r="AE2921">
        <v>-1</v>
      </c>
      <c r="AF2921" t="s">
        <v>63</v>
      </c>
      <c r="AG2921" t="s">
        <v>741</v>
      </c>
    </row>
    <row r="2922" spans="1:33" x14ac:dyDescent="0.35">
      <c r="A2922" s="1">
        <v>44803.626388888886</v>
      </c>
      <c r="B2922">
        <v>5754491</v>
      </c>
      <c r="C2922" t="s">
        <v>6007</v>
      </c>
      <c r="D2922" t="s">
        <v>65</v>
      </c>
      <c r="E2922" s="2">
        <v>43406</v>
      </c>
      <c r="F2922" t="str">
        <f>"9780128124789"</f>
        <v>9780128124789</v>
      </c>
      <c r="G2922" t="str">
        <f>"9780128124772"</f>
        <v>9780128124772</v>
      </c>
      <c r="H2922" t="s">
        <v>138</v>
      </c>
      <c r="I2922">
        <v>5.8</v>
      </c>
      <c r="J2922" t="s">
        <v>6008</v>
      </c>
      <c r="K2922" t="s">
        <v>55</v>
      </c>
      <c r="Q2922" t="s">
        <v>47</v>
      </c>
      <c r="R2922" t="s">
        <v>44</v>
      </c>
      <c r="S2922">
        <v>0</v>
      </c>
      <c r="W2922" s="3">
        <v>2.3148148148148146E-4</v>
      </c>
      <c r="X2922" t="s">
        <v>6031</v>
      </c>
      <c r="Y2922">
        <v>3</v>
      </c>
      <c r="Z2922">
        <v>0</v>
      </c>
      <c r="AA2922" t="s">
        <v>49</v>
      </c>
      <c r="AB2922">
        <v>0</v>
      </c>
      <c r="AC2922" t="s">
        <v>49</v>
      </c>
      <c r="AD2922">
        <v>0</v>
      </c>
      <c r="AE2922">
        <v>-1</v>
      </c>
      <c r="AF2922" t="s">
        <v>63</v>
      </c>
      <c r="AG2922" t="s">
        <v>5850</v>
      </c>
    </row>
    <row r="2923" spans="1:33" x14ac:dyDescent="0.35">
      <c r="A2923" s="1">
        <v>44803.501388888886</v>
      </c>
      <c r="B2923">
        <v>317221</v>
      </c>
      <c r="C2923" t="s">
        <v>6032</v>
      </c>
      <c r="D2923" t="s">
        <v>65</v>
      </c>
      <c r="E2923" s="2">
        <v>39364</v>
      </c>
      <c r="F2923" t="str">
        <f>"9780080552866"</f>
        <v>9780080552866</v>
      </c>
      <c r="G2923" t="str">
        <f>"9780750669061"</f>
        <v>9780750669061</v>
      </c>
      <c r="H2923" t="s">
        <v>5769</v>
      </c>
      <c r="I2923">
        <v>669.9</v>
      </c>
      <c r="J2923" t="s">
        <v>6033</v>
      </c>
      <c r="K2923" t="s">
        <v>44</v>
      </c>
      <c r="N2923" t="s">
        <v>45</v>
      </c>
      <c r="O2923" t="s">
        <v>46</v>
      </c>
      <c r="P2923" t="s">
        <v>45</v>
      </c>
      <c r="Q2923" t="s">
        <v>47</v>
      </c>
      <c r="R2923" t="s">
        <v>44</v>
      </c>
      <c r="S2923">
        <v>0</v>
      </c>
      <c r="W2923" s="3">
        <v>2.4305555555555552E-4</v>
      </c>
      <c r="X2923" t="s">
        <v>6034</v>
      </c>
      <c r="Y2923">
        <v>5</v>
      </c>
      <c r="Z2923">
        <v>11</v>
      </c>
      <c r="AA2923" t="s">
        <v>6035</v>
      </c>
      <c r="AB2923">
        <v>118</v>
      </c>
      <c r="AC2923" t="s">
        <v>49</v>
      </c>
      <c r="AD2923">
        <v>0</v>
      </c>
      <c r="AE2923">
        <v>10206606</v>
      </c>
      <c r="AF2923" t="s">
        <v>63</v>
      </c>
      <c r="AG2923" t="s">
        <v>3037</v>
      </c>
    </row>
    <row r="2924" spans="1:33" x14ac:dyDescent="0.35">
      <c r="A2924" s="1">
        <v>44803.417361111111</v>
      </c>
      <c r="B2924">
        <v>3419934</v>
      </c>
      <c r="C2924" t="s">
        <v>4292</v>
      </c>
      <c r="D2924" t="s">
        <v>347</v>
      </c>
      <c r="E2924" s="2">
        <v>39022</v>
      </c>
      <c r="F2924" t="str">
        <f>"9780300128109"</f>
        <v>9780300128109</v>
      </c>
      <c r="G2924" t="str">
        <f>"9780300110708"</f>
        <v>9780300110708</v>
      </c>
      <c r="H2924" t="s">
        <v>1186</v>
      </c>
      <c r="I2924" t="s">
        <v>4293</v>
      </c>
      <c r="J2924" t="s">
        <v>4294</v>
      </c>
      <c r="K2924" t="s">
        <v>44</v>
      </c>
      <c r="N2924" t="s">
        <v>45</v>
      </c>
      <c r="O2924" t="s">
        <v>46</v>
      </c>
      <c r="P2924" t="s">
        <v>45</v>
      </c>
      <c r="Q2924" t="s">
        <v>47</v>
      </c>
      <c r="R2924" t="s">
        <v>44</v>
      </c>
      <c r="S2924">
        <v>0</v>
      </c>
      <c r="W2924" s="3">
        <v>2.5069444444444446E-2</v>
      </c>
      <c r="X2924" t="s">
        <v>6036</v>
      </c>
      <c r="Y2924">
        <v>11</v>
      </c>
      <c r="Z2924">
        <v>0</v>
      </c>
      <c r="AA2924" t="s">
        <v>49</v>
      </c>
      <c r="AB2924">
        <v>0</v>
      </c>
      <c r="AC2924" t="s">
        <v>3077</v>
      </c>
      <c r="AD2924">
        <v>1</v>
      </c>
      <c r="AE2924">
        <v>10169960</v>
      </c>
      <c r="AF2924" t="s">
        <v>50</v>
      </c>
      <c r="AG2924" t="s">
        <v>3037</v>
      </c>
    </row>
    <row r="2925" spans="1:33" x14ac:dyDescent="0.35">
      <c r="A2925" s="1">
        <v>44803.109722222223</v>
      </c>
      <c r="B2925">
        <v>5721790</v>
      </c>
      <c r="C2925" t="s">
        <v>5858</v>
      </c>
      <c r="D2925" t="s">
        <v>141</v>
      </c>
      <c r="E2925" s="2">
        <v>43524</v>
      </c>
      <c r="F2925" t="str">
        <f>"9781838553692"</f>
        <v>9781838553692</v>
      </c>
      <c r="G2925" t="str">
        <f>"9781838551216"</f>
        <v>9781838551216</v>
      </c>
      <c r="H2925" t="s">
        <v>138</v>
      </c>
      <c r="I2925">
        <v>5.133</v>
      </c>
      <c r="J2925" t="s">
        <v>5859</v>
      </c>
      <c r="K2925" t="s">
        <v>55</v>
      </c>
      <c r="N2925" t="s">
        <v>45</v>
      </c>
      <c r="O2925" t="s">
        <v>46</v>
      </c>
      <c r="P2925" t="s">
        <v>177</v>
      </c>
      <c r="Q2925" t="s">
        <v>47</v>
      </c>
      <c r="R2925" t="s">
        <v>55</v>
      </c>
      <c r="S2925">
        <v>0</v>
      </c>
      <c r="W2925" s="3">
        <v>1.5277777777777779E-3</v>
      </c>
      <c r="X2925" t="s">
        <v>6037</v>
      </c>
      <c r="Y2925">
        <v>8</v>
      </c>
      <c r="Z2925">
        <v>0</v>
      </c>
      <c r="AA2925" t="s">
        <v>49</v>
      </c>
      <c r="AB2925">
        <v>0</v>
      </c>
      <c r="AC2925" t="s">
        <v>49</v>
      </c>
      <c r="AD2925">
        <v>0</v>
      </c>
      <c r="AE2925">
        <v>11657204</v>
      </c>
      <c r="AF2925" t="s">
        <v>63</v>
      </c>
      <c r="AG2925" t="s">
        <v>5850</v>
      </c>
    </row>
    <row r="2926" spans="1:33" x14ac:dyDescent="0.35">
      <c r="A2926" s="1">
        <v>44803.061805555553</v>
      </c>
      <c r="B2926">
        <v>5754491</v>
      </c>
      <c r="C2926" t="s">
        <v>6007</v>
      </c>
      <c r="D2926" t="s">
        <v>65</v>
      </c>
      <c r="E2926" s="2">
        <v>43406</v>
      </c>
      <c r="F2926" t="str">
        <f>"9780128124789"</f>
        <v>9780128124789</v>
      </c>
      <c r="G2926" t="str">
        <f>"9780128124772"</f>
        <v>9780128124772</v>
      </c>
      <c r="H2926" t="s">
        <v>138</v>
      </c>
      <c r="I2926">
        <v>5.8</v>
      </c>
      <c r="J2926" t="s">
        <v>6008</v>
      </c>
      <c r="K2926" t="s">
        <v>55</v>
      </c>
      <c r="Q2926" t="s">
        <v>47</v>
      </c>
      <c r="R2926" t="s">
        <v>44</v>
      </c>
      <c r="S2926">
        <v>0</v>
      </c>
      <c r="W2926" s="3">
        <v>4.5138888888888892E-4</v>
      </c>
      <c r="X2926" t="s">
        <v>6038</v>
      </c>
      <c r="Y2926">
        <v>6</v>
      </c>
      <c r="Z2926">
        <v>0</v>
      </c>
      <c r="AA2926" t="s">
        <v>49</v>
      </c>
      <c r="AB2926">
        <v>0</v>
      </c>
      <c r="AC2926" t="s">
        <v>49</v>
      </c>
      <c r="AD2926">
        <v>0</v>
      </c>
      <c r="AE2926">
        <v>-1</v>
      </c>
      <c r="AF2926" t="s">
        <v>63</v>
      </c>
      <c r="AG2926" t="s">
        <v>5850</v>
      </c>
    </row>
    <row r="2927" spans="1:33" x14ac:dyDescent="0.35">
      <c r="A2927" s="1">
        <v>44802.963888888888</v>
      </c>
      <c r="B2927">
        <v>6181553</v>
      </c>
      <c r="C2927" t="s">
        <v>6039</v>
      </c>
      <c r="D2927" t="s">
        <v>614</v>
      </c>
      <c r="E2927" s="2">
        <v>43943</v>
      </c>
      <c r="F2927" t="str">
        <f>"9789811539633"</f>
        <v>9789811539633</v>
      </c>
      <c r="G2927" t="str">
        <f>"9789811539626"</f>
        <v>9789811539626</v>
      </c>
      <c r="H2927" t="s">
        <v>1046</v>
      </c>
      <c r="I2927">
        <v>307.76</v>
      </c>
      <c r="J2927" t="s">
        <v>6001</v>
      </c>
      <c r="K2927" t="s">
        <v>55</v>
      </c>
      <c r="Q2927" t="s">
        <v>47</v>
      </c>
      <c r="R2927" t="s">
        <v>44</v>
      </c>
      <c r="S2927">
        <v>0</v>
      </c>
      <c r="W2927" s="3">
        <v>3.425925925925926E-3</v>
      </c>
      <c r="X2927" t="s">
        <v>6040</v>
      </c>
      <c r="Y2927">
        <v>14</v>
      </c>
      <c r="Z2927">
        <v>0</v>
      </c>
      <c r="AA2927" t="s">
        <v>49</v>
      </c>
      <c r="AB2927">
        <v>0</v>
      </c>
      <c r="AC2927" t="s">
        <v>49</v>
      </c>
      <c r="AD2927">
        <v>0</v>
      </c>
      <c r="AE2927">
        <v>-1</v>
      </c>
      <c r="AF2927" t="s">
        <v>63</v>
      </c>
      <c r="AG2927" t="s">
        <v>6003</v>
      </c>
    </row>
    <row r="2928" spans="1:33" x14ac:dyDescent="0.35">
      <c r="A2928" s="1">
        <v>44802.915277777778</v>
      </c>
      <c r="B2928">
        <v>6181553</v>
      </c>
      <c r="C2928" t="s">
        <v>6039</v>
      </c>
      <c r="D2928" t="s">
        <v>614</v>
      </c>
      <c r="E2928" s="2">
        <v>43943</v>
      </c>
      <c r="F2928" t="str">
        <f>"9789811539633"</f>
        <v>9789811539633</v>
      </c>
      <c r="G2928" t="str">
        <f>"9789811539626"</f>
        <v>9789811539626</v>
      </c>
      <c r="H2928" t="s">
        <v>1046</v>
      </c>
      <c r="I2928">
        <v>307.76</v>
      </c>
      <c r="J2928" t="s">
        <v>6001</v>
      </c>
      <c r="K2928" t="s">
        <v>55</v>
      </c>
      <c r="Q2928" t="s">
        <v>47</v>
      </c>
      <c r="R2928" t="s">
        <v>44</v>
      </c>
      <c r="S2928">
        <v>0</v>
      </c>
      <c r="W2928" s="3">
        <v>9.7222222222222209E-4</v>
      </c>
      <c r="X2928" t="s">
        <v>6041</v>
      </c>
      <c r="Y2928">
        <v>7</v>
      </c>
      <c r="Z2928">
        <v>0</v>
      </c>
      <c r="AA2928" t="s">
        <v>49</v>
      </c>
      <c r="AB2928">
        <v>0</v>
      </c>
      <c r="AC2928" t="s">
        <v>49</v>
      </c>
      <c r="AD2928">
        <v>0</v>
      </c>
      <c r="AE2928">
        <v>-1</v>
      </c>
      <c r="AF2928" t="s">
        <v>63</v>
      </c>
      <c r="AG2928" t="s">
        <v>6003</v>
      </c>
    </row>
    <row r="2929" spans="1:33" x14ac:dyDescent="0.35">
      <c r="A2929" s="1">
        <v>44802.911805555559</v>
      </c>
      <c r="B2929">
        <v>5651754</v>
      </c>
      <c r="C2929" t="s">
        <v>6042</v>
      </c>
      <c r="D2929" t="s">
        <v>105</v>
      </c>
      <c r="E2929" s="2">
        <v>43503</v>
      </c>
      <c r="F2929" t="str">
        <f>"9783030106126"</f>
        <v>9783030106126</v>
      </c>
      <c r="G2929" t="str">
        <f>"9783030106119"</f>
        <v>9783030106119</v>
      </c>
      <c r="H2929" t="s">
        <v>1046</v>
      </c>
      <c r="I2929">
        <v>307.76</v>
      </c>
      <c r="J2929" t="s">
        <v>6043</v>
      </c>
      <c r="K2929" t="s">
        <v>55</v>
      </c>
      <c r="Q2929" t="s">
        <v>47</v>
      </c>
      <c r="R2929" t="s">
        <v>44</v>
      </c>
      <c r="S2929">
        <v>0</v>
      </c>
      <c r="W2929" s="3">
        <v>6.134259259259259E-4</v>
      </c>
      <c r="X2929" t="s">
        <v>6044</v>
      </c>
      <c r="Y2929">
        <v>5</v>
      </c>
      <c r="Z2929">
        <v>0</v>
      </c>
      <c r="AA2929" t="s">
        <v>49</v>
      </c>
      <c r="AB2929">
        <v>0</v>
      </c>
      <c r="AC2929" t="s">
        <v>49</v>
      </c>
      <c r="AD2929">
        <v>0</v>
      </c>
      <c r="AE2929">
        <v>11649973</v>
      </c>
      <c r="AF2929" t="s">
        <v>63</v>
      </c>
      <c r="AG2929" t="s">
        <v>6003</v>
      </c>
    </row>
    <row r="2930" spans="1:33" x14ac:dyDescent="0.35">
      <c r="A2930" s="1">
        <v>44802.863194444442</v>
      </c>
      <c r="B2930">
        <v>4952448</v>
      </c>
      <c r="C2930" t="s">
        <v>119</v>
      </c>
      <c r="D2930" t="s">
        <v>65</v>
      </c>
      <c r="E2930" s="2">
        <v>40957</v>
      </c>
      <c r="F2930" t="str">
        <f>"9781283735179"</f>
        <v>9781283735179</v>
      </c>
      <c r="G2930" t="str">
        <f>""</f>
        <v/>
      </c>
      <c r="H2930" t="s">
        <v>120</v>
      </c>
      <c r="I2930">
        <v>629.13229999999999</v>
      </c>
      <c r="K2930" t="s">
        <v>55</v>
      </c>
      <c r="P2930" t="s">
        <v>97</v>
      </c>
      <c r="Q2930" t="s">
        <v>47</v>
      </c>
      <c r="R2930" t="s">
        <v>44</v>
      </c>
      <c r="S2930">
        <v>0</v>
      </c>
      <c r="W2930" s="3">
        <v>3.9351851851851852E-4</v>
      </c>
      <c r="X2930" t="s">
        <v>6045</v>
      </c>
      <c r="Y2930">
        <v>5</v>
      </c>
      <c r="Z2930">
        <v>0</v>
      </c>
      <c r="AA2930" t="s">
        <v>49</v>
      </c>
      <c r="AB2930">
        <v>0</v>
      </c>
      <c r="AC2930" t="s">
        <v>49</v>
      </c>
      <c r="AD2930">
        <v>0</v>
      </c>
      <c r="AE2930">
        <v>-1</v>
      </c>
      <c r="AF2930" t="s">
        <v>63</v>
      </c>
      <c r="AG2930" t="s">
        <v>3037</v>
      </c>
    </row>
    <row r="2931" spans="1:33" x14ac:dyDescent="0.35">
      <c r="A2931" s="1">
        <v>44802.686111111114</v>
      </c>
      <c r="B2931">
        <v>6865558</v>
      </c>
      <c r="C2931" t="s">
        <v>6046</v>
      </c>
      <c r="D2931" t="s">
        <v>53</v>
      </c>
      <c r="E2931" s="2">
        <v>44670</v>
      </c>
      <c r="F2931" t="str">
        <f>"9780691234939"</f>
        <v>9780691234939</v>
      </c>
      <c r="G2931" t="str">
        <f>"9780691210834"</f>
        <v>9780691210834</v>
      </c>
      <c r="H2931" t="s">
        <v>419</v>
      </c>
      <c r="I2931">
        <v>320.50920000000002</v>
      </c>
      <c r="J2931" t="s">
        <v>6047</v>
      </c>
      <c r="K2931" t="s">
        <v>55</v>
      </c>
      <c r="N2931" t="s">
        <v>79</v>
      </c>
      <c r="P2931" t="s">
        <v>80</v>
      </c>
      <c r="Q2931" t="s">
        <v>47</v>
      </c>
      <c r="R2931" t="s">
        <v>44</v>
      </c>
      <c r="S2931">
        <v>2</v>
      </c>
      <c r="T2931">
        <v>7</v>
      </c>
      <c r="U2931" s="1">
        <v>44802.522222222222</v>
      </c>
      <c r="V2931" s="1">
        <v>44809.522222222222</v>
      </c>
      <c r="W2931" s="3">
        <v>1.5624999999999999E-3</v>
      </c>
      <c r="X2931" t="s">
        <v>6048</v>
      </c>
      <c r="Y2931">
        <v>8</v>
      </c>
      <c r="Z2931">
        <v>1</v>
      </c>
      <c r="AA2931" t="s">
        <v>6049</v>
      </c>
      <c r="AB2931">
        <v>9</v>
      </c>
      <c r="AC2931" t="s">
        <v>752</v>
      </c>
      <c r="AD2931">
        <v>1</v>
      </c>
      <c r="AE2931">
        <v>-1</v>
      </c>
      <c r="AF2931" t="s">
        <v>63</v>
      </c>
      <c r="AG2931" t="s">
        <v>6050</v>
      </c>
    </row>
    <row r="2932" spans="1:33" x14ac:dyDescent="0.35">
      <c r="A2932" s="1">
        <v>44802.680555555555</v>
      </c>
      <c r="B2932">
        <v>6865558</v>
      </c>
      <c r="C2932" t="s">
        <v>6046</v>
      </c>
      <c r="D2932" t="s">
        <v>53</v>
      </c>
      <c r="E2932" s="2">
        <v>44670</v>
      </c>
      <c r="F2932" t="str">
        <f>"9780691234939"</f>
        <v>9780691234939</v>
      </c>
      <c r="G2932" t="str">
        <f>"9780691210834"</f>
        <v>9780691210834</v>
      </c>
      <c r="H2932" t="s">
        <v>419</v>
      </c>
      <c r="I2932">
        <v>320.50920000000002</v>
      </c>
      <c r="J2932" t="s">
        <v>6047</v>
      </c>
      <c r="K2932" t="s">
        <v>55</v>
      </c>
      <c r="N2932" t="s">
        <v>79</v>
      </c>
      <c r="P2932" t="s">
        <v>80</v>
      </c>
      <c r="Q2932" t="s">
        <v>47</v>
      </c>
      <c r="R2932" t="s">
        <v>44</v>
      </c>
      <c r="S2932">
        <v>0</v>
      </c>
      <c r="W2932" s="3">
        <v>6.5972222222222213E-4</v>
      </c>
      <c r="X2932" t="s">
        <v>6051</v>
      </c>
      <c r="Y2932">
        <v>8</v>
      </c>
      <c r="Z2932">
        <v>0</v>
      </c>
      <c r="AA2932" t="s">
        <v>49</v>
      </c>
      <c r="AB2932">
        <v>0</v>
      </c>
      <c r="AC2932" t="s">
        <v>49</v>
      </c>
      <c r="AD2932">
        <v>0</v>
      </c>
      <c r="AE2932">
        <v>-1</v>
      </c>
      <c r="AF2932" t="s">
        <v>50</v>
      </c>
      <c r="AG2932" t="s">
        <v>6050</v>
      </c>
    </row>
    <row r="2933" spans="1:33" x14ac:dyDescent="0.35">
      <c r="A2933" s="1">
        <v>44802.679861111108</v>
      </c>
      <c r="B2933">
        <v>807306</v>
      </c>
      <c r="C2933" t="s">
        <v>6052</v>
      </c>
      <c r="D2933" t="s">
        <v>502</v>
      </c>
      <c r="E2933" s="2">
        <v>40777</v>
      </c>
      <c r="F2933" t="str">
        <f>"9781139185714"</f>
        <v>9781139185714</v>
      </c>
      <c r="G2933" t="str">
        <f>"9780521897976"</f>
        <v>9780521897976</v>
      </c>
      <c r="H2933" t="s">
        <v>6053</v>
      </c>
      <c r="I2933" t="s">
        <v>6054</v>
      </c>
      <c r="J2933" t="s">
        <v>6055</v>
      </c>
      <c r="K2933" t="s">
        <v>44</v>
      </c>
      <c r="N2933" t="s">
        <v>45</v>
      </c>
      <c r="O2933" t="s">
        <v>46</v>
      </c>
      <c r="P2933" t="s">
        <v>45</v>
      </c>
      <c r="Q2933" t="s">
        <v>47</v>
      </c>
      <c r="R2933" t="s">
        <v>44</v>
      </c>
      <c r="S2933">
        <v>0</v>
      </c>
      <c r="W2933" s="3">
        <v>6.9444444444444444E-5</v>
      </c>
      <c r="X2933" t="s">
        <v>121</v>
      </c>
      <c r="Y2933">
        <v>1</v>
      </c>
      <c r="Z2933">
        <v>0</v>
      </c>
      <c r="AA2933" t="s">
        <v>49</v>
      </c>
      <c r="AB2933">
        <v>0</v>
      </c>
      <c r="AC2933" t="s">
        <v>49</v>
      </c>
      <c r="AD2933">
        <v>0</v>
      </c>
      <c r="AE2933">
        <v>10520987</v>
      </c>
      <c r="AF2933" t="s">
        <v>50</v>
      </c>
      <c r="AG2933" t="s">
        <v>6003</v>
      </c>
    </row>
    <row r="2934" spans="1:33" x14ac:dyDescent="0.35">
      <c r="A2934" s="1">
        <v>44802.670138888891</v>
      </c>
      <c r="B2934">
        <v>1655528</v>
      </c>
      <c r="C2934" t="s">
        <v>6056</v>
      </c>
      <c r="D2934" t="s">
        <v>76</v>
      </c>
      <c r="E2934" s="2">
        <v>41895</v>
      </c>
      <c r="F2934" t="str">
        <f>"9781466594838"</f>
        <v>9781466594838</v>
      </c>
      <c r="G2934" t="str">
        <f>"9781466594821"</f>
        <v>9781466594821</v>
      </c>
      <c r="H2934" t="s">
        <v>1040</v>
      </c>
      <c r="I2934" t="s">
        <v>6057</v>
      </c>
      <c r="J2934" t="s">
        <v>6058</v>
      </c>
      <c r="K2934" t="s">
        <v>44</v>
      </c>
      <c r="N2934" t="s">
        <v>45</v>
      </c>
      <c r="O2934" t="s">
        <v>46</v>
      </c>
      <c r="P2934" t="s">
        <v>45</v>
      </c>
      <c r="Q2934" t="s">
        <v>47</v>
      </c>
      <c r="R2934" t="s">
        <v>44</v>
      </c>
      <c r="S2934">
        <v>0</v>
      </c>
      <c r="W2934" s="3">
        <v>1.4814814814814814E-3</v>
      </c>
      <c r="X2934" t="s">
        <v>196</v>
      </c>
      <c r="Y2934">
        <v>2</v>
      </c>
      <c r="Z2934">
        <v>0</v>
      </c>
      <c r="AA2934" t="s">
        <v>49</v>
      </c>
      <c r="AB2934">
        <v>0</v>
      </c>
      <c r="AC2934" t="s">
        <v>49</v>
      </c>
      <c r="AD2934">
        <v>0</v>
      </c>
      <c r="AE2934">
        <v>10925546</v>
      </c>
      <c r="AF2934" t="s">
        <v>63</v>
      </c>
      <c r="AG2934" t="s">
        <v>2642</v>
      </c>
    </row>
    <row r="2935" spans="1:33" x14ac:dyDescent="0.35">
      <c r="A2935" s="1">
        <v>44802.587500000001</v>
      </c>
      <c r="B2935">
        <v>1539251</v>
      </c>
      <c r="C2935" t="s">
        <v>6059</v>
      </c>
      <c r="D2935" t="s">
        <v>76</v>
      </c>
      <c r="E2935" s="2">
        <v>31837</v>
      </c>
      <c r="F2935" t="str">
        <f>"9781136691829"</f>
        <v>9781136691829</v>
      </c>
      <c r="G2935" t="str">
        <f>"9780898596472"</f>
        <v>9780898596472</v>
      </c>
      <c r="H2935" t="s">
        <v>2316</v>
      </c>
      <c r="I2935" t="s">
        <v>6060</v>
      </c>
      <c r="J2935" t="s">
        <v>6061</v>
      </c>
      <c r="K2935" t="s">
        <v>55</v>
      </c>
      <c r="N2935" t="s">
        <v>79</v>
      </c>
      <c r="P2935" t="s">
        <v>80</v>
      </c>
      <c r="Q2935" t="s">
        <v>47</v>
      </c>
      <c r="R2935" t="s">
        <v>44</v>
      </c>
      <c r="S2935">
        <v>1</v>
      </c>
      <c r="T2935">
        <v>7</v>
      </c>
      <c r="U2935" s="1">
        <v>44802.587500000001</v>
      </c>
      <c r="V2935" s="1">
        <v>44809.587500000001</v>
      </c>
      <c r="W2935" s="3">
        <v>0</v>
      </c>
      <c r="X2935" t="s">
        <v>49</v>
      </c>
      <c r="Y2935">
        <v>0</v>
      </c>
      <c r="Z2935">
        <v>0</v>
      </c>
      <c r="AA2935" t="s">
        <v>49</v>
      </c>
      <c r="AB2935">
        <v>0</v>
      </c>
      <c r="AC2935" t="s">
        <v>49</v>
      </c>
      <c r="AD2935">
        <v>0</v>
      </c>
      <c r="AE2935">
        <v>10797511</v>
      </c>
      <c r="AF2935" t="s">
        <v>63</v>
      </c>
      <c r="AG2935" t="s">
        <v>6062</v>
      </c>
    </row>
    <row r="2936" spans="1:33" x14ac:dyDescent="0.35">
      <c r="A2936" s="1">
        <v>44802.546527777777</v>
      </c>
      <c r="B2936">
        <v>7018078</v>
      </c>
      <c r="C2936" t="s">
        <v>5099</v>
      </c>
      <c r="D2936" t="s">
        <v>76</v>
      </c>
      <c r="E2936" s="2">
        <v>44774</v>
      </c>
      <c r="F2936" t="str">
        <f>"9781000636284"</f>
        <v>9781000636284</v>
      </c>
      <c r="G2936" t="str">
        <f>"9780367820695"</f>
        <v>9780367820695</v>
      </c>
      <c r="H2936" t="s">
        <v>1046</v>
      </c>
      <c r="I2936">
        <v>302.23</v>
      </c>
      <c r="J2936" t="s">
        <v>5100</v>
      </c>
      <c r="K2936" t="s">
        <v>55</v>
      </c>
      <c r="N2936" t="s">
        <v>79</v>
      </c>
      <c r="P2936" t="s">
        <v>80</v>
      </c>
      <c r="Q2936" t="s">
        <v>47</v>
      </c>
      <c r="R2936" t="s">
        <v>44</v>
      </c>
      <c r="S2936">
        <v>1</v>
      </c>
      <c r="T2936">
        <v>7</v>
      </c>
      <c r="U2936" s="1">
        <v>44802.472916666666</v>
      </c>
      <c r="V2936" s="1">
        <v>44809.472916666666</v>
      </c>
      <c r="W2936" s="3">
        <v>0</v>
      </c>
      <c r="X2936" t="s">
        <v>49</v>
      </c>
      <c r="Y2936">
        <v>0</v>
      </c>
      <c r="Z2936">
        <v>0</v>
      </c>
      <c r="AA2936" t="s">
        <v>49</v>
      </c>
      <c r="AB2936">
        <v>0</v>
      </c>
      <c r="AC2936" t="s">
        <v>49</v>
      </c>
      <c r="AD2936">
        <v>0</v>
      </c>
      <c r="AE2936">
        <v>-1</v>
      </c>
      <c r="AF2936" t="s">
        <v>63</v>
      </c>
      <c r="AG2936" t="s">
        <v>6062</v>
      </c>
    </row>
    <row r="2937" spans="1:33" x14ac:dyDescent="0.35">
      <c r="A2937" s="1">
        <v>44802.532638888886</v>
      </c>
      <c r="B2937">
        <v>7075855</v>
      </c>
      <c r="C2937" t="s">
        <v>4453</v>
      </c>
      <c r="D2937" t="s">
        <v>105</v>
      </c>
      <c r="E2937" s="2">
        <v>44792</v>
      </c>
      <c r="F2937" t="str">
        <f>"9783030992613"</f>
        <v>9783030992613</v>
      </c>
      <c r="G2937" t="str">
        <f>"9783030992606"</f>
        <v>9783030992606</v>
      </c>
      <c r="H2937" t="s">
        <v>171</v>
      </c>
      <c r="I2937">
        <v>428.00709999999998</v>
      </c>
      <c r="J2937" t="s">
        <v>4454</v>
      </c>
      <c r="K2937" t="s">
        <v>55</v>
      </c>
      <c r="N2937" t="s">
        <v>79</v>
      </c>
      <c r="P2937" t="s">
        <v>80</v>
      </c>
      <c r="Q2937" t="s">
        <v>47</v>
      </c>
      <c r="R2937" t="s">
        <v>44</v>
      </c>
      <c r="S2937">
        <v>0</v>
      </c>
      <c r="W2937" s="3">
        <v>0</v>
      </c>
      <c r="X2937" t="s">
        <v>49</v>
      </c>
      <c r="Y2937">
        <v>0</v>
      </c>
      <c r="Z2937">
        <v>3</v>
      </c>
      <c r="AA2937" t="s">
        <v>6063</v>
      </c>
      <c r="AB2937">
        <v>44</v>
      </c>
      <c r="AC2937" t="s">
        <v>49</v>
      </c>
      <c r="AD2937">
        <v>0</v>
      </c>
      <c r="AE2937">
        <v>-1</v>
      </c>
      <c r="AF2937" t="s">
        <v>50</v>
      </c>
      <c r="AG2937" t="s">
        <v>3037</v>
      </c>
    </row>
    <row r="2938" spans="1:33" x14ac:dyDescent="0.35">
      <c r="A2938" s="1">
        <v>44802.522222222222</v>
      </c>
      <c r="B2938">
        <v>6865558</v>
      </c>
      <c r="C2938" t="s">
        <v>6046</v>
      </c>
      <c r="D2938" t="s">
        <v>53</v>
      </c>
      <c r="E2938" s="2">
        <v>44670</v>
      </c>
      <c r="F2938" t="str">
        <f>"9780691234939"</f>
        <v>9780691234939</v>
      </c>
      <c r="G2938" t="str">
        <f>"9780691210834"</f>
        <v>9780691210834</v>
      </c>
      <c r="H2938" t="s">
        <v>419</v>
      </c>
      <c r="I2938">
        <v>320.50920000000002</v>
      </c>
      <c r="J2938" t="s">
        <v>6047</v>
      </c>
      <c r="K2938" t="s">
        <v>55</v>
      </c>
      <c r="N2938" t="s">
        <v>79</v>
      </c>
      <c r="P2938" t="s">
        <v>80</v>
      </c>
      <c r="Q2938" t="s">
        <v>47</v>
      </c>
      <c r="R2938" t="s">
        <v>44</v>
      </c>
      <c r="S2938">
        <v>1</v>
      </c>
      <c r="T2938">
        <v>7</v>
      </c>
      <c r="U2938" s="1">
        <v>44802.522222222222</v>
      </c>
      <c r="V2938" s="1">
        <v>44809.522222222222</v>
      </c>
      <c r="W2938" s="3">
        <v>0</v>
      </c>
      <c r="X2938" t="s">
        <v>49</v>
      </c>
      <c r="Y2938">
        <v>0</v>
      </c>
      <c r="Z2938">
        <v>0</v>
      </c>
      <c r="AA2938" t="s">
        <v>49</v>
      </c>
      <c r="AB2938">
        <v>0</v>
      </c>
      <c r="AC2938" t="s">
        <v>49</v>
      </c>
      <c r="AD2938">
        <v>0</v>
      </c>
      <c r="AE2938">
        <v>-1</v>
      </c>
      <c r="AF2938" t="s">
        <v>63</v>
      </c>
      <c r="AG2938" t="s">
        <v>6050</v>
      </c>
    </row>
    <row r="2939" spans="1:33" x14ac:dyDescent="0.35">
      <c r="A2939" s="1">
        <v>44802.51458333333</v>
      </c>
      <c r="B2939">
        <v>6373571</v>
      </c>
      <c r="C2939" t="s">
        <v>6064</v>
      </c>
      <c r="D2939" t="s">
        <v>497</v>
      </c>
      <c r="E2939" s="2">
        <v>44175</v>
      </c>
      <c r="F2939" t="str">
        <f>"9781350038189"</f>
        <v>9781350038189</v>
      </c>
      <c r="G2939" t="str">
        <f>"9781350038172"</f>
        <v>9781350038172</v>
      </c>
      <c r="H2939" t="s">
        <v>5837</v>
      </c>
      <c r="I2939" t="s">
        <v>6065</v>
      </c>
      <c r="J2939" t="s">
        <v>6066</v>
      </c>
      <c r="K2939" t="s">
        <v>55</v>
      </c>
      <c r="Q2939" t="s">
        <v>47</v>
      </c>
      <c r="R2939" t="s">
        <v>44</v>
      </c>
      <c r="S2939">
        <v>0</v>
      </c>
      <c r="W2939" s="3">
        <v>0</v>
      </c>
      <c r="X2939" t="s">
        <v>49</v>
      </c>
      <c r="Y2939">
        <v>0</v>
      </c>
      <c r="Z2939">
        <v>0</v>
      </c>
      <c r="AA2939" t="s">
        <v>49</v>
      </c>
      <c r="AB2939">
        <v>0</v>
      </c>
      <c r="AC2939" t="s">
        <v>49</v>
      </c>
      <c r="AD2939">
        <v>0</v>
      </c>
      <c r="AE2939">
        <v>-1</v>
      </c>
      <c r="AF2939" t="s">
        <v>63</v>
      </c>
      <c r="AG2939" t="s">
        <v>6062</v>
      </c>
    </row>
    <row r="2940" spans="1:33" x14ac:dyDescent="0.35">
      <c r="A2940" s="1">
        <v>44802.513888888891</v>
      </c>
      <c r="B2940">
        <v>6373570</v>
      </c>
      <c r="C2940" t="s">
        <v>6064</v>
      </c>
      <c r="D2940" t="s">
        <v>497</v>
      </c>
      <c r="E2940" s="2">
        <v>44175</v>
      </c>
      <c r="F2940" t="str">
        <f>"9781350038196"</f>
        <v>9781350038196</v>
      </c>
      <c r="G2940" t="str">
        <f>""</f>
        <v/>
      </c>
      <c r="H2940" t="s">
        <v>90</v>
      </c>
      <c r="I2940">
        <v>378.17344678000001</v>
      </c>
      <c r="J2940" t="s">
        <v>6067</v>
      </c>
      <c r="K2940" t="s">
        <v>55</v>
      </c>
      <c r="Q2940" t="s">
        <v>47</v>
      </c>
      <c r="R2940" t="s">
        <v>44</v>
      </c>
      <c r="S2940">
        <v>0</v>
      </c>
      <c r="W2940" s="3">
        <v>0</v>
      </c>
      <c r="X2940" t="s">
        <v>49</v>
      </c>
      <c r="Y2940">
        <v>0</v>
      </c>
      <c r="Z2940">
        <v>0</v>
      </c>
      <c r="AA2940" t="s">
        <v>49</v>
      </c>
      <c r="AB2940">
        <v>0</v>
      </c>
      <c r="AC2940" t="s">
        <v>49</v>
      </c>
      <c r="AD2940">
        <v>0</v>
      </c>
      <c r="AE2940">
        <v>-1</v>
      </c>
      <c r="AF2940" t="s">
        <v>63</v>
      </c>
      <c r="AG2940" t="s">
        <v>6062</v>
      </c>
    </row>
    <row r="2941" spans="1:33" x14ac:dyDescent="0.35">
      <c r="A2941" s="1">
        <v>44802.509027777778</v>
      </c>
      <c r="B2941">
        <v>2054764</v>
      </c>
      <c r="C2941" t="s">
        <v>6068</v>
      </c>
      <c r="D2941" t="s">
        <v>6069</v>
      </c>
      <c r="E2941" s="2">
        <v>40298</v>
      </c>
      <c r="F2941" t="str">
        <f>"9781611172348"</f>
        <v>9781611172348</v>
      </c>
      <c r="G2941" t="str">
        <f>"9781570038891"</f>
        <v>9781570038891</v>
      </c>
      <c r="H2941" t="s">
        <v>2316</v>
      </c>
      <c r="I2941" t="s">
        <v>6070</v>
      </c>
      <c r="J2941" t="s">
        <v>6071</v>
      </c>
      <c r="K2941" t="s">
        <v>44</v>
      </c>
      <c r="N2941" t="s">
        <v>45</v>
      </c>
      <c r="O2941" t="s">
        <v>46</v>
      </c>
      <c r="P2941" t="s">
        <v>45</v>
      </c>
      <c r="Q2941" t="s">
        <v>47</v>
      </c>
      <c r="R2941" t="s">
        <v>44</v>
      </c>
      <c r="S2941">
        <v>1</v>
      </c>
      <c r="W2941" s="3">
        <v>0</v>
      </c>
      <c r="X2941" t="s">
        <v>49</v>
      </c>
      <c r="Y2941">
        <v>0</v>
      </c>
      <c r="Z2941">
        <v>0</v>
      </c>
      <c r="AA2941" t="s">
        <v>49</v>
      </c>
      <c r="AB2941">
        <v>0</v>
      </c>
      <c r="AC2941" t="s">
        <v>49</v>
      </c>
      <c r="AD2941">
        <v>0</v>
      </c>
      <c r="AE2941">
        <v>10635890</v>
      </c>
      <c r="AF2941" t="s">
        <v>63</v>
      </c>
      <c r="AG2941" t="s">
        <v>6062</v>
      </c>
    </row>
    <row r="2942" spans="1:33" x14ac:dyDescent="0.35">
      <c r="A2942" s="1">
        <v>44802.50277777778</v>
      </c>
      <c r="B2942">
        <v>6644260</v>
      </c>
      <c r="C2942" t="s">
        <v>6072</v>
      </c>
      <c r="D2942" t="s">
        <v>6073</v>
      </c>
      <c r="E2942" s="2">
        <v>44359</v>
      </c>
      <c r="F2942" t="str">
        <f>"9781643172521"</f>
        <v>9781643172521</v>
      </c>
      <c r="G2942" t="str">
        <f>"9781643172514"</f>
        <v>9781643172514</v>
      </c>
      <c r="H2942" t="s">
        <v>6074</v>
      </c>
      <c r="K2942" t="s">
        <v>55</v>
      </c>
      <c r="N2942" t="s">
        <v>79</v>
      </c>
      <c r="P2942" t="s">
        <v>97</v>
      </c>
      <c r="Q2942" t="s">
        <v>47</v>
      </c>
      <c r="R2942" t="s">
        <v>44</v>
      </c>
      <c r="S2942">
        <v>0</v>
      </c>
      <c r="W2942" s="3">
        <v>4.9768518518518521E-4</v>
      </c>
      <c r="X2942" t="s">
        <v>6075</v>
      </c>
      <c r="Y2942">
        <v>7</v>
      </c>
      <c r="Z2942">
        <v>5</v>
      </c>
      <c r="AA2942" t="s">
        <v>6076</v>
      </c>
      <c r="AB2942">
        <v>53</v>
      </c>
      <c r="AC2942" t="s">
        <v>49</v>
      </c>
      <c r="AD2942">
        <v>0</v>
      </c>
      <c r="AE2942">
        <v>-1</v>
      </c>
      <c r="AF2942" t="s">
        <v>63</v>
      </c>
      <c r="AG2942" t="s">
        <v>6062</v>
      </c>
    </row>
    <row r="2943" spans="1:33" x14ac:dyDescent="0.35">
      <c r="A2943" s="1">
        <v>44802.500694444447</v>
      </c>
      <c r="B2943">
        <v>3440277</v>
      </c>
      <c r="C2943" t="s">
        <v>6077</v>
      </c>
      <c r="D2943" t="s">
        <v>6073</v>
      </c>
      <c r="E2943" s="2">
        <v>41883</v>
      </c>
      <c r="F2943" t="str">
        <f>"9781602354319"</f>
        <v>9781602354319</v>
      </c>
      <c r="G2943" t="str">
        <f>"9781602354296"</f>
        <v>9781602354296</v>
      </c>
      <c r="H2943" t="s">
        <v>3476</v>
      </c>
      <c r="I2943" t="s">
        <v>6078</v>
      </c>
      <c r="J2943" t="s">
        <v>6079</v>
      </c>
      <c r="K2943" t="s">
        <v>55</v>
      </c>
      <c r="N2943" t="s">
        <v>79</v>
      </c>
      <c r="P2943" t="s">
        <v>97</v>
      </c>
      <c r="Q2943" t="s">
        <v>47</v>
      </c>
      <c r="R2943" t="s">
        <v>44</v>
      </c>
      <c r="S2943">
        <v>0</v>
      </c>
      <c r="W2943" s="3">
        <v>1.9560185185185184E-3</v>
      </c>
      <c r="X2943" t="s">
        <v>6080</v>
      </c>
      <c r="Y2943">
        <v>8</v>
      </c>
      <c r="Z2943">
        <v>0</v>
      </c>
      <c r="AA2943" t="s">
        <v>49</v>
      </c>
      <c r="AB2943">
        <v>0</v>
      </c>
      <c r="AC2943" t="s">
        <v>49</v>
      </c>
      <c r="AD2943">
        <v>0</v>
      </c>
      <c r="AE2943">
        <v>11069410</v>
      </c>
      <c r="AF2943" t="s">
        <v>63</v>
      </c>
      <c r="AG2943" t="s">
        <v>6062</v>
      </c>
    </row>
    <row r="2944" spans="1:33" x14ac:dyDescent="0.35">
      <c r="A2944" s="1">
        <v>44802.493055555555</v>
      </c>
      <c r="B2944">
        <v>6644252</v>
      </c>
      <c r="C2944" t="s">
        <v>6081</v>
      </c>
      <c r="D2944" t="s">
        <v>6073</v>
      </c>
      <c r="E2944" s="2">
        <v>44327</v>
      </c>
      <c r="F2944" t="str">
        <f>"9781643172484"</f>
        <v>9781643172484</v>
      </c>
      <c r="G2944" t="str">
        <f>"9781643172460"</f>
        <v>9781643172460</v>
      </c>
      <c r="H2944" t="s">
        <v>3476</v>
      </c>
      <c r="I2944" t="s">
        <v>6082</v>
      </c>
      <c r="J2944" t="s">
        <v>6083</v>
      </c>
      <c r="K2944" t="s">
        <v>55</v>
      </c>
      <c r="N2944" t="s">
        <v>79</v>
      </c>
      <c r="P2944" t="s">
        <v>97</v>
      </c>
      <c r="Q2944" t="s">
        <v>47</v>
      </c>
      <c r="R2944" t="s">
        <v>44</v>
      </c>
      <c r="S2944">
        <v>0</v>
      </c>
      <c r="W2944" s="3">
        <v>1.0300925925925926E-3</v>
      </c>
      <c r="X2944" t="s">
        <v>6084</v>
      </c>
      <c r="Y2944">
        <v>9</v>
      </c>
      <c r="Z2944">
        <v>5</v>
      </c>
      <c r="AA2944" t="s">
        <v>6085</v>
      </c>
      <c r="AB2944">
        <v>139</v>
      </c>
      <c r="AC2944" t="s">
        <v>49</v>
      </c>
      <c r="AD2944">
        <v>0</v>
      </c>
      <c r="AE2944">
        <v>-1</v>
      </c>
      <c r="AF2944" t="s">
        <v>63</v>
      </c>
      <c r="AG2944" t="s">
        <v>6062</v>
      </c>
    </row>
    <row r="2945" spans="1:33" x14ac:dyDescent="0.35">
      <c r="A2945" s="1">
        <v>44802.481944444444</v>
      </c>
      <c r="B2945">
        <v>227481</v>
      </c>
      <c r="C2945" t="s">
        <v>6086</v>
      </c>
      <c r="D2945" t="s">
        <v>76</v>
      </c>
      <c r="E2945" s="2">
        <v>37347</v>
      </c>
      <c r="F2945" t="str">
        <f>"9781410612182"</f>
        <v>9781410612182</v>
      </c>
      <c r="G2945" t="str">
        <f>"9780805839425"</f>
        <v>9780805839425</v>
      </c>
      <c r="H2945" t="s">
        <v>90</v>
      </c>
      <c r="I2945" t="s">
        <v>6087</v>
      </c>
      <c r="J2945" t="s">
        <v>6088</v>
      </c>
      <c r="K2945" t="s">
        <v>44</v>
      </c>
      <c r="N2945" t="s">
        <v>45</v>
      </c>
      <c r="O2945" t="s">
        <v>46</v>
      </c>
      <c r="P2945" t="s">
        <v>45</v>
      </c>
      <c r="Q2945" t="s">
        <v>47</v>
      </c>
      <c r="R2945" t="s">
        <v>44</v>
      </c>
      <c r="S2945">
        <v>1</v>
      </c>
      <c r="W2945" s="3">
        <v>0</v>
      </c>
      <c r="X2945" t="s">
        <v>49</v>
      </c>
      <c r="Y2945">
        <v>0</v>
      </c>
      <c r="Z2945">
        <v>0</v>
      </c>
      <c r="AA2945" t="s">
        <v>49</v>
      </c>
      <c r="AB2945">
        <v>0</v>
      </c>
      <c r="AC2945" t="s">
        <v>49</v>
      </c>
      <c r="AD2945">
        <v>0</v>
      </c>
      <c r="AE2945">
        <v>10110065</v>
      </c>
      <c r="AF2945" t="s">
        <v>63</v>
      </c>
      <c r="AG2945" t="s">
        <v>6062</v>
      </c>
    </row>
    <row r="2946" spans="1:33" x14ac:dyDescent="0.35">
      <c r="A2946" s="1">
        <v>44802.479861111111</v>
      </c>
      <c r="B2946">
        <v>5709854</v>
      </c>
      <c r="C2946" t="s">
        <v>6089</v>
      </c>
      <c r="D2946" t="s">
        <v>6090</v>
      </c>
      <c r="E2946" s="2">
        <v>43543</v>
      </c>
      <c r="F2946" t="str">
        <f>"9780822986737"</f>
        <v>9780822986737</v>
      </c>
      <c r="G2946" t="str">
        <f>"9780822965794"</f>
        <v>9780822965794</v>
      </c>
      <c r="H2946" t="s">
        <v>171</v>
      </c>
      <c r="J2946" t="s">
        <v>6091</v>
      </c>
      <c r="K2946" t="s">
        <v>55</v>
      </c>
      <c r="N2946" t="s">
        <v>79</v>
      </c>
      <c r="P2946" t="s">
        <v>80</v>
      </c>
      <c r="Q2946" t="s">
        <v>47</v>
      </c>
      <c r="R2946" t="s">
        <v>44</v>
      </c>
      <c r="S2946">
        <v>1</v>
      </c>
      <c r="T2946">
        <v>7</v>
      </c>
      <c r="U2946" s="1">
        <v>44802.479861111111</v>
      </c>
      <c r="V2946" s="1">
        <v>44809.479861111111</v>
      </c>
      <c r="W2946" s="3">
        <v>1.1574074074074073E-5</v>
      </c>
      <c r="X2946" t="s">
        <v>49</v>
      </c>
      <c r="Y2946">
        <v>0</v>
      </c>
      <c r="Z2946">
        <v>0</v>
      </c>
      <c r="AA2946" t="s">
        <v>49</v>
      </c>
      <c r="AB2946">
        <v>0</v>
      </c>
      <c r="AC2946" t="s">
        <v>49</v>
      </c>
      <c r="AD2946">
        <v>0</v>
      </c>
      <c r="AE2946">
        <v>-1</v>
      </c>
      <c r="AF2946" t="s">
        <v>63</v>
      </c>
      <c r="AG2946" t="s">
        <v>6062</v>
      </c>
    </row>
    <row r="2947" spans="1:33" x14ac:dyDescent="0.35">
      <c r="A2947" s="1">
        <v>44802.479861111111</v>
      </c>
      <c r="B2947">
        <v>3442943</v>
      </c>
      <c r="C2947" t="s">
        <v>6092</v>
      </c>
      <c r="D2947" t="s">
        <v>6020</v>
      </c>
      <c r="E2947" s="2">
        <v>42095</v>
      </c>
      <c r="F2947" t="str">
        <f>"9780874219784"</f>
        <v>9780874219784</v>
      </c>
      <c r="G2947" t="str">
        <f>"9780874219777"</f>
        <v>9780874219777</v>
      </c>
      <c r="H2947" t="s">
        <v>1046</v>
      </c>
      <c r="I2947" t="s">
        <v>6093</v>
      </c>
      <c r="J2947" t="s">
        <v>6094</v>
      </c>
      <c r="K2947" t="s">
        <v>44</v>
      </c>
      <c r="N2947" t="s">
        <v>45</v>
      </c>
      <c r="O2947" t="s">
        <v>46</v>
      </c>
      <c r="P2947" t="s">
        <v>45</v>
      </c>
      <c r="Q2947" t="s">
        <v>47</v>
      </c>
      <c r="R2947" t="s">
        <v>44</v>
      </c>
      <c r="S2947">
        <v>1</v>
      </c>
      <c r="W2947" s="3">
        <v>1.1574074074074073E-5</v>
      </c>
      <c r="X2947" t="s">
        <v>49</v>
      </c>
      <c r="Y2947">
        <v>0</v>
      </c>
      <c r="Z2947">
        <v>0</v>
      </c>
      <c r="AA2947" t="s">
        <v>49</v>
      </c>
      <c r="AB2947">
        <v>0</v>
      </c>
      <c r="AC2947" t="s">
        <v>49</v>
      </c>
      <c r="AD2947">
        <v>0</v>
      </c>
      <c r="AE2947">
        <v>11023098</v>
      </c>
      <c r="AF2947" t="s">
        <v>63</v>
      </c>
      <c r="AG2947" t="s">
        <v>6062</v>
      </c>
    </row>
    <row r="2948" spans="1:33" x14ac:dyDescent="0.35">
      <c r="A2948" s="1">
        <v>44802.479166666664</v>
      </c>
      <c r="B2948">
        <v>4732902</v>
      </c>
      <c r="C2948" t="s">
        <v>6095</v>
      </c>
      <c r="D2948" t="s">
        <v>502</v>
      </c>
      <c r="E2948" s="2">
        <v>42681</v>
      </c>
      <c r="F2948" t="str">
        <f>"9781316747452"</f>
        <v>9781316747452</v>
      </c>
      <c r="G2948" t="str">
        <f>"9781107162891"</f>
        <v>9781107162891</v>
      </c>
      <c r="H2948" t="s">
        <v>6096</v>
      </c>
      <c r="I2948">
        <v>418.40190000000001</v>
      </c>
      <c r="J2948" t="s">
        <v>6097</v>
      </c>
      <c r="K2948" t="s">
        <v>55</v>
      </c>
      <c r="N2948" t="s">
        <v>79</v>
      </c>
      <c r="P2948" t="s">
        <v>1169</v>
      </c>
      <c r="Q2948" t="s">
        <v>47</v>
      </c>
      <c r="R2948" t="s">
        <v>44</v>
      </c>
      <c r="S2948">
        <v>1</v>
      </c>
      <c r="T2948">
        <v>7</v>
      </c>
      <c r="U2948" s="1">
        <v>44802.479166666664</v>
      </c>
      <c r="V2948" s="1">
        <v>44809.479166666664</v>
      </c>
      <c r="W2948" s="3">
        <v>1.1574074074074073E-5</v>
      </c>
      <c r="X2948" t="s">
        <v>49</v>
      </c>
      <c r="Y2948">
        <v>0</v>
      </c>
      <c r="Z2948">
        <v>0</v>
      </c>
      <c r="AA2948" t="s">
        <v>49</v>
      </c>
      <c r="AB2948">
        <v>0</v>
      </c>
      <c r="AC2948" t="s">
        <v>49</v>
      </c>
      <c r="AD2948">
        <v>0</v>
      </c>
      <c r="AE2948">
        <v>11295976</v>
      </c>
      <c r="AF2948" t="s">
        <v>63</v>
      </c>
      <c r="AG2948" t="s">
        <v>6062</v>
      </c>
    </row>
    <row r="2949" spans="1:33" x14ac:dyDescent="0.35">
      <c r="A2949" s="1">
        <v>44802.478472222225</v>
      </c>
      <c r="B2949">
        <v>6040220</v>
      </c>
      <c r="C2949" t="s">
        <v>6098</v>
      </c>
      <c r="D2949" t="s">
        <v>76</v>
      </c>
      <c r="E2949" s="2">
        <v>43889</v>
      </c>
      <c r="F2949" t="str">
        <f>"9780429591891"</f>
        <v>9780429591891</v>
      </c>
      <c r="G2949" t="str">
        <f>"9780367184568"</f>
        <v>9780367184568</v>
      </c>
      <c r="H2949" t="s">
        <v>90</v>
      </c>
      <c r="I2949">
        <v>370.15230000000003</v>
      </c>
      <c r="J2949" t="s">
        <v>6099</v>
      </c>
      <c r="K2949" t="s">
        <v>55</v>
      </c>
      <c r="N2949" t="s">
        <v>79</v>
      </c>
      <c r="P2949" t="s">
        <v>80</v>
      </c>
      <c r="Q2949" t="s">
        <v>47</v>
      </c>
      <c r="R2949" t="s">
        <v>44</v>
      </c>
      <c r="S2949">
        <v>1</v>
      </c>
      <c r="T2949">
        <v>7</v>
      </c>
      <c r="U2949" s="1">
        <v>44802.478472222225</v>
      </c>
      <c r="V2949" s="1">
        <v>44809.478472222225</v>
      </c>
      <c r="W2949" s="3">
        <v>1.1574074074074073E-5</v>
      </c>
      <c r="X2949" t="s">
        <v>49</v>
      </c>
      <c r="Y2949">
        <v>0</v>
      </c>
      <c r="Z2949">
        <v>0</v>
      </c>
      <c r="AA2949" t="s">
        <v>49</v>
      </c>
      <c r="AB2949">
        <v>0</v>
      </c>
      <c r="AC2949" t="s">
        <v>49</v>
      </c>
      <c r="AD2949">
        <v>0</v>
      </c>
      <c r="AE2949">
        <v>-1</v>
      </c>
      <c r="AF2949" t="s">
        <v>63</v>
      </c>
      <c r="AG2949" t="s">
        <v>6062</v>
      </c>
    </row>
    <row r="2950" spans="1:33" x14ac:dyDescent="0.35">
      <c r="A2950" s="1">
        <v>44802.478472222225</v>
      </c>
      <c r="B2950">
        <v>6708369</v>
      </c>
      <c r="C2950" t="s">
        <v>6100</v>
      </c>
      <c r="D2950" t="s">
        <v>2716</v>
      </c>
      <c r="E2950" s="2">
        <v>44256</v>
      </c>
      <c r="F2950" t="str">
        <f>"9781648023118"</f>
        <v>9781648023118</v>
      </c>
      <c r="G2950" t="str">
        <f>"9781648023101"</f>
        <v>9781648023101</v>
      </c>
      <c r="H2950" t="s">
        <v>171</v>
      </c>
      <c r="I2950">
        <v>418.00709999999998</v>
      </c>
      <c r="J2950" t="s">
        <v>6101</v>
      </c>
      <c r="K2950" t="s">
        <v>55</v>
      </c>
      <c r="N2950" t="s">
        <v>79</v>
      </c>
      <c r="P2950" t="s">
        <v>80</v>
      </c>
      <c r="Q2950" t="s">
        <v>47</v>
      </c>
      <c r="R2950" t="s">
        <v>44</v>
      </c>
      <c r="S2950">
        <v>1</v>
      </c>
      <c r="T2950">
        <v>7</v>
      </c>
      <c r="U2950" s="1">
        <v>44802.478472222225</v>
      </c>
      <c r="V2950" s="1">
        <v>44809.478472222225</v>
      </c>
      <c r="W2950" s="3">
        <v>1.1574074074074073E-5</v>
      </c>
      <c r="X2950" t="s">
        <v>49</v>
      </c>
      <c r="Y2950">
        <v>0</v>
      </c>
      <c r="Z2950">
        <v>0</v>
      </c>
      <c r="AA2950" t="s">
        <v>49</v>
      </c>
      <c r="AB2950">
        <v>0</v>
      </c>
      <c r="AC2950" t="s">
        <v>49</v>
      </c>
      <c r="AD2950">
        <v>0</v>
      </c>
      <c r="AE2950">
        <v>-1</v>
      </c>
      <c r="AF2950" t="s">
        <v>63</v>
      </c>
      <c r="AG2950" t="s">
        <v>6062</v>
      </c>
    </row>
    <row r="2951" spans="1:33" x14ac:dyDescent="0.35">
      <c r="A2951" s="1">
        <v>44802.477777777778</v>
      </c>
      <c r="B2951">
        <v>28854746</v>
      </c>
      <c r="C2951" t="s">
        <v>6102</v>
      </c>
      <c r="D2951" t="s">
        <v>6090</v>
      </c>
      <c r="E2951" s="2">
        <v>44516</v>
      </c>
      <c r="F2951" t="str">
        <f>"9780822988175"</f>
        <v>9780822988175</v>
      </c>
      <c r="G2951" t="str">
        <f>"9780822946724"</f>
        <v>9780822946724</v>
      </c>
      <c r="H2951" t="s">
        <v>171</v>
      </c>
      <c r="K2951" t="s">
        <v>55</v>
      </c>
      <c r="N2951" t="s">
        <v>79</v>
      </c>
      <c r="P2951" t="s">
        <v>80</v>
      </c>
      <c r="Q2951" t="s">
        <v>47</v>
      </c>
      <c r="R2951" t="s">
        <v>44</v>
      </c>
      <c r="S2951">
        <v>1</v>
      </c>
      <c r="T2951">
        <v>7</v>
      </c>
      <c r="U2951" s="1">
        <v>44802.477777777778</v>
      </c>
      <c r="V2951" s="1">
        <v>44809.477777777778</v>
      </c>
      <c r="W2951" s="3">
        <v>1.1574074074074073E-5</v>
      </c>
      <c r="X2951" t="s">
        <v>49</v>
      </c>
      <c r="Y2951">
        <v>0</v>
      </c>
      <c r="Z2951">
        <v>0</v>
      </c>
      <c r="AA2951" t="s">
        <v>49</v>
      </c>
      <c r="AB2951">
        <v>0</v>
      </c>
      <c r="AC2951" t="s">
        <v>49</v>
      </c>
      <c r="AD2951">
        <v>0</v>
      </c>
      <c r="AE2951">
        <v>-1</v>
      </c>
      <c r="AF2951" t="s">
        <v>63</v>
      </c>
      <c r="AG2951" t="s">
        <v>6062</v>
      </c>
    </row>
    <row r="2952" spans="1:33" x14ac:dyDescent="0.35">
      <c r="A2952" s="1">
        <v>44802.477083333331</v>
      </c>
      <c r="B2952">
        <v>28932922</v>
      </c>
      <c r="C2952" t="s">
        <v>6103</v>
      </c>
      <c r="D2952" t="s">
        <v>6090</v>
      </c>
      <c r="E2952" s="2">
        <v>44502</v>
      </c>
      <c r="F2952" t="str">
        <f>"9780822988199"</f>
        <v>9780822988199</v>
      </c>
      <c r="G2952" t="str">
        <f>"9780822946748"</f>
        <v>9780822946748</v>
      </c>
      <c r="H2952" t="s">
        <v>2316</v>
      </c>
      <c r="I2952" t="s">
        <v>6104</v>
      </c>
      <c r="J2952" t="s">
        <v>6105</v>
      </c>
      <c r="K2952" t="s">
        <v>55</v>
      </c>
      <c r="N2952" t="s">
        <v>79</v>
      </c>
      <c r="P2952" t="s">
        <v>80</v>
      </c>
      <c r="Q2952" t="s">
        <v>47</v>
      </c>
      <c r="R2952" t="s">
        <v>44</v>
      </c>
      <c r="S2952">
        <v>1</v>
      </c>
      <c r="T2952">
        <v>7</v>
      </c>
      <c r="U2952" s="1">
        <v>44802.477083333331</v>
      </c>
      <c r="V2952" s="1">
        <v>44809.477083333331</v>
      </c>
      <c r="W2952" s="3">
        <v>1.1574074074074073E-5</v>
      </c>
      <c r="X2952" t="s">
        <v>49</v>
      </c>
      <c r="Y2952">
        <v>0</v>
      </c>
      <c r="Z2952">
        <v>0</v>
      </c>
      <c r="AA2952" t="s">
        <v>49</v>
      </c>
      <c r="AB2952">
        <v>0</v>
      </c>
      <c r="AC2952" t="s">
        <v>49</v>
      </c>
      <c r="AD2952">
        <v>0</v>
      </c>
      <c r="AE2952">
        <v>-1</v>
      </c>
      <c r="AF2952" t="s">
        <v>63</v>
      </c>
      <c r="AG2952" t="s">
        <v>6062</v>
      </c>
    </row>
    <row r="2953" spans="1:33" x14ac:dyDescent="0.35">
      <c r="A2953" s="1">
        <v>44802.476388888892</v>
      </c>
      <c r="B2953">
        <v>6645531</v>
      </c>
      <c r="C2953" t="s">
        <v>6106</v>
      </c>
      <c r="D2953" t="s">
        <v>6107</v>
      </c>
      <c r="E2953" s="2">
        <v>44370</v>
      </c>
      <c r="F2953" t="str">
        <f>"9781433183621"</f>
        <v>9781433183621</v>
      </c>
      <c r="G2953" t="str">
        <f>"9781433186837"</f>
        <v>9781433186837</v>
      </c>
      <c r="H2953" t="s">
        <v>3476</v>
      </c>
      <c r="I2953">
        <v>808</v>
      </c>
      <c r="J2953" t="s">
        <v>6108</v>
      </c>
      <c r="K2953" t="s">
        <v>55</v>
      </c>
      <c r="N2953" t="s">
        <v>79</v>
      </c>
      <c r="P2953" t="s">
        <v>80</v>
      </c>
      <c r="Q2953" t="s">
        <v>47</v>
      </c>
      <c r="R2953" t="s">
        <v>44</v>
      </c>
      <c r="S2953">
        <v>1</v>
      </c>
      <c r="T2953">
        <v>7</v>
      </c>
      <c r="U2953" s="1">
        <v>44802.476388888892</v>
      </c>
      <c r="V2953" s="1">
        <v>44809.476388888892</v>
      </c>
      <c r="W2953" s="3">
        <v>1.1574074074074073E-5</v>
      </c>
      <c r="X2953" t="s">
        <v>49</v>
      </c>
      <c r="Y2953">
        <v>0</v>
      </c>
      <c r="Z2953">
        <v>0</v>
      </c>
      <c r="AA2953" t="s">
        <v>49</v>
      </c>
      <c r="AB2953">
        <v>0</v>
      </c>
      <c r="AC2953" t="s">
        <v>49</v>
      </c>
      <c r="AD2953">
        <v>0</v>
      </c>
      <c r="AE2953">
        <v>-1</v>
      </c>
      <c r="AF2953" t="s">
        <v>63</v>
      </c>
      <c r="AG2953" t="s">
        <v>6062</v>
      </c>
    </row>
    <row r="2954" spans="1:33" x14ac:dyDescent="0.35">
      <c r="A2954" s="1">
        <v>44802.475694444445</v>
      </c>
      <c r="B2954">
        <v>6694770</v>
      </c>
      <c r="C2954" t="s">
        <v>6109</v>
      </c>
      <c r="D2954" t="s">
        <v>6107</v>
      </c>
      <c r="E2954" s="2">
        <v>44407</v>
      </c>
      <c r="F2954" t="str">
        <f>"9781433177316"</f>
        <v>9781433177316</v>
      </c>
      <c r="G2954" t="str">
        <f>"9781433177309"</f>
        <v>9781433177309</v>
      </c>
      <c r="H2954" t="s">
        <v>90</v>
      </c>
      <c r="K2954" t="s">
        <v>55</v>
      </c>
      <c r="N2954" t="s">
        <v>79</v>
      </c>
      <c r="P2954" t="s">
        <v>80</v>
      </c>
      <c r="Q2954" t="s">
        <v>47</v>
      </c>
      <c r="R2954" t="s">
        <v>44</v>
      </c>
      <c r="S2954">
        <v>1</v>
      </c>
      <c r="T2954">
        <v>7</v>
      </c>
      <c r="U2954" s="1">
        <v>44802.475694444445</v>
      </c>
      <c r="V2954" s="1">
        <v>44809.475694444445</v>
      </c>
      <c r="W2954" s="3">
        <v>1.1574074074074073E-5</v>
      </c>
      <c r="X2954" t="s">
        <v>49</v>
      </c>
      <c r="Y2954">
        <v>0</v>
      </c>
      <c r="Z2954">
        <v>0</v>
      </c>
      <c r="AA2954" t="s">
        <v>49</v>
      </c>
      <c r="AB2954">
        <v>0</v>
      </c>
      <c r="AC2954" t="s">
        <v>49</v>
      </c>
      <c r="AD2954">
        <v>0</v>
      </c>
      <c r="AE2954">
        <v>-1</v>
      </c>
      <c r="AF2954" t="s">
        <v>63</v>
      </c>
      <c r="AG2954" t="s">
        <v>6062</v>
      </c>
    </row>
    <row r="2955" spans="1:33" x14ac:dyDescent="0.35">
      <c r="A2955" s="1">
        <v>44802.474999999999</v>
      </c>
      <c r="B2955">
        <v>6202857</v>
      </c>
      <c r="C2955" t="s">
        <v>6110</v>
      </c>
      <c r="D2955" t="s">
        <v>6020</v>
      </c>
      <c r="E2955" s="2">
        <v>43966</v>
      </c>
      <c r="F2955" t="str">
        <f>"9781607329374"</f>
        <v>9781607329374</v>
      </c>
      <c r="G2955" t="str">
        <f>"9781607329367"</f>
        <v>9781607329367</v>
      </c>
      <c r="H2955" t="s">
        <v>2316</v>
      </c>
      <c r="I2955" t="s">
        <v>6111</v>
      </c>
      <c r="J2955" t="s">
        <v>6112</v>
      </c>
      <c r="K2955" t="s">
        <v>55</v>
      </c>
      <c r="N2955" t="s">
        <v>79</v>
      </c>
      <c r="P2955" t="s">
        <v>80</v>
      </c>
      <c r="Q2955" t="s">
        <v>47</v>
      </c>
      <c r="R2955" t="s">
        <v>44</v>
      </c>
      <c r="S2955">
        <v>1</v>
      </c>
      <c r="T2955">
        <v>7</v>
      </c>
      <c r="U2955" s="1">
        <v>44802.474999999999</v>
      </c>
      <c r="V2955" s="1">
        <v>44809.474999999999</v>
      </c>
      <c r="W2955" s="3">
        <v>1.1574074074074073E-5</v>
      </c>
      <c r="X2955" t="s">
        <v>49</v>
      </c>
      <c r="Y2955">
        <v>0</v>
      </c>
      <c r="Z2955">
        <v>0</v>
      </c>
      <c r="AA2955" t="s">
        <v>49</v>
      </c>
      <c r="AB2955">
        <v>0</v>
      </c>
      <c r="AC2955" t="s">
        <v>49</v>
      </c>
      <c r="AD2955">
        <v>0</v>
      </c>
      <c r="AE2955">
        <v>-1</v>
      </c>
      <c r="AF2955" t="s">
        <v>63</v>
      </c>
      <c r="AG2955" t="s">
        <v>6062</v>
      </c>
    </row>
    <row r="2956" spans="1:33" x14ac:dyDescent="0.35">
      <c r="A2956" s="1">
        <v>44802.474305555559</v>
      </c>
      <c r="B2956">
        <v>6510929</v>
      </c>
      <c r="C2956" t="s">
        <v>6113</v>
      </c>
      <c r="D2956" t="s">
        <v>76</v>
      </c>
      <c r="E2956" s="2">
        <v>44317</v>
      </c>
      <c r="F2956" t="str">
        <f>"9781000392296"</f>
        <v>9781000392296</v>
      </c>
      <c r="G2956" t="str">
        <f>"9780367478322"</f>
        <v>9780367478322</v>
      </c>
      <c r="H2956" t="s">
        <v>120</v>
      </c>
      <c r="I2956">
        <v>601.4</v>
      </c>
      <c r="J2956" t="s">
        <v>6114</v>
      </c>
      <c r="K2956" t="s">
        <v>55</v>
      </c>
      <c r="N2956" t="s">
        <v>79</v>
      </c>
      <c r="P2956" t="s">
        <v>80</v>
      </c>
      <c r="Q2956" t="s">
        <v>47</v>
      </c>
      <c r="R2956" t="s">
        <v>44</v>
      </c>
      <c r="S2956">
        <v>1</v>
      </c>
      <c r="T2956">
        <v>7</v>
      </c>
      <c r="U2956" s="1">
        <v>44802.474305555559</v>
      </c>
      <c r="V2956" s="1">
        <v>44809.474305555559</v>
      </c>
      <c r="W2956" s="3">
        <v>1.1574074074074073E-5</v>
      </c>
      <c r="X2956" t="s">
        <v>49</v>
      </c>
      <c r="Y2956">
        <v>0</v>
      </c>
      <c r="Z2956">
        <v>0</v>
      </c>
      <c r="AA2956" t="s">
        <v>49</v>
      </c>
      <c r="AB2956">
        <v>0</v>
      </c>
      <c r="AC2956" t="s">
        <v>49</v>
      </c>
      <c r="AD2956">
        <v>0</v>
      </c>
      <c r="AE2956">
        <v>-1</v>
      </c>
      <c r="AF2956" t="s">
        <v>63</v>
      </c>
      <c r="AG2956" t="s">
        <v>6062</v>
      </c>
    </row>
    <row r="2957" spans="1:33" x14ac:dyDescent="0.35">
      <c r="A2957" s="1">
        <v>44802.474305555559</v>
      </c>
      <c r="B2957">
        <v>6845747</v>
      </c>
      <c r="C2957" t="s">
        <v>6115</v>
      </c>
      <c r="D2957" t="s">
        <v>76</v>
      </c>
      <c r="E2957" s="2">
        <v>44593</v>
      </c>
      <c r="F2957" t="str">
        <f>"9781000548853"</f>
        <v>9781000548853</v>
      </c>
      <c r="G2957" t="str">
        <f>"9780367641801"</f>
        <v>9780367641801</v>
      </c>
      <c r="H2957" t="s">
        <v>3476</v>
      </c>
      <c r="I2957">
        <v>808.06600071100002</v>
      </c>
      <c r="J2957" t="s">
        <v>6116</v>
      </c>
      <c r="K2957" t="s">
        <v>55</v>
      </c>
      <c r="N2957" t="s">
        <v>79</v>
      </c>
      <c r="P2957" t="s">
        <v>80</v>
      </c>
      <c r="Q2957" t="s">
        <v>47</v>
      </c>
      <c r="R2957" t="s">
        <v>44</v>
      </c>
      <c r="S2957">
        <v>1</v>
      </c>
      <c r="T2957">
        <v>7</v>
      </c>
      <c r="U2957" s="1">
        <v>44802.474305555559</v>
      </c>
      <c r="V2957" s="1">
        <v>44809.474305555559</v>
      </c>
      <c r="W2957" s="3">
        <v>2.3148148148148147E-5</v>
      </c>
      <c r="X2957" t="s">
        <v>49</v>
      </c>
      <c r="Y2957">
        <v>0</v>
      </c>
      <c r="Z2957">
        <v>0</v>
      </c>
      <c r="AA2957" t="s">
        <v>49</v>
      </c>
      <c r="AB2957">
        <v>0</v>
      </c>
      <c r="AC2957" t="s">
        <v>49</v>
      </c>
      <c r="AD2957">
        <v>0</v>
      </c>
      <c r="AE2957">
        <v>-1</v>
      </c>
      <c r="AF2957" t="s">
        <v>63</v>
      </c>
      <c r="AG2957" t="s">
        <v>6062</v>
      </c>
    </row>
    <row r="2958" spans="1:33" x14ac:dyDescent="0.35">
      <c r="A2958" s="1">
        <v>44802.473611111112</v>
      </c>
      <c r="B2958">
        <v>6796707</v>
      </c>
      <c r="C2958" t="s">
        <v>6117</v>
      </c>
      <c r="D2958" t="s">
        <v>76</v>
      </c>
      <c r="E2958" s="2">
        <v>44470</v>
      </c>
      <c r="F2958" t="str">
        <f>"9781000470352"</f>
        <v>9781000470352</v>
      </c>
      <c r="G2958" t="str">
        <f>"9780367554927"</f>
        <v>9780367554927</v>
      </c>
      <c r="H2958" t="s">
        <v>120</v>
      </c>
      <c r="I2958">
        <v>607.1</v>
      </c>
      <c r="J2958" t="s">
        <v>6118</v>
      </c>
      <c r="K2958" t="s">
        <v>55</v>
      </c>
      <c r="N2958" t="s">
        <v>79</v>
      </c>
      <c r="P2958" t="s">
        <v>80</v>
      </c>
      <c r="Q2958" t="s">
        <v>47</v>
      </c>
      <c r="R2958" t="s">
        <v>44</v>
      </c>
      <c r="S2958">
        <v>1</v>
      </c>
      <c r="T2958">
        <v>7</v>
      </c>
      <c r="U2958" s="1">
        <v>44802.473611111112</v>
      </c>
      <c r="V2958" s="1">
        <v>44809.473611111112</v>
      </c>
      <c r="W2958" s="3">
        <v>1.1574074074074073E-5</v>
      </c>
      <c r="X2958" t="s">
        <v>49</v>
      </c>
      <c r="Y2958">
        <v>0</v>
      </c>
      <c r="Z2958">
        <v>0</v>
      </c>
      <c r="AA2958" t="s">
        <v>49</v>
      </c>
      <c r="AB2958">
        <v>0</v>
      </c>
      <c r="AC2958" t="s">
        <v>49</v>
      </c>
      <c r="AD2958">
        <v>0</v>
      </c>
      <c r="AE2958">
        <v>-1</v>
      </c>
      <c r="AF2958" t="s">
        <v>63</v>
      </c>
      <c r="AG2958" t="s">
        <v>6062</v>
      </c>
    </row>
    <row r="2959" spans="1:33" x14ac:dyDescent="0.35">
      <c r="A2959" s="1">
        <v>44802.473611111112</v>
      </c>
      <c r="B2959">
        <v>5770383</v>
      </c>
      <c r="C2959" t="s">
        <v>6119</v>
      </c>
      <c r="D2959" t="s">
        <v>76</v>
      </c>
      <c r="E2959" s="2">
        <v>43612</v>
      </c>
      <c r="F2959" t="str">
        <f>"9781351010887"</f>
        <v>9781351010887</v>
      </c>
      <c r="G2959" t="str">
        <f>"9781138541498"</f>
        <v>9781138541498</v>
      </c>
      <c r="H2959" t="s">
        <v>90</v>
      </c>
      <c r="K2959" t="s">
        <v>55</v>
      </c>
      <c r="N2959" t="s">
        <v>79</v>
      </c>
      <c r="P2959" t="s">
        <v>80</v>
      </c>
      <c r="Q2959" t="s">
        <v>47</v>
      </c>
      <c r="R2959" t="s">
        <v>44</v>
      </c>
      <c r="S2959">
        <v>1</v>
      </c>
      <c r="T2959">
        <v>7</v>
      </c>
      <c r="U2959" s="1">
        <v>44802.473611111112</v>
      </c>
      <c r="V2959" s="1">
        <v>44809.473611111112</v>
      </c>
      <c r="W2959" s="3">
        <v>1.1574074074074073E-5</v>
      </c>
      <c r="X2959" t="s">
        <v>49</v>
      </c>
      <c r="Y2959">
        <v>0</v>
      </c>
      <c r="Z2959">
        <v>0</v>
      </c>
      <c r="AA2959" t="s">
        <v>49</v>
      </c>
      <c r="AB2959">
        <v>0</v>
      </c>
      <c r="AC2959" t="s">
        <v>49</v>
      </c>
      <c r="AD2959">
        <v>0</v>
      </c>
      <c r="AE2959">
        <v>-1</v>
      </c>
      <c r="AF2959" t="s">
        <v>63</v>
      </c>
      <c r="AG2959" t="s">
        <v>6062</v>
      </c>
    </row>
    <row r="2960" spans="1:33" x14ac:dyDescent="0.35">
      <c r="A2960" s="1">
        <v>44802.472916666666</v>
      </c>
      <c r="B2960">
        <v>7018078</v>
      </c>
      <c r="C2960" t="s">
        <v>5099</v>
      </c>
      <c r="D2960" t="s">
        <v>76</v>
      </c>
      <c r="E2960" s="2">
        <v>44774</v>
      </c>
      <c r="F2960" t="str">
        <f>"9781000636284"</f>
        <v>9781000636284</v>
      </c>
      <c r="G2960" t="str">
        <f>"9780367820695"</f>
        <v>9780367820695</v>
      </c>
      <c r="H2960" t="s">
        <v>1046</v>
      </c>
      <c r="I2960">
        <v>302.23</v>
      </c>
      <c r="J2960" t="s">
        <v>5100</v>
      </c>
      <c r="K2960" t="s">
        <v>55</v>
      </c>
      <c r="N2960" t="s">
        <v>79</v>
      </c>
      <c r="P2960" t="s">
        <v>80</v>
      </c>
      <c r="Q2960" t="s">
        <v>47</v>
      </c>
      <c r="R2960" t="s">
        <v>44</v>
      </c>
      <c r="S2960">
        <v>1</v>
      </c>
      <c r="T2960">
        <v>7</v>
      </c>
      <c r="U2960" s="1">
        <v>44802.472916666666</v>
      </c>
      <c r="V2960" s="1">
        <v>44809.472916666666</v>
      </c>
      <c r="W2960" s="3">
        <v>0</v>
      </c>
      <c r="X2960" t="s">
        <v>49</v>
      </c>
      <c r="Y2960">
        <v>0</v>
      </c>
      <c r="Z2960">
        <v>0</v>
      </c>
      <c r="AA2960" t="s">
        <v>49</v>
      </c>
      <c r="AB2960">
        <v>0</v>
      </c>
      <c r="AC2960" t="s">
        <v>49</v>
      </c>
      <c r="AD2960">
        <v>0</v>
      </c>
      <c r="AE2960">
        <v>-1</v>
      </c>
      <c r="AF2960" t="s">
        <v>63</v>
      </c>
      <c r="AG2960" t="s">
        <v>6062</v>
      </c>
    </row>
    <row r="2961" spans="1:33" x14ac:dyDescent="0.35">
      <c r="A2961" s="1">
        <v>44802.468055555553</v>
      </c>
      <c r="B2961">
        <v>5580518</v>
      </c>
      <c r="C2961" t="s">
        <v>6019</v>
      </c>
      <c r="D2961" t="s">
        <v>6020</v>
      </c>
      <c r="E2961" s="2">
        <v>43364</v>
      </c>
      <c r="F2961" t="str">
        <f>"9781607326809"</f>
        <v>9781607326809</v>
      </c>
      <c r="G2961" t="str">
        <f>"9781607326793"</f>
        <v>9781607326793</v>
      </c>
      <c r="H2961" t="s">
        <v>120</v>
      </c>
      <c r="I2961">
        <v>607.1</v>
      </c>
      <c r="J2961" t="s">
        <v>6021</v>
      </c>
      <c r="K2961" t="s">
        <v>55</v>
      </c>
      <c r="N2961" t="s">
        <v>79</v>
      </c>
      <c r="P2961" t="s">
        <v>97</v>
      </c>
      <c r="Q2961" t="s">
        <v>47</v>
      </c>
      <c r="R2961" t="s">
        <v>44</v>
      </c>
      <c r="S2961">
        <v>1</v>
      </c>
      <c r="T2961">
        <v>1</v>
      </c>
      <c r="U2961" s="1">
        <v>44802.468055555553</v>
      </c>
      <c r="V2961" s="1">
        <v>44803.468055555553</v>
      </c>
      <c r="W2961" s="3">
        <v>1.1574074074074073E-5</v>
      </c>
      <c r="X2961" t="s">
        <v>49</v>
      </c>
      <c r="Y2961">
        <v>0</v>
      </c>
      <c r="Z2961">
        <v>0</v>
      </c>
      <c r="AA2961" t="s">
        <v>49</v>
      </c>
      <c r="AB2961">
        <v>0</v>
      </c>
      <c r="AC2961" t="s">
        <v>49</v>
      </c>
      <c r="AD2961">
        <v>0</v>
      </c>
      <c r="AE2961">
        <v>-1</v>
      </c>
      <c r="AF2961" t="s">
        <v>63</v>
      </c>
      <c r="AG2961" t="s">
        <v>6062</v>
      </c>
    </row>
    <row r="2962" spans="1:33" x14ac:dyDescent="0.35">
      <c r="A2962" s="1">
        <v>44802.46597222222</v>
      </c>
      <c r="B2962">
        <v>3419934</v>
      </c>
      <c r="C2962" t="s">
        <v>4292</v>
      </c>
      <c r="D2962" t="s">
        <v>347</v>
      </c>
      <c r="E2962" s="2">
        <v>39022</v>
      </c>
      <c r="F2962" t="str">
        <f>"9780300128109"</f>
        <v>9780300128109</v>
      </c>
      <c r="G2962" t="str">
        <f>"9780300110708"</f>
        <v>9780300110708</v>
      </c>
      <c r="H2962" t="s">
        <v>1186</v>
      </c>
      <c r="I2962" t="s">
        <v>4293</v>
      </c>
      <c r="J2962" t="s">
        <v>4294</v>
      </c>
      <c r="K2962" t="s">
        <v>44</v>
      </c>
      <c r="N2962" t="s">
        <v>45</v>
      </c>
      <c r="O2962" t="s">
        <v>46</v>
      </c>
      <c r="P2962" t="s">
        <v>45</v>
      </c>
      <c r="Q2962" t="s">
        <v>47</v>
      </c>
      <c r="R2962" t="s">
        <v>44</v>
      </c>
      <c r="S2962">
        <v>0</v>
      </c>
      <c r="W2962" s="3">
        <v>5.1504629629629635E-3</v>
      </c>
      <c r="X2962" t="s">
        <v>6120</v>
      </c>
      <c r="Y2962">
        <v>4</v>
      </c>
      <c r="Z2962">
        <v>0</v>
      </c>
      <c r="AA2962" t="s">
        <v>49</v>
      </c>
      <c r="AB2962">
        <v>0</v>
      </c>
      <c r="AC2962" t="s">
        <v>49</v>
      </c>
      <c r="AD2962">
        <v>0</v>
      </c>
      <c r="AE2962">
        <v>10169960</v>
      </c>
      <c r="AF2962" t="s">
        <v>50</v>
      </c>
      <c r="AG2962" t="s">
        <v>3037</v>
      </c>
    </row>
    <row r="2963" spans="1:33" x14ac:dyDescent="0.35">
      <c r="A2963" s="1">
        <v>44801.970833333333</v>
      </c>
      <c r="B2963">
        <v>6846164</v>
      </c>
      <c r="C2963" t="s">
        <v>6121</v>
      </c>
      <c r="D2963" t="s">
        <v>213</v>
      </c>
      <c r="E2963" s="2">
        <v>44580</v>
      </c>
      <c r="F2963" t="str">
        <f>"9780323885898"</f>
        <v>9780323885898</v>
      </c>
      <c r="G2963" t="str">
        <f>"9780323898454"</f>
        <v>9780323898454</v>
      </c>
      <c r="H2963" t="s">
        <v>116</v>
      </c>
      <c r="I2963">
        <v>660.29949999999997</v>
      </c>
      <c r="J2963" t="s">
        <v>6122</v>
      </c>
      <c r="K2963" t="s">
        <v>55</v>
      </c>
      <c r="Q2963" t="s">
        <v>47</v>
      </c>
      <c r="R2963" t="s">
        <v>44</v>
      </c>
      <c r="S2963">
        <v>0</v>
      </c>
      <c r="W2963" s="3">
        <v>3.483796296296296E-3</v>
      </c>
      <c r="X2963" t="s">
        <v>6123</v>
      </c>
      <c r="Y2963">
        <v>65</v>
      </c>
      <c r="Z2963">
        <v>0</v>
      </c>
      <c r="AA2963" t="s">
        <v>49</v>
      </c>
      <c r="AB2963">
        <v>0</v>
      </c>
      <c r="AC2963" t="s">
        <v>49</v>
      </c>
      <c r="AD2963">
        <v>0</v>
      </c>
      <c r="AE2963">
        <v>-1</v>
      </c>
      <c r="AF2963" t="s">
        <v>63</v>
      </c>
      <c r="AG2963" t="s">
        <v>2642</v>
      </c>
    </row>
    <row r="2964" spans="1:33" x14ac:dyDescent="0.35">
      <c r="A2964" s="1">
        <v>44801.838194444441</v>
      </c>
      <c r="B2964">
        <v>3407607</v>
      </c>
      <c r="C2964" t="s">
        <v>6124</v>
      </c>
      <c r="D2964" t="s">
        <v>645</v>
      </c>
      <c r="E2964" s="2">
        <v>38538</v>
      </c>
      <c r="F2964" t="str">
        <f>"9780791483145"</f>
        <v>9780791483145</v>
      </c>
      <c r="G2964" t="str">
        <f>"9780791464694"</f>
        <v>9780791464694</v>
      </c>
      <c r="H2964" t="s">
        <v>498</v>
      </c>
      <c r="I2964" t="s">
        <v>6125</v>
      </c>
      <c r="J2964" t="s">
        <v>6126</v>
      </c>
      <c r="K2964" t="s">
        <v>44</v>
      </c>
      <c r="N2964" t="s">
        <v>45</v>
      </c>
      <c r="O2964" t="s">
        <v>46</v>
      </c>
      <c r="P2964" t="s">
        <v>45</v>
      </c>
      <c r="Q2964" t="s">
        <v>47</v>
      </c>
      <c r="R2964" t="s">
        <v>44</v>
      </c>
      <c r="S2964">
        <v>0</v>
      </c>
      <c r="W2964" s="3">
        <v>2.1550925925925928E-2</v>
      </c>
      <c r="X2964" t="s">
        <v>6127</v>
      </c>
      <c r="Y2964">
        <v>23</v>
      </c>
      <c r="Z2964">
        <v>0</v>
      </c>
      <c r="AA2964" t="s">
        <v>49</v>
      </c>
      <c r="AB2964">
        <v>0</v>
      </c>
      <c r="AC2964" t="s">
        <v>6128</v>
      </c>
      <c r="AD2964">
        <v>1</v>
      </c>
      <c r="AE2964">
        <v>10579030</v>
      </c>
      <c r="AF2964" t="s">
        <v>50</v>
      </c>
      <c r="AG2964" t="s">
        <v>3037</v>
      </c>
    </row>
    <row r="2965" spans="1:33" x14ac:dyDescent="0.35">
      <c r="A2965" s="1">
        <v>44801.469444444447</v>
      </c>
      <c r="B2965">
        <v>3419934</v>
      </c>
      <c r="C2965" t="s">
        <v>4292</v>
      </c>
      <c r="D2965" t="s">
        <v>347</v>
      </c>
      <c r="E2965" s="2">
        <v>39022</v>
      </c>
      <c r="F2965" t="str">
        <f>"9780300128109"</f>
        <v>9780300128109</v>
      </c>
      <c r="G2965" t="str">
        <f>"9780300110708"</f>
        <v>9780300110708</v>
      </c>
      <c r="H2965" t="s">
        <v>1186</v>
      </c>
      <c r="I2965" t="s">
        <v>4293</v>
      </c>
      <c r="J2965" t="s">
        <v>4294</v>
      </c>
      <c r="K2965" t="s">
        <v>44</v>
      </c>
      <c r="N2965" t="s">
        <v>45</v>
      </c>
      <c r="O2965" t="s">
        <v>46</v>
      </c>
      <c r="P2965" t="s">
        <v>45</v>
      </c>
      <c r="Q2965" t="s">
        <v>47</v>
      </c>
      <c r="R2965" t="s">
        <v>44</v>
      </c>
      <c r="S2965">
        <v>0</v>
      </c>
      <c r="W2965" s="3">
        <v>1.2824074074074073E-2</v>
      </c>
      <c r="X2965" t="s">
        <v>6129</v>
      </c>
      <c r="Y2965">
        <v>8</v>
      </c>
      <c r="Z2965">
        <v>0</v>
      </c>
      <c r="AA2965" t="s">
        <v>49</v>
      </c>
      <c r="AB2965">
        <v>0</v>
      </c>
      <c r="AC2965" t="s">
        <v>4687</v>
      </c>
      <c r="AD2965">
        <v>2</v>
      </c>
      <c r="AE2965">
        <v>10169960</v>
      </c>
      <c r="AF2965" t="s">
        <v>50</v>
      </c>
      <c r="AG2965" t="s">
        <v>3037</v>
      </c>
    </row>
    <row r="2966" spans="1:33" x14ac:dyDescent="0.35">
      <c r="A2966" s="1">
        <v>44801.084027777775</v>
      </c>
      <c r="B2966">
        <v>1683103</v>
      </c>
      <c r="C2966" t="s">
        <v>5666</v>
      </c>
      <c r="D2966" t="s">
        <v>76</v>
      </c>
      <c r="E2966" s="2">
        <v>34317</v>
      </c>
      <c r="F2966" t="str">
        <f>"9781482277432"</f>
        <v>9781482277432</v>
      </c>
      <c r="G2966" t="str">
        <f>"9780824789640"</f>
        <v>9780824789640</v>
      </c>
      <c r="H2966" t="s">
        <v>95</v>
      </c>
      <c r="I2966" t="s">
        <v>5667</v>
      </c>
      <c r="J2966" t="s">
        <v>5668</v>
      </c>
      <c r="K2966" t="s">
        <v>55</v>
      </c>
      <c r="N2966" t="s">
        <v>79</v>
      </c>
      <c r="P2966" t="s">
        <v>80</v>
      </c>
      <c r="Q2966" t="s">
        <v>47</v>
      </c>
      <c r="R2966" t="s">
        <v>44</v>
      </c>
      <c r="S2966">
        <v>0</v>
      </c>
      <c r="W2966" s="3">
        <v>1.9675925925925926E-4</v>
      </c>
      <c r="X2966" t="s">
        <v>6130</v>
      </c>
      <c r="Y2966">
        <v>2</v>
      </c>
      <c r="Z2966">
        <v>3</v>
      </c>
      <c r="AA2966" t="s">
        <v>6131</v>
      </c>
      <c r="AB2966">
        <v>244</v>
      </c>
      <c r="AC2966" t="s">
        <v>49</v>
      </c>
      <c r="AD2966">
        <v>0</v>
      </c>
      <c r="AE2966">
        <v>11007076</v>
      </c>
      <c r="AF2966" t="s">
        <v>50</v>
      </c>
      <c r="AG2966" t="s">
        <v>2128</v>
      </c>
    </row>
    <row r="2967" spans="1:33" x14ac:dyDescent="0.35">
      <c r="A2967" s="1">
        <v>44801.065972222219</v>
      </c>
      <c r="B2967">
        <v>6821504</v>
      </c>
      <c r="C2967" t="s">
        <v>1005</v>
      </c>
      <c r="D2967" t="s">
        <v>213</v>
      </c>
      <c r="E2967" s="2">
        <v>44536</v>
      </c>
      <c r="F2967" t="str">
        <f>"9780128210796"</f>
        <v>9780128210796</v>
      </c>
      <c r="G2967" t="str">
        <f>"9780128210789"</f>
        <v>9780128210789</v>
      </c>
      <c r="H2967" t="s">
        <v>1006</v>
      </c>
      <c r="I2967">
        <v>668.9</v>
      </c>
      <c r="J2967" t="s">
        <v>1007</v>
      </c>
      <c r="K2967" t="s">
        <v>55</v>
      </c>
      <c r="N2967" t="s">
        <v>79</v>
      </c>
      <c r="P2967" t="s">
        <v>80</v>
      </c>
      <c r="Q2967" t="s">
        <v>47</v>
      </c>
      <c r="R2967" t="s">
        <v>44</v>
      </c>
      <c r="S2967">
        <v>0</v>
      </c>
      <c r="W2967" s="3">
        <v>0</v>
      </c>
      <c r="X2967" t="s">
        <v>49</v>
      </c>
      <c r="Y2967">
        <v>0</v>
      </c>
      <c r="Z2967">
        <v>3</v>
      </c>
      <c r="AA2967" t="s">
        <v>6132</v>
      </c>
      <c r="AB2967">
        <v>78</v>
      </c>
      <c r="AC2967" t="s">
        <v>49</v>
      </c>
      <c r="AD2967">
        <v>0</v>
      </c>
      <c r="AE2967">
        <v>-1</v>
      </c>
      <c r="AF2967" t="s">
        <v>50</v>
      </c>
      <c r="AG2967" t="s">
        <v>2128</v>
      </c>
    </row>
    <row r="2968" spans="1:33" x14ac:dyDescent="0.35">
      <c r="A2968" s="1">
        <v>44800.686805555553</v>
      </c>
      <c r="B2968">
        <v>6821504</v>
      </c>
      <c r="C2968" t="s">
        <v>1005</v>
      </c>
      <c r="D2968" t="s">
        <v>213</v>
      </c>
      <c r="E2968" s="2">
        <v>44536</v>
      </c>
      <c r="F2968" t="str">
        <f>"9780128210796"</f>
        <v>9780128210796</v>
      </c>
      <c r="G2968" t="str">
        <f>"9780128210789"</f>
        <v>9780128210789</v>
      </c>
      <c r="H2968" t="s">
        <v>1006</v>
      </c>
      <c r="I2968">
        <v>668.9</v>
      </c>
      <c r="J2968" t="s">
        <v>1007</v>
      </c>
      <c r="K2968" t="s">
        <v>55</v>
      </c>
      <c r="N2968" t="s">
        <v>79</v>
      </c>
      <c r="P2968" t="s">
        <v>80</v>
      </c>
      <c r="Q2968" t="s">
        <v>47</v>
      </c>
      <c r="R2968" t="s">
        <v>44</v>
      </c>
      <c r="S2968">
        <v>0</v>
      </c>
      <c r="W2968" s="3">
        <v>0</v>
      </c>
      <c r="X2968" t="s">
        <v>49</v>
      </c>
      <c r="Y2968">
        <v>0</v>
      </c>
      <c r="Z2968">
        <v>2</v>
      </c>
      <c r="AA2968" t="s">
        <v>6133</v>
      </c>
      <c r="AB2968">
        <v>58</v>
      </c>
      <c r="AC2968" t="s">
        <v>49</v>
      </c>
      <c r="AD2968">
        <v>0</v>
      </c>
      <c r="AE2968">
        <v>-1</v>
      </c>
      <c r="AF2968" t="s">
        <v>50</v>
      </c>
      <c r="AG2968" t="s">
        <v>2128</v>
      </c>
    </row>
    <row r="2969" spans="1:33" x14ac:dyDescent="0.35">
      <c r="A2969" s="1">
        <v>44800.675694444442</v>
      </c>
      <c r="B2969">
        <v>1683103</v>
      </c>
      <c r="C2969" t="s">
        <v>5666</v>
      </c>
      <c r="D2969" t="s">
        <v>76</v>
      </c>
      <c r="E2969" s="2">
        <v>34317</v>
      </c>
      <c r="F2969" t="str">
        <f>"9781482277432"</f>
        <v>9781482277432</v>
      </c>
      <c r="G2969" t="str">
        <f>"9780824789640"</f>
        <v>9780824789640</v>
      </c>
      <c r="H2969" t="s">
        <v>95</v>
      </c>
      <c r="I2969" t="s">
        <v>5667</v>
      </c>
      <c r="J2969" t="s">
        <v>5668</v>
      </c>
      <c r="K2969" t="s">
        <v>55</v>
      </c>
      <c r="N2969" t="s">
        <v>79</v>
      </c>
      <c r="P2969" t="s">
        <v>80</v>
      </c>
      <c r="Q2969" t="s">
        <v>47</v>
      </c>
      <c r="R2969" t="s">
        <v>44</v>
      </c>
      <c r="S2969">
        <v>0</v>
      </c>
      <c r="W2969" s="3">
        <v>2.199074074074074E-4</v>
      </c>
      <c r="X2969" t="s">
        <v>6134</v>
      </c>
      <c r="Y2969">
        <v>7</v>
      </c>
      <c r="Z2969">
        <v>3</v>
      </c>
      <c r="AA2969" t="s">
        <v>6135</v>
      </c>
      <c r="AB2969">
        <v>130</v>
      </c>
      <c r="AC2969" t="s">
        <v>49</v>
      </c>
      <c r="AD2969">
        <v>0</v>
      </c>
      <c r="AE2969">
        <v>11007076</v>
      </c>
      <c r="AF2969" t="s">
        <v>50</v>
      </c>
      <c r="AG2969" t="s">
        <v>2128</v>
      </c>
    </row>
    <row r="2970" spans="1:33" x14ac:dyDescent="0.35">
      <c r="A2970" s="1">
        <v>44799.493750000001</v>
      </c>
      <c r="B2970">
        <v>3419934</v>
      </c>
      <c r="C2970" t="s">
        <v>4292</v>
      </c>
      <c r="D2970" t="s">
        <v>347</v>
      </c>
      <c r="E2970" s="2">
        <v>39022</v>
      </c>
      <c r="F2970" t="str">
        <f>"9780300128109"</f>
        <v>9780300128109</v>
      </c>
      <c r="G2970" t="str">
        <f>"9780300110708"</f>
        <v>9780300110708</v>
      </c>
      <c r="H2970" t="s">
        <v>1186</v>
      </c>
      <c r="I2970" t="s">
        <v>4293</v>
      </c>
      <c r="J2970" t="s">
        <v>4294</v>
      </c>
      <c r="K2970" t="s">
        <v>44</v>
      </c>
      <c r="N2970" t="s">
        <v>45</v>
      </c>
      <c r="O2970" t="s">
        <v>46</v>
      </c>
      <c r="P2970" t="s">
        <v>45</v>
      </c>
      <c r="Q2970" t="s">
        <v>47</v>
      </c>
      <c r="R2970" t="s">
        <v>44</v>
      </c>
      <c r="S2970">
        <v>0</v>
      </c>
      <c r="W2970" s="3">
        <v>1.9525462962962963E-2</v>
      </c>
      <c r="X2970" t="s">
        <v>6136</v>
      </c>
      <c r="Y2970">
        <v>37</v>
      </c>
      <c r="Z2970">
        <v>0</v>
      </c>
      <c r="AA2970" t="s">
        <v>49</v>
      </c>
      <c r="AB2970">
        <v>0</v>
      </c>
      <c r="AC2970" t="s">
        <v>3100</v>
      </c>
      <c r="AD2970">
        <v>1</v>
      </c>
      <c r="AE2970">
        <v>10169960</v>
      </c>
      <c r="AF2970" t="s">
        <v>50</v>
      </c>
      <c r="AG2970" t="s">
        <v>3037</v>
      </c>
    </row>
    <row r="2971" spans="1:33" x14ac:dyDescent="0.35">
      <c r="A2971" s="1">
        <v>44799.433333333334</v>
      </c>
      <c r="B2971">
        <v>5723965</v>
      </c>
      <c r="C2971" t="s">
        <v>6137</v>
      </c>
      <c r="D2971" t="s">
        <v>156</v>
      </c>
      <c r="E2971" s="2">
        <v>43528</v>
      </c>
      <c r="F2971" t="str">
        <f>"9780253039729"</f>
        <v>9780253039729</v>
      </c>
      <c r="G2971" t="str">
        <f>"9780253039705"</f>
        <v>9780253039705</v>
      </c>
      <c r="H2971" t="s">
        <v>233</v>
      </c>
      <c r="I2971" t="s">
        <v>6138</v>
      </c>
      <c r="J2971" t="s">
        <v>6139</v>
      </c>
      <c r="K2971" t="s">
        <v>55</v>
      </c>
      <c r="N2971" t="s">
        <v>293</v>
      </c>
      <c r="P2971" t="s">
        <v>80</v>
      </c>
      <c r="Q2971" t="s">
        <v>47</v>
      </c>
      <c r="R2971" t="s">
        <v>44</v>
      </c>
      <c r="S2971">
        <v>0</v>
      </c>
      <c r="W2971" s="3">
        <v>2.0833333333333335E-4</v>
      </c>
      <c r="X2971" t="s">
        <v>6140</v>
      </c>
      <c r="Y2971">
        <v>5</v>
      </c>
      <c r="Z2971">
        <v>0</v>
      </c>
      <c r="AA2971" t="s">
        <v>49</v>
      </c>
      <c r="AB2971">
        <v>0</v>
      </c>
      <c r="AC2971" t="s">
        <v>49</v>
      </c>
      <c r="AD2971">
        <v>0</v>
      </c>
      <c r="AE2971">
        <v>11657910</v>
      </c>
      <c r="AF2971" t="s">
        <v>50</v>
      </c>
      <c r="AG2971" t="s">
        <v>3037</v>
      </c>
    </row>
    <row r="2972" spans="1:33" x14ac:dyDescent="0.35">
      <c r="A2972" s="1">
        <v>44798.695833333331</v>
      </c>
      <c r="B2972">
        <v>283245</v>
      </c>
      <c r="C2972" t="s">
        <v>6141</v>
      </c>
      <c r="D2972" t="s">
        <v>76</v>
      </c>
      <c r="E2972" s="2">
        <v>39072</v>
      </c>
      <c r="F2972" t="str">
        <f>"9781420017007"</f>
        <v>9781420017007</v>
      </c>
      <c r="G2972" t="str">
        <f>"9781574445619"</f>
        <v>9781574445619</v>
      </c>
      <c r="H2972" t="s">
        <v>1035</v>
      </c>
      <c r="I2972">
        <v>320.60000000000002</v>
      </c>
      <c r="J2972" t="s">
        <v>6142</v>
      </c>
      <c r="K2972" t="s">
        <v>44</v>
      </c>
      <c r="N2972" t="s">
        <v>45</v>
      </c>
      <c r="O2972" t="s">
        <v>46</v>
      </c>
      <c r="P2972" t="s">
        <v>45</v>
      </c>
      <c r="Q2972" t="s">
        <v>47</v>
      </c>
      <c r="R2972" t="s">
        <v>44</v>
      </c>
      <c r="S2972">
        <v>0</v>
      </c>
      <c r="W2972" s="3">
        <v>2.5578703703703705E-3</v>
      </c>
      <c r="X2972" t="s">
        <v>6143</v>
      </c>
      <c r="Y2972">
        <v>8</v>
      </c>
      <c r="Z2972">
        <v>1</v>
      </c>
      <c r="AA2972" t="s">
        <v>6144</v>
      </c>
      <c r="AB2972">
        <v>4</v>
      </c>
      <c r="AC2972" t="s">
        <v>49</v>
      </c>
      <c r="AD2972">
        <v>0</v>
      </c>
      <c r="AE2972">
        <v>10156370</v>
      </c>
      <c r="AF2972" t="s">
        <v>50</v>
      </c>
      <c r="AG2972" t="s">
        <v>3037</v>
      </c>
    </row>
    <row r="2973" spans="1:33" x14ac:dyDescent="0.35">
      <c r="A2973" s="1">
        <v>44798.695833333331</v>
      </c>
      <c r="B2973">
        <v>5325778</v>
      </c>
      <c r="C2973" t="s">
        <v>6145</v>
      </c>
      <c r="D2973" t="s">
        <v>6146</v>
      </c>
      <c r="E2973" s="2">
        <v>43070</v>
      </c>
      <c r="F2973" t="str">
        <f>"9788024635705"</f>
        <v>9788024635705</v>
      </c>
      <c r="G2973" t="str">
        <f>"9788024635569"</f>
        <v>9788024635569</v>
      </c>
      <c r="H2973" t="s">
        <v>419</v>
      </c>
      <c r="I2973">
        <v>320.60000000000002</v>
      </c>
      <c r="J2973" t="s">
        <v>6147</v>
      </c>
      <c r="K2973" t="s">
        <v>44</v>
      </c>
      <c r="N2973" t="s">
        <v>45</v>
      </c>
      <c r="O2973" t="s">
        <v>46</v>
      </c>
      <c r="P2973" t="s">
        <v>45</v>
      </c>
      <c r="Q2973" t="s">
        <v>47</v>
      </c>
      <c r="R2973" t="s">
        <v>44</v>
      </c>
      <c r="S2973">
        <v>0</v>
      </c>
      <c r="W2973" s="3">
        <v>1.8865740740740742E-3</v>
      </c>
      <c r="X2973" t="s">
        <v>6148</v>
      </c>
      <c r="Y2973">
        <v>20</v>
      </c>
      <c r="Z2973">
        <v>0</v>
      </c>
      <c r="AA2973" t="s">
        <v>49</v>
      </c>
      <c r="AB2973">
        <v>0</v>
      </c>
      <c r="AC2973" t="s">
        <v>49</v>
      </c>
      <c r="AD2973">
        <v>0</v>
      </c>
      <c r="AE2973">
        <v>11532418</v>
      </c>
      <c r="AF2973" t="s">
        <v>50</v>
      </c>
      <c r="AG2973" t="s">
        <v>3037</v>
      </c>
    </row>
    <row r="2974" spans="1:33" x14ac:dyDescent="0.35">
      <c r="A2974" s="1">
        <v>44798.695833333331</v>
      </c>
      <c r="B2974">
        <v>6238641</v>
      </c>
      <c r="C2974" t="s">
        <v>6149</v>
      </c>
      <c r="D2974" t="s">
        <v>844</v>
      </c>
      <c r="E2974" s="2">
        <v>44022</v>
      </c>
      <c r="F2974" t="str">
        <f>"9781838674557"</f>
        <v>9781838674557</v>
      </c>
      <c r="G2974" t="str">
        <f>"9781838674564"</f>
        <v>9781838674564</v>
      </c>
      <c r="H2974" t="s">
        <v>419</v>
      </c>
      <c r="I2974">
        <v>320.49299999999999</v>
      </c>
      <c r="J2974" t="s">
        <v>6150</v>
      </c>
      <c r="K2974" t="s">
        <v>44</v>
      </c>
      <c r="N2974" t="s">
        <v>45</v>
      </c>
      <c r="O2974" t="s">
        <v>46</v>
      </c>
      <c r="P2974" t="s">
        <v>45</v>
      </c>
      <c r="Q2974" t="s">
        <v>47</v>
      </c>
      <c r="R2974" t="s">
        <v>44</v>
      </c>
      <c r="S2974">
        <v>0</v>
      </c>
      <c r="W2974" s="3">
        <v>2.3148148148148146E-4</v>
      </c>
      <c r="X2974" t="s">
        <v>6151</v>
      </c>
      <c r="Y2974">
        <v>5</v>
      </c>
      <c r="Z2974">
        <v>0</v>
      </c>
      <c r="AA2974" t="s">
        <v>49</v>
      </c>
      <c r="AB2974">
        <v>0</v>
      </c>
      <c r="AC2974" t="s">
        <v>49</v>
      </c>
      <c r="AD2974">
        <v>0</v>
      </c>
      <c r="AE2974">
        <v>-1</v>
      </c>
      <c r="AF2974" t="s">
        <v>50</v>
      </c>
      <c r="AG2974" t="s">
        <v>3037</v>
      </c>
    </row>
    <row r="2975" spans="1:33" x14ac:dyDescent="0.35">
      <c r="A2975" s="1">
        <v>44797.894444444442</v>
      </c>
      <c r="B2975">
        <v>1775208</v>
      </c>
      <c r="C2975" t="s">
        <v>6152</v>
      </c>
      <c r="D2975" t="s">
        <v>59</v>
      </c>
      <c r="E2975" s="2">
        <v>41939</v>
      </c>
      <c r="F2975" t="str">
        <f>"9781118892022"</f>
        <v>9781118892022</v>
      </c>
      <c r="G2975" t="str">
        <f>"9781118888957"</f>
        <v>9781118888957</v>
      </c>
      <c r="H2975" t="s">
        <v>1040</v>
      </c>
      <c r="I2975" t="s">
        <v>2054</v>
      </c>
      <c r="J2975" t="s">
        <v>6153</v>
      </c>
      <c r="K2975" t="s">
        <v>44</v>
      </c>
      <c r="N2975" t="s">
        <v>45</v>
      </c>
      <c r="O2975" t="s">
        <v>46</v>
      </c>
      <c r="P2975" t="s">
        <v>45</v>
      </c>
      <c r="Q2975" t="s">
        <v>47</v>
      </c>
      <c r="R2975" t="s">
        <v>44</v>
      </c>
      <c r="S2975">
        <v>0</v>
      </c>
      <c r="W2975" s="3">
        <v>5.1041666666666666E-3</v>
      </c>
      <c r="X2975" t="s">
        <v>6154</v>
      </c>
      <c r="Y2975">
        <v>49</v>
      </c>
      <c r="Z2975">
        <v>2</v>
      </c>
      <c r="AA2975" t="s">
        <v>6155</v>
      </c>
      <c r="AB2975">
        <v>22</v>
      </c>
      <c r="AC2975" t="s">
        <v>49</v>
      </c>
      <c r="AD2975">
        <v>0</v>
      </c>
      <c r="AE2975">
        <v>10925542</v>
      </c>
      <c r="AF2975" t="s">
        <v>63</v>
      </c>
      <c r="AG2975" t="s">
        <v>630</v>
      </c>
    </row>
    <row r="2976" spans="1:33" x14ac:dyDescent="0.35">
      <c r="A2976" s="1">
        <v>44797.892361111109</v>
      </c>
      <c r="B2976">
        <v>1407871</v>
      </c>
      <c r="C2976" t="s">
        <v>6156</v>
      </c>
      <c r="D2976" t="s">
        <v>59</v>
      </c>
      <c r="E2976" s="2">
        <v>41612</v>
      </c>
      <c r="F2976" t="str">
        <f>"9783527659012"</f>
        <v>9783527659012</v>
      </c>
      <c r="G2976" t="str">
        <f>"9783527332137"</f>
        <v>9783527332137</v>
      </c>
      <c r="H2976" t="s">
        <v>191</v>
      </c>
      <c r="I2976">
        <v>660.29949999999997</v>
      </c>
      <c r="J2976" t="s">
        <v>6157</v>
      </c>
      <c r="K2976" t="s">
        <v>44</v>
      </c>
      <c r="N2976" t="s">
        <v>45</v>
      </c>
      <c r="O2976" t="s">
        <v>46</v>
      </c>
      <c r="P2976" t="s">
        <v>45</v>
      </c>
      <c r="Q2976" t="s">
        <v>47</v>
      </c>
      <c r="R2976" t="s">
        <v>44</v>
      </c>
      <c r="S2976">
        <v>0</v>
      </c>
      <c r="W2976" s="3">
        <v>9.3750000000000007E-4</v>
      </c>
      <c r="X2976" t="s">
        <v>6158</v>
      </c>
      <c r="Y2976">
        <v>12</v>
      </c>
      <c r="Z2976">
        <v>0</v>
      </c>
      <c r="AA2976" t="s">
        <v>49</v>
      </c>
      <c r="AB2976">
        <v>0</v>
      </c>
      <c r="AC2976" t="s">
        <v>49</v>
      </c>
      <c r="AD2976">
        <v>0</v>
      </c>
      <c r="AE2976">
        <v>10766993</v>
      </c>
      <c r="AF2976" t="s">
        <v>63</v>
      </c>
      <c r="AG2976" t="s">
        <v>630</v>
      </c>
    </row>
    <row r="2977" spans="1:33" x14ac:dyDescent="0.35">
      <c r="A2977" s="1">
        <v>44797.486805555556</v>
      </c>
      <c r="B2977">
        <v>1800495</v>
      </c>
      <c r="C2977" t="s">
        <v>3423</v>
      </c>
      <c r="D2977" t="s">
        <v>2022</v>
      </c>
      <c r="E2977" s="2">
        <v>41431</v>
      </c>
      <c r="F2977" t="str">
        <f>"9781443867931"</f>
        <v>9781443867931</v>
      </c>
      <c r="G2977" t="str">
        <f>"9781443847018"</f>
        <v>9781443847018</v>
      </c>
      <c r="H2977" t="s">
        <v>1046</v>
      </c>
      <c r="I2977">
        <v>307.76</v>
      </c>
      <c r="J2977" t="s">
        <v>3424</v>
      </c>
      <c r="K2977" t="s">
        <v>44</v>
      </c>
      <c r="N2977" t="s">
        <v>45</v>
      </c>
      <c r="O2977" t="s">
        <v>46</v>
      </c>
      <c r="P2977" t="s">
        <v>45</v>
      </c>
      <c r="Q2977" t="s">
        <v>47</v>
      </c>
      <c r="R2977" t="s">
        <v>44</v>
      </c>
      <c r="S2977">
        <v>0</v>
      </c>
      <c r="W2977" s="3">
        <v>0</v>
      </c>
      <c r="X2977" t="s">
        <v>49</v>
      </c>
      <c r="Y2977">
        <v>0</v>
      </c>
      <c r="Z2977">
        <v>2</v>
      </c>
      <c r="AA2977" t="s">
        <v>6159</v>
      </c>
      <c r="AB2977">
        <v>70</v>
      </c>
      <c r="AC2977" t="s">
        <v>49</v>
      </c>
      <c r="AD2977">
        <v>0</v>
      </c>
      <c r="AE2977">
        <v>10949411</v>
      </c>
      <c r="AF2977" t="s">
        <v>63</v>
      </c>
      <c r="AG2977" t="s">
        <v>3037</v>
      </c>
    </row>
    <row r="2978" spans="1:33" x14ac:dyDescent="0.35">
      <c r="A2978" s="1">
        <v>44797.484722222223</v>
      </c>
      <c r="B2978">
        <v>710109</v>
      </c>
      <c r="C2978" t="s">
        <v>3426</v>
      </c>
      <c r="D2978" t="s">
        <v>76</v>
      </c>
      <c r="E2978" s="2">
        <v>41773</v>
      </c>
      <c r="F2978" t="str">
        <f>"9780203817933"</f>
        <v>9780203817933</v>
      </c>
      <c r="G2978" t="str">
        <f>"9780415608237"</f>
        <v>9780415608237</v>
      </c>
      <c r="H2978" t="s">
        <v>1046</v>
      </c>
      <c r="I2978" t="s">
        <v>3427</v>
      </c>
      <c r="J2978" t="s">
        <v>3428</v>
      </c>
      <c r="K2978" t="s">
        <v>44</v>
      </c>
      <c r="N2978" t="s">
        <v>45</v>
      </c>
      <c r="O2978" t="s">
        <v>46</v>
      </c>
      <c r="P2978" t="s">
        <v>45</v>
      </c>
      <c r="Q2978" t="s">
        <v>47</v>
      </c>
      <c r="R2978" t="s">
        <v>44</v>
      </c>
      <c r="S2978">
        <v>0</v>
      </c>
      <c r="W2978" s="3">
        <v>0</v>
      </c>
      <c r="X2978" t="s">
        <v>49</v>
      </c>
      <c r="Y2978">
        <v>0</v>
      </c>
      <c r="Z2978">
        <v>3</v>
      </c>
      <c r="AA2978" t="s">
        <v>6160</v>
      </c>
      <c r="AB2978">
        <v>77</v>
      </c>
      <c r="AC2978" t="s">
        <v>49</v>
      </c>
      <c r="AD2978">
        <v>0</v>
      </c>
      <c r="AE2978">
        <v>10480647</v>
      </c>
      <c r="AF2978" t="s">
        <v>63</v>
      </c>
      <c r="AG2978" t="s">
        <v>3037</v>
      </c>
    </row>
    <row r="2979" spans="1:33" x14ac:dyDescent="0.35">
      <c r="A2979" s="1">
        <v>44797.484027777777</v>
      </c>
      <c r="B2979">
        <v>6424311</v>
      </c>
      <c r="C2979" t="s">
        <v>6161</v>
      </c>
      <c r="D2979" t="s">
        <v>105</v>
      </c>
      <c r="E2979" s="2">
        <v>44176</v>
      </c>
      <c r="F2979" t="str">
        <f>"9783030608651"</f>
        <v>9783030608651</v>
      </c>
      <c r="G2979" t="str">
        <f>"9783030608644"</f>
        <v>9783030608644</v>
      </c>
      <c r="H2979" t="s">
        <v>6162</v>
      </c>
      <c r="I2979">
        <v>307.1216</v>
      </c>
      <c r="J2979" t="s">
        <v>6163</v>
      </c>
      <c r="K2979" t="s">
        <v>55</v>
      </c>
      <c r="Q2979" t="s">
        <v>47</v>
      </c>
      <c r="R2979" t="s">
        <v>44</v>
      </c>
      <c r="S2979">
        <v>0</v>
      </c>
      <c r="W2979" s="3">
        <v>1.3888888888888889E-4</v>
      </c>
      <c r="X2979" t="s">
        <v>49</v>
      </c>
      <c r="Y2979">
        <v>0</v>
      </c>
      <c r="Z2979">
        <v>0</v>
      </c>
      <c r="AA2979" t="s">
        <v>49</v>
      </c>
      <c r="AB2979">
        <v>0</v>
      </c>
      <c r="AC2979" t="s">
        <v>49</v>
      </c>
      <c r="AD2979">
        <v>0</v>
      </c>
      <c r="AE2979">
        <v>-1</v>
      </c>
      <c r="AF2979" t="s">
        <v>63</v>
      </c>
      <c r="AG2979" t="s">
        <v>3037</v>
      </c>
    </row>
    <row r="2980" spans="1:33" x14ac:dyDescent="0.35">
      <c r="A2980" s="1">
        <v>44797.478472222225</v>
      </c>
      <c r="B2980">
        <v>3317649</v>
      </c>
      <c r="C2980" t="s">
        <v>6164</v>
      </c>
      <c r="D2980" t="s">
        <v>760</v>
      </c>
      <c r="E2980" s="2">
        <v>41401</v>
      </c>
      <c r="F2980" t="str">
        <f>"9781610915274"</f>
        <v>9781610915274</v>
      </c>
      <c r="G2980" t="str">
        <f>"9781610911979"</f>
        <v>9781610911979</v>
      </c>
      <c r="H2980" t="s">
        <v>1046</v>
      </c>
      <c r="I2980">
        <v>307.740973</v>
      </c>
      <c r="J2980" t="s">
        <v>6165</v>
      </c>
      <c r="K2980" t="s">
        <v>44</v>
      </c>
      <c r="N2980" t="s">
        <v>45</v>
      </c>
      <c r="O2980" t="s">
        <v>46</v>
      </c>
      <c r="P2980" t="s">
        <v>45</v>
      </c>
      <c r="Q2980" t="s">
        <v>47</v>
      </c>
      <c r="R2980" t="s">
        <v>44</v>
      </c>
      <c r="S2980">
        <v>0</v>
      </c>
      <c r="W2980" s="3">
        <v>4.6296296296296294E-5</v>
      </c>
      <c r="X2980" t="s">
        <v>49</v>
      </c>
      <c r="Y2980">
        <v>0</v>
      </c>
      <c r="Z2980">
        <v>4</v>
      </c>
      <c r="AA2980" t="s">
        <v>6166</v>
      </c>
      <c r="AB2980">
        <v>68</v>
      </c>
      <c r="AC2980" t="s">
        <v>49</v>
      </c>
      <c r="AD2980">
        <v>0</v>
      </c>
      <c r="AE2980">
        <v>10769029</v>
      </c>
      <c r="AF2980" t="s">
        <v>63</v>
      </c>
      <c r="AG2980" t="s">
        <v>3037</v>
      </c>
    </row>
    <row r="2981" spans="1:33" x14ac:dyDescent="0.35">
      <c r="A2981" s="1">
        <v>44797.430555555555</v>
      </c>
      <c r="B2981">
        <v>231640</v>
      </c>
      <c r="C2981" t="s">
        <v>6167</v>
      </c>
      <c r="D2981" t="s">
        <v>861</v>
      </c>
      <c r="E2981" s="2">
        <v>38472</v>
      </c>
      <c r="F2981" t="str">
        <f>"9781580533669"</f>
        <v>9781580533669</v>
      </c>
      <c r="G2981" t="str">
        <f>"9781580536103"</f>
        <v>9781580536103</v>
      </c>
      <c r="H2981" t="s">
        <v>542</v>
      </c>
      <c r="I2981" t="s">
        <v>6168</v>
      </c>
      <c r="J2981" t="s">
        <v>6169</v>
      </c>
      <c r="K2981" t="s">
        <v>44</v>
      </c>
      <c r="N2981" t="s">
        <v>45</v>
      </c>
      <c r="O2981" t="s">
        <v>46</v>
      </c>
      <c r="P2981" t="s">
        <v>45</v>
      </c>
      <c r="Q2981" t="s">
        <v>47</v>
      </c>
      <c r="R2981" t="s">
        <v>44</v>
      </c>
      <c r="S2981">
        <v>1</v>
      </c>
      <c r="W2981" s="3">
        <v>1.4930555555555556E-3</v>
      </c>
      <c r="X2981" t="s">
        <v>6170</v>
      </c>
      <c r="Y2981">
        <v>17</v>
      </c>
      <c r="Z2981">
        <v>0</v>
      </c>
      <c r="AA2981" t="s">
        <v>49</v>
      </c>
      <c r="AB2981">
        <v>0</v>
      </c>
      <c r="AC2981" t="s">
        <v>49</v>
      </c>
      <c r="AD2981">
        <v>0</v>
      </c>
      <c r="AE2981">
        <v>10081926</v>
      </c>
      <c r="AF2981" t="s">
        <v>63</v>
      </c>
      <c r="AG2981" t="s">
        <v>6171</v>
      </c>
    </row>
    <row r="2982" spans="1:33" x14ac:dyDescent="0.35">
      <c r="A2982" s="1">
        <v>44797.380555555559</v>
      </c>
      <c r="B2982">
        <v>5723965</v>
      </c>
      <c r="C2982" t="s">
        <v>6137</v>
      </c>
      <c r="D2982" t="s">
        <v>156</v>
      </c>
      <c r="E2982" s="2">
        <v>43528</v>
      </c>
      <c r="F2982" t="str">
        <f>"9780253039729"</f>
        <v>9780253039729</v>
      </c>
      <c r="G2982" t="str">
        <f>"9780253039705"</f>
        <v>9780253039705</v>
      </c>
      <c r="H2982" t="s">
        <v>233</v>
      </c>
      <c r="I2982" t="s">
        <v>6138</v>
      </c>
      <c r="J2982" t="s">
        <v>6139</v>
      </c>
      <c r="K2982" t="s">
        <v>55</v>
      </c>
      <c r="N2982" t="s">
        <v>293</v>
      </c>
      <c r="P2982" t="s">
        <v>80</v>
      </c>
      <c r="Q2982" t="s">
        <v>47</v>
      </c>
      <c r="R2982" t="s">
        <v>44</v>
      </c>
      <c r="S2982">
        <v>0</v>
      </c>
      <c r="W2982" s="3">
        <v>9.9537037037037042E-4</v>
      </c>
      <c r="X2982" t="s">
        <v>6172</v>
      </c>
      <c r="Y2982">
        <v>11</v>
      </c>
      <c r="Z2982">
        <v>0</v>
      </c>
      <c r="AA2982" t="s">
        <v>49</v>
      </c>
      <c r="AB2982">
        <v>0</v>
      </c>
      <c r="AC2982" t="s">
        <v>49</v>
      </c>
      <c r="AD2982">
        <v>0</v>
      </c>
      <c r="AE2982">
        <v>11657910</v>
      </c>
      <c r="AF2982" t="s">
        <v>50</v>
      </c>
      <c r="AG2982" t="s">
        <v>3037</v>
      </c>
    </row>
    <row r="2983" spans="1:33" x14ac:dyDescent="0.35">
      <c r="A2983" s="1">
        <v>44796.940972222219</v>
      </c>
      <c r="B2983">
        <v>1042470</v>
      </c>
      <c r="C2983" t="s">
        <v>6173</v>
      </c>
      <c r="D2983" t="s">
        <v>502</v>
      </c>
      <c r="E2983" s="2">
        <v>41316</v>
      </c>
      <c r="F2983" t="str">
        <f>"9781139782401"</f>
        <v>9781139782401</v>
      </c>
      <c r="G2983" t="str">
        <f>"9781107009097"</f>
        <v>9781107009097</v>
      </c>
      <c r="H2983" t="s">
        <v>1914</v>
      </c>
      <c r="I2983" t="s">
        <v>6174</v>
      </c>
      <c r="J2983" t="s">
        <v>6175</v>
      </c>
      <c r="K2983" t="s">
        <v>44</v>
      </c>
      <c r="N2983" t="s">
        <v>45</v>
      </c>
      <c r="O2983" t="s">
        <v>46</v>
      </c>
      <c r="P2983" t="s">
        <v>45</v>
      </c>
      <c r="Q2983" t="s">
        <v>47</v>
      </c>
      <c r="R2983" t="s">
        <v>44</v>
      </c>
      <c r="S2983">
        <v>0</v>
      </c>
      <c r="W2983" s="3">
        <v>1.082175925925926E-2</v>
      </c>
      <c r="X2983" t="s">
        <v>6176</v>
      </c>
      <c r="Y2983">
        <v>11</v>
      </c>
      <c r="Z2983">
        <v>0</v>
      </c>
      <c r="AA2983" t="s">
        <v>49</v>
      </c>
      <c r="AB2983">
        <v>0</v>
      </c>
      <c r="AC2983" t="s">
        <v>49</v>
      </c>
      <c r="AD2983">
        <v>0</v>
      </c>
      <c r="AE2983">
        <v>10752968</v>
      </c>
      <c r="AF2983" t="s">
        <v>63</v>
      </c>
      <c r="AG2983" t="s">
        <v>3037</v>
      </c>
    </row>
    <row r="2984" spans="1:33" x14ac:dyDescent="0.35">
      <c r="A2984" s="1">
        <v>44796.85833333333</v>
      </c>
      <c r="B2984">
        <v>1042470</v>
      </c>
      <c r="C2984" t="s">
        <v>6173</v>
      </c>
      <c r="D2984" t="s">
        <v>502</v>
      </c>
      <c r="E2984" s="2">
        <v>41316</v>
      </c>
      <c r="F2984" t="str">
        <f>"9781139782401"</f>
        <v>9781139782401</v>
      </c>
      <c r="G2984" t="str">
        <f>"9781107009097"</f>
        <v>9781107009097</v>
      </c>
      <c r="H2984" t="s">
        <v>1914</v>
      </c>
      <c r="I2984" t="s">
        <v>6174</v>
      </c>
      <c r="J2984" t="s">
        <v>6175</v>
      </c>
      <c r="K2984" t="s">
        <v>44</v>
      </c>
      <c r="N2984" t="s">
        <v>45</v>
      </c>
      <c r="O2984" t="s">
        <v>46</v>
      </c>
      <c r="P2984" t="s">
        <v>45</v>
      </c>
      <c r="Q2984" t="s">
        <v>47</v>
      </c>
      <c r="R2984" t="s">
        <v>44</v>
      </c>
      <c r="S2984">
        <v>0</v>
      </c>
      <c r="W2984" s="3">
        <v>3.9270833333333331E-2</v>
      </c>
      <c r="X2984" t="s">
        <v>6177</v>
      </c>
      <c r="Y2984">
        <v>27</v>
      </c>
      <c r="Z2984">
        <v>0</v>
      </c>
      <c r="AA2984" t="s">
        <v>49</v>
      </c>
      <c r="AB2984">
        <v>0</v>
      </c>
      <c r="AC2984" t="s">
        <v>49</v>
      </c>
      <c r="AD2984">
        <v>0</v>
      </c>
      <c r="AE2984">
        <v>10752968</v>
      </c>
      <c r="AF2984" t="s">
        <v>63</v>
      </c>
      <c r="AG2984" t="s">
        <v>3037</v>
      </c>
    </row>
    <row r="2985" spans="1:33" x14ac:dyDescent="0.35">
      <c r="A2985" s="1">
        <v>44796.704861111109</v>
      </c>
      <c r="B2985">
        <v>3339395</v>
      </c>
      <c r="C2985" t="s">
        <v>6178</v>
      </c>
      <c r="D2985" t="s">
        <v>303</v>
      </c>
      <c r="E2985" s="2">
        <v>40963</v>
      </c>
      <c r="F2985" t="str">
        <f>"9780262301671"</f>
        <v>9780262301671</v>
      </c>
      <c r="G2985" t="str">
        <f>"9780262017213"</f>
        <v>9780262017213</v>
      </c>
      <c r="H2985" t="s">
        <v>1046</v>
      </c>
      <c r="I2985">
        <v>307.76097299999998</v>
      </c>
      <c r="K2985" t="s">
        <v>44</v>
      </c>
      <c r="N2985" t="s">
        <v>45</v>
      </c>
      <c r="O2985" t="s">
        <v>46</v>
      </c>
      <c r="P2985" t="s">
        <v>45</v>
      </c>
      <c r="Q2985" t="s">
        <v>47</v>
      </c>
      <c r="R2985" t="s">
        <v>44</v>
      </c>
      <c r="S2985">
        <v>0</v>
      </c>
      <c r="W2985" s="3">
        <v>0</v>
      </c>
      <c r="X2985" t="s">
        <v>49</v>
      </c>
      <c r="Y2985">
        <v>0</v>
      </c>
      <c r="Z2985">
        <v>1</v>
      </c>
      <c r="AA2985" t="s">
        <v>6179</v>
      </c>
      <c r="AB2985">
        <v>12</v>
      </c>
      <c r="AC2985" t="s">
        <v>49</v>
      </c>
      <c r="AD2985">
        <v>0</v>
      </c>
      <c r="AE2985">
        <v>10534382</v>
      </c>
      <c r="AF2985" t="s">
        <v>63</v>
      </c>
      <c r="AG2985" t="s">
        <v>3037</v>
      </c>
    </row>
    <row r="2986" spans="1:33" x14ac:dyDescent="0.35">
      <c r="A2986" s="1">
        <v>44796.7</v>
      </c>
      <c r="B2986">
        <v>817336</v>
      </c>
      <c r="C2986" t="s">
        <v>6180</v>
      </c>
      <c r="D2986" t="s">
        <v>59</v>
      </c>
      <c r="E2986" s="2">
        <v>40932</v>
      </c>
      <c r="F2986" t="str">
        <f>"9781118127605"</f>
        <v>9781118127605</v>
      </c>
      <c r="G2986" t="str">
        <f>"9780470540930"</f>
        <v>9780470540930</v>
      </c>
      <c r="H2986" t="s">
        <v>60</v>
      </c>
      <c r="I2986">
        <v>388.4</v>
      </c>
      <c r="J2986" t="s">
        <v>6181</v>
      </c>
      <c r="K2986" t="s">
        <v>44</v>
      </c>
      <c r="N2986" t="s">
        <v>45</v>
      </c>
      <c r="O2986" t="s">
        <v>46</v>
      </c>
      <c r="P2986" t="s">
        <v>45</v>
      </c>
      <c r="Q2986" t="s">
        <v>47</v>
      </c>
      <c r="R2986" t="s">
        <v>44</v>
      </c>
      <c r="S2986">
        <v>0</v>
      </c>
      <c r="W2986" s="3">
        <v>0</v>
      </c>
      <c r="X2986" t="s">
        <v>49</v>
      </c>
      <c r="Y2986">
        <v>0</v>
      </c>
      <c r="Z2986">
        <v>3</v>
      </c>
      <c r="AA2986" t="s">
        <v>6182</v>
      </c>
      <c r="AB2986">
        <v>44</v>
      </c>
      <c r="AC2986" t="s">
        <v>49</v>
      </c>
      <c r="AD2986">
        <v>0</v>
      </c>
      <c r="AE2986">
        <v>10509863</v>
      </c>
      <c r="AF2986" t="s">
        <v>63</v>
      </c>
      <c r="AG2986" t="s">
        <v>3037</v>
      </c>
    </row>
    <row r="2987" spans="1:33" x14ac:dyDescent="0.35">
      <c r="A2987" s="1">
        <v>44796.699305555558</v>
      </c>
      <c r="B2987">
        <v>3408601</v>
      </c>
      <c r="C2987" t="s">
        <v>6183</v>
      </c>
      <c r="D2987" t="s">
        <v>645</v>
      </c>
      <c r="E2987" s="2">
        <v>37903</v>
      </c>
      <c r="F2987" t="str">
        <f>"9780791486603"</f>
        <v>9780791486603</v>
      </c>
      <c r="G2987" t="str">
        <f>"9780791457931"</f>
        <v>9780791457931</v>
      </c>
      <c r="H2987" t="s">
        <v>498</v>
      </c>
      <c r="I2987">
        <v>193</v>
      </c>
      <c r="J2987" t="s">
        <v>6184</v>
      </c>
      <c r="K2987" t="s">
        <v>44</v>
      </c>
      <c r="N2987" t="s">
        <v>45</v>
      </c>
      <c r="O2987" t="s">
        <v>46</v>
      </c>
      <c r="P2987" t="s">
        <v>45</v>
      </c>
      <c r="Q2987" t="s">
        <v>47</v>
      </c>
      <c r="R2987" t="s">
        <v>44</v>
      </c>
      <c r="S2987">
        <v>0</v>
      </c>
      <c r="W2987" s="3">
        <v>1.9444444444444442E-3</v>
      </c>
      <c r="X2987" t="s">
        <v>6185</v>
      </c>
      <c r="Y2987">
        <v>8</v>
      </c>
      <c r="Z2987">
        <v>0</v>
      </c>
      <c r="AA2987" t="s">
        <v>49</v>
      </c>
      <c r="AB2987">
        <v>0</v>
      </c>
      <c r="AC2987" t="s">
        <v>49</v>
      </c>
      <c r="AD2987">
        <v>0</v>
      </c>
      <c r="AE2987">
        <v>10594954</v>
      </c>
      <c r="AF2987" t="s">
        <v>50</v>
      </c>
      <c r="AG2987" t="s">
        <v>3037</v>
      </c>
    </row>
    <row r="2988" spans="1:33" x14ac:dyDescent="0.35">
      <c r="A2988" s="1">
        <v>44796.697222222225</v>
      </c>
      <c r="B2988">
        <v>298481</v>
      </c>
      <c r="C2988" t="s">
        <v>3431</v>
      </c>
      <c r="D2988" t="s">
        <v>76</v>
      </c>
      <c r="E2988" s="2">
        <v>37791</v>
      </c>
      <c r="F2988" t="str">
        <f>"9780080520278"</f>
        <v>9780080520278</v>
      </c>
      <c r="G2988" t="str">
        <f>"9780750657174"</f>
        <v>9780750657174</v>
      </c>
      <c r="H2988" t="s">
        <v>3432</v>
      </c>
      <c r="I2988">
        <v>711.4</v>
      </c>
      <c r="J2988" t="s">
        <v>3433</v>
      </c>
      <c r="K2988" t="s">
        <v>44</v>
      </c>
      <c r="N2988" t="s">
        <v>45</v>
      </c>
      <c r="O2988" t="s">
        <v>46</v>
      </c>
      <c r="P2988" t="s">
        <v>45</v>
      </c>
      <c r="Q2988" t="s">
        <v>47</v>
      </c>
      <c r="R2988" t="s">
        <v>44</v>
      </c>
      <c r="S2988">
        <v>0</v>
      </c>
      <c r="W2988" s="3">
        <v>0</v>
      </c>
      <c r="X2988" t="s">
        <v>49</v>
      </c>
      <c r="Y2988">
        <v>0</v>
      </c>
      <c r="Z2988">
        <v>3</v>
      </c>
      <c r="AA2988" t="s">
        <v>6186</v>
      </c>
      <c r="AB2988">
        <v>76</v>
      </c>
      <c r="AC2988" t="s">
        <v>49</v>
      </c>
      <c r="AD2988">
        <v>0</v>
      </c>
      <c r="AE2988">
        <v>10179875</v>
      </c>
      <c r="AF2988" t="s">
        <v>63</v>
      </c>
      <c r="AG2988" t="s">
        <v>3037</v>
      </c>
    </row>
    <row r="2989" spans="1:33" x14ac:dyDescent="0.35">
      <c r="A2989" s="1">
        <v>44796.693055555559</v>
      </c>
      <c r="B2989">
        <v>1024564</v>
      </c>
      <c r="C2989" t="s">
        <v>6187</v>
      </c>
      <c r="D2989" t="s">
        <v>76</v>
      </c>
      <c r="E2989" s="2">
        <v>37791</v>
      </c>
      <c r="F2989" t="str">
        <f>"9781136020667"</f>
        <v>9781136020667</v>
      </c>
      <c r="G2989" t="str">
        <f>"9780750657181"</f>
        <v>9780750657181</v>
      </c>
      <c r="H2989" t="s">
        <v>6013</v>
      </c>
      <c r="I2989">
        <v>711.4</v>
      </c>
      <c r="J2989" t="s">
        <v>6188</v>
      </c>
      <c r="K2989" t="s">
        <v>44</v>
      </c>
      <c r="N2989" t="s">
        <v>45</v>
      </c>
      <c r="O2989" t="s">
        <v>46</v>
      </c>
      <c r="P2989" t="s">
        <v>45</v>
      </c>
      <c r="Q2989" t="s">
        <v>47</v>
      </c>
      <c r="R2989" t="s">
        <v>44</v>
      </c>
      <c r="S2989">
        <v>0</v>
      </c>
      <c r="W2989" s="3">
        <v>0</v>
      </c>
      <c r="X2989" t="s">
        <v>49</v>
      </c>
      <c r="Y2989">
        <v>0</v>
      </c>
      <c r="Z2989">
        <v>6</v>
      </c>
      <c r="AA2989" t="s">
        <v>6189</v>
      </c>
      <c r="AB2989">
        <v>88</v>
      </c>
      <c r="AC2989" t="s">
        <v>49</v>
      </c>
      <c r="AD2989">
        <v>0</v>
      </c>
      <c r="AE2989">
        <v>10603378</v>
      </c>
      <c r="AF2989" t="s">
        <v>63</v>
      </c>
      <c r="AG2989" t="s">
        <v>3037</v>
      </c>
    </row>
    <row r="2990" spans="1:33" x14ac:dyDescent="0.35">
      <c r="A2990" s="1">
        <v>44796.691666666666</v>
      </c>
      <c r="B2990">
        <v>5607639</v>
      </c>
      <c r="C2990" t="s">
        <v>3215</v>
      </c>
      <c r="D2990" t="s">
        <v>213</v>
      </c>
      <c r="E2990" s="2">
        <v>43437</v>
      </c>
      <c r="F2990" t="str">
        <f>"9780128150399"</f>
        <v>9780128150399</v>
      </c>
      <c r="G2990" t="str">
        <f>"9780128150382"</f>
        <v>9780128150382</v>
      </c>
      <c r="H2990" t="s">
        <v>60</v>
      </c>
      <c r="I2990">
        <v>388.4</v>
      </c>
      <c r="J2990" t="s">
        <v>3216</v>
      </c>
      <c r="K2990" t="s">
        <v>55</v>
      </c>
      <c r="Q2990" t="s">
        <v>47</v>
      </c>
      <c r="R2990" t="s">
        <v>44</v>
      </c>
      <c r="S2990">
        <v>0</v>
      </c>
      <c r="W2990" s="3">
        <v>1.0069444444444444E-3</v>
      </c>
      <c r="X2990" t="s">
        <v>49</v>
      </c>
      <c r="Y2990">
        <v>0</v>
      </c>
      <c r="Z2990">
        <v>0</v>
      </c>
      <c r="AA2990" t="s">
        <v>49</v>
      </c>
      <c r="AB2990">
        <v>0</v>
      </c>
      <c r="AC2990" t="s">
        <v>49</v>
      </c>
      <c r="AD2990">
        <v>0</v>
      </c>
      <c r="AE2990">
        <v>-1</v>
      </c>
      <c r="AF2990" t="s">
        <v>63</v>
      </c>
      <c r="AG2990" t="s">
        <v>3037</v>
      </c>
    </row>
    <row r="2991" spans="1:33" x14ac:dyDescent="0.35">
      <c r="A2991" s="1">
        <v>44796.683333333334</v>
      </c>
      <c r="B2991">
        <v>433165</v>
      </c>
      <c r="C2991" t="s">
        <v>3268</v>
      </c>
      <c r="D2991" t="s">
        <v>2754</v>
      </c>
      <c r="E2991" s="2">
        <v>39814</v>
      </c>
      <c r="F2991" t="str">
        <f>"9780816666478"</f>
        <v>9780816666478</v>
      </c>
      <c r="G2991" t="str">
        <f>"9780816656387"</f>
        <v>9780816656387</v>
      </c>
      <c r="H2991" t="s">
        <v>3269</v>
      </c>
      <c r="I2991" t="s">
        <v>3270</v>
      </c>
      <c r="J2991" t="s">
        <v>3271</v>
      </c>
      <c r="K2991" t="s">
        <v>44</v>
      </c>
      <c r="N2991" t="s">
        <v>45</v>
      </c>
      <c r="O2991" t="s">
        <v>46</v>
      </c>
      <c r="P2991" t="s">
        <v>45</v>
      </c>
      <c r="Q2991" t="s">
        <v>47</v>
      </c>
      <c r="R2991" t="s">
        <v>44</v>
      </c>
      <c r="S2991">
        <v>0</v>
      </c>
      <c r="W2991" s="3">
        <v>0</v>
      </c>
      <c r="X2991" t="s">
        <v>49</v>
      </c>
      <c r="Y2991">
        <v>0</v>
      </c>
      <c r="Z2991">
        <v>3</v>
      </c>
      <c r="AA2991" t="s">
        <v>6190</v>
      </c>
      <c r="AB2991">
        <v>152</v>
      </c>
      <c r="AC2991" t="s">
        <v>49</v>
      </c>
      <c r="AD2991">
        <v>0</v>
      </c>
      <c r="AE2991">
        <v>10280045</v>
      </c>
      <c r="AF2991" t="s">
        <v>63</v>
      </c>
      <c r="AG2991" t="s">
        <v>3037</v>
      </c>
    </row>
    <row r="2992" spans="1:33" x14ac:dyDescent="0.35">
      <c r="A2992" s="1">
        <v>44796.640277777777</v>
      </c>
      <c r="B2992">
        <v>3338850</v>
      </c>
      <c r="C2992" t="s">
        <v>6191</v>
      </c>
      <c r="D2992" t="s">
        <v>303</v>
      </c>
      <c r="E2992" s="2">
        <v>36476</v>
      </c>
      <c r="F2992" t="str">
        <f>"9780262256285"</f>
        <v>9780262256285</v>
      </c>
      <c r="G2992" t="str">
        <f>"9780262571326"</f>
        <v>9780262571326</v>
      </c>
      <c r="H2992" t="s">
        <v>138</v>
      </c>
      <c r="I2992">
        <v>5.2750000000000004</v>
      </c>
      <c r="J2992" t="s">
        <v>6192</v>
      </c>
      <c r="K2992" t="s">
        <v>44</v>
      </c>
      <c r="N2992" t="s">
        <v>45</v>
      </c>
      <c r="O2992" t="s">
        <v>46</v>
      </c>
      <c r="P2992" t="s">
        <v>45</v>
      </c>
      <c r="Q2992" t="s">
        <v>47</v>
      </c>
      <c r="R2992" t="s">
        <v>44</v>
      </c>
      <c r="S2992">
        <v>0</v>
      </c>
      <c r="W2992" s="3">
        <v>2.4305555555555552E-4</v>
      </c>
      <c r="X2992" t="s">
        <v>6193</v>
      </c>
      <c r="Y2992">
        <v>7</v>
      </c>
      <c r="Z2992">
        <v>0</v>
      </c>
      <c r="AA2992" t="s">
        <v>49</v>
      </c>
      <c r="AB2992">
        <v>0</v>
      </c>
      <c r="AC2992" t="s">
        <v>49</v>
      </c>
      <c r="AD2992">
        <v>0</v>
      </c>
      <c r="AE2992">
        <v>10225306</v>
      </c>
      <c r="AF2992" t="s">
        <v>50</v>
      </c>
      <c r="AG2992" t="s">
        <v>3037</v>
      </c>
    </row>
    <row r="2993" spans="1:33" x14ac:dyDescent="0.35">
      <c r="A2993" s="1">
        <v>44796.591666666667</v>
      </c>
      <c r="B2993">
        <v>6804272</v>
      </c>
      <c r="C2993" t="s">
        <v>6194</v>
      </c>
      <c r="D2993" t="s">
        <v>895</v>
      </c>
      <c r="E2993" s="2">
        <v>44547</v>
      </c>
      <c r="F2993" t="str">
        <f>"9781000520675"</f>
        <v>9781000520675</v>
      </c>
      <c r="G2993" t="str">
        <f>"9781032148267"</f>
        <v>9781032148267</v>
      </c>
      <c r="H2993" t="s">
        <v>1720</v>
      </c>
      <c r="I2993">
        <v>624.17100000000005</v>
      </c>
      <c r="J2993" t="s">
        <v>6195</v>
      </c>
      <c r="K2993" t="s">
        <v>55</v>
      </c>
      <c r="Q2993" t="s">
        <v>47</v>
      </c>
      <c r="R2993" t="s">
        <v>44</v>
      </c>
      <c r="S2993">
        <v>0</v>
      </c>
      <c r="W2993" s="3">
        <v>1.1574074074074073E-4</v>
      </c>
      <c r="X2993" t="s">
        <v>4721</v>
      </c>
      <c r="Y2993">
        <v>2</v>
      </c>
      <c r="Z2993">
        <v>0</v>
      </c>
      <c r="AA2993" t="s">
        <v>49</v>
      </c>
      <c r="AB2993">
        <v>0</v>
      </c>
      <c r="AC2993" t="s">
        <v>49</v>
      </c>
      <c r="AD2993">
        <v>0</v>
      </c>
      <c r="AE2993">
        <v>-1</v>
      </c>
      <c r="AF2993" t="s">
        <v>50</v>
      </c>
      <c r="AG2993" t="s">
        <v>3037</v>
      </c>
    </row>
    <row r="2994" spans="1:33" x14ac:dyDescent="0.35">
      <c r="A2994" s="1">
        <v>44796.553472222222</v>
      </c>
      <c r="B2994">
        <v>957520</v>
      </c>
      <c r="C2994" t="s">
        <v>3161</v>
      </c>
      <c r="D2994" t="s">
        <v>76</v>
      </c>
      <c r="E2994" s="2">
        <v>40891</v>
      </c>
      <c r="F2994" t="str">
        <f>"9780203802861"</f>
        <v>9780203802861</v>
      </c>
      <c r="G2994" t="str">
        <f>"9780415589758"</f>
        <v>9780415589758</v>
      </c>
      <c r="H2994" t="s">
        <v>1046</v>
      </c>
      <c r="I2994">
        <v>307.76010000000002</v>
      </c>
      <c r="J2994" t="s">
        <v>3162</v>
      </c>
      <c r="K2994" t="s">
        <v>44</v>
      </c>
      <c r="N2994" t="s">
        <v>45</v>
      </c>
      <c r="O2994" t="s">
        <v>46</v>
      </c>
      <c r="P2994" t="s">
        <v>45</v>
      </c>
      <c r="Q2994" t="s">
        <v>47</v>
      </c>
      <c r="R2994" t="s">
        <v>44</v>
      </c>
      <c r="S2994">
        <v>0</v>
      </c>
      <c r="W2994" s="3">
        <v>0</v>
      </c>
      <c r="X2994" t="s">
        <v>49</v>
      </c>
      <c r="Y2994">
        <v>0</v>
      </c>
      <c r="Z2994">
        <v>2</v>
      </c>
      <c r="AA2994" t="s">
        <v>6196</v>
      </c>
      <c r="AB2994">
        <v>90</v>
      </c>
      <c r="AC2994" t="s">
        <v>49</v>
      </c>
      <c r="AD2994">
        <v>0</v>
      </c>
      <c r="AE2994">
        <v>10542221</v>
      </c>
      <c r="AF2994" t="s">
        <v>63</v>
      </c>
      <c r="AG2994" t="s">
        <v>6197</v>
      </c>
    </row>
    <row r="2995" spans="1:33" x14ac:dyDescent="0.35">
      <c r="A2995" s="1">
        <v>44796.549305555556</v>
      </c>
      <c r="B2995">
        <v>1676937</v>
      </c>
      <c r="C2995" t="s">
        <v>3164</v>
      </c>
      <c r="D2995" t="s">
        <v>59</v>
      </c>
      <c r="E2995" s="2">
        <v>41793</v>
      </c>
      <c r="F2995" t="str">
        <f>"9781118456514"</f>
        <v>9781118456514</v>
      </c>
      <c r="G2995" t="str">
        <f>"9781118456477"</f>
        <v>9781118456477</v>
      </c>
      <c r="H2995" t="s">
        <v>1046</v>
      </c>
      <c r="I2995">
        <v>307.11599999999999</v>
      </c>
      <c r="J2995" t="s">
        <v>6198</v>
      </c>
      <c r="K2995" t="s">
        <v>44</v>
      </c>
      <c r="N2995" t="s">
        <v>45</v>
      </c>
      <c r="O2995" t="s">
        <v>46</v>
      </c>
      <c r="P2995" t="s">
        <v>45</v>
      </c>
      <c r="Q2995" t="s">
        <v>47</v>
      </c>
      <c r="R2995" t="s">
        <v>44</v>
      </c>
      <c r="S2995">
        <v>0</v>
      </c>
      <c r="W2995" s="3">
        <v>1.1574074074074073E-5</v>
      </c>
      <c r="X2995" t="s">
        <v>6199</v>
      </c>
      <c r="Y2995">
        <v>1</v>
      </c>
      <c r="Z2995">
        <v>3</v>
      </c>
      <c r="AA2995" t="s">
        <v>6200</v>
      </c>
      <c r="AB2995">
        <v>123</v>
      </c>
      <c r="AC2995" t="s">
        <v>49</v>
      </c>
      <c r="AD2995">
        <v>0</v>
      </c>
      <c r="AE2995">
        <v>10864830</v>
      </c>
      <c r="AF2995" t="s">
        <v>63</v>
      </c>
      <c r="AG2995" t="s">
        <v>6197</v>
      </c>
    </row>
    <row r="2996" spans="1:33" x14ac:dyDescent="0.35">
      <c r="A2996" s="1">
        <v>44796.543055555558</v>
      </c>
      <c r="B2996">
        <v>6423996</v>
      </c>
      <c r="C2996" t="s">
        <v>3170</v>
      </c>
      <c r="D2996" t="s">
        <v>76</v>
      </c>
      <c r="E2996" s="2">
        <v>44187</v>
      </c>
      <c r="F2996" t="str">
        <f>"9780429511004"</f>
        <v>9780429511004</v>
      </c>
      <c r="G2996" t="str">
        <f>"9780367194390"</f>
        <v>9780367194390</v>
      </c>
      <c r="H2996" t="s">
        <v>483</v>
      </c>
      <c r="I2996">
        <v>720.28</v>
      </c>
      <c r="J2996" t="s">
        <v>3171</v>
      </c>
      <c r="K2996" t="s">
        <v>55</v>
      </c>
      <c r="N2996" t="s">
        <v>293</v>
      </c>
      <c r="P2996" t="s">
        <v>80</v>
      </c>
      <c r="Q2996" t="s">
        <v>47</v>
      </c>
      <c r="R2996" t="s">
        <v>44</v>
      </c>
      <c r="S2996">
        <v>0</v>
      </c>
      <c r="W2996" s="3">
        <v>1.0416666666666667E-4</v>
      </c>
      <c r="X2996" t="s">
        <v>2367</v>
      </c>
      <c r="Y2996">
        <v>1</v>
      </c>
      <c r="Z2996">
        <v>0</v>
      </c>
      <c r="AA2996" t="s">
        <v>49</v>
      </c>
      <c r="AB2996">
        <v>0</v>
      </c>
      <c r="AC2996" t="s">
        <v>49</v>
      </c>
      <c r="AD2996">
        <v>0</v>
      </c>
      <c r="AE2996">
        <v>-1</v>
      </c>
      <c r="AF2996" t="s">
        <v>63</v>
      </c>
      <c r="AG2996" t="s">
        <v>6197</v>
      </c>
    </row>
    <row r="2997" spans="1:33" x14ac:dyDescent="0.35">
      <c r="A2997" s="1">
        <v>44796.504166666666</v>
      </c>
      <c r="B2997">
        <v>6634782</v>
      </c>
      <c r="C2997" t="s">
        <v>1950</v>
      </c>
      <c r="D2997" t="s">
        <v>76</v>
      </c>
      <c r="E2997" s="2">
        <v>41553</v>
      </c>
      <c r="F2997" t="str">
        <f>"9781000466850"</f>
        <v>9781000466850</v>
      </c>
      <c r="G2997" t="str">
        <f>"9781138422810"</f>
        <v>9781138422810</v>
      </c>
      <c r="H2997" t="s">
        <v>77</v>
      </c>
      <c r="I2997">
        <v>610.76</v>
      </c>
      <c r="J2997" t="s">
        <v>1951</v>
      </c>
      <c r="K2997" t="s">
        <v>55</v>
      </c>
      <c r="N2997" t="s">
        <v>79</v>
      </c>
      <c r="P2997" t="s">
        <v>80</v>
      </c>
      <c r="Q2997" t="s">
        <v>47</v>
      </c>
      <c r="R2997" t="s">
        <v>44</v>
      </c>
      <c r="S2997">
        <v>0</v>
      </c>
      <c r="W2997" s="3">
        <v>8.1018518518518516E-5</v>
      </c>
      <c r="X2997" t="s">
        <v>1025</v>
      </c>
      <c r="Y2997">
        <v>1</v>
      </c>
      <c r="Z2997">
        <v>0</v>
      </c>
      <c r="AA2997" t="s">
        <v>49</v>
      </c>
      <c r="AB2997">
        <v>0</v>
      </c>
      <c r="AC2997" t="s">
        <v>49</v>
      </c>
      <c r="AD2997">
        <v>0</v>
      </c>
      <c r="AE2997">
        <v>-1</v>
      </c>
      <c r="AF2997" t="s">
        <v>50</v>
      </c>
      <c r="AG2997" t="s">
        <v>3037</v>
      </c>
    </row>
    <row r="2998" spans="1:33" x14ac:dyDescent="0.35">
      <c r="A2998" s="1">
        <v>44795.611111111109</v>
      </c>
      <c r="B2998">
        <v>996673</v>
      </c>
      <c r="C2998" t="s">
        <v>6201</v>
      </c>
      <c r="D2998" t="s">
        <v>1282</v>
      </c>
      <c r="E2998" s="2">
        <v>36393</v>
      </c>
      <c r="F2998" t="str">
        <f>"9781452263410"</f>
        <v>9781452263410</v>
      </c>
      <c r="G2998" t="str">
        <f>"9780761906926"</f>
        <v>9780761906926</v>
      </c>
      <c r="H2998" t="s">
        <v>1046</v>
      </c>
      <c r="I2998" t="s">
        <v>6202</v>
      </c>
      <c r="J2998" t="s">
        <v>6203</v>
      </c>
      <c r="K2998" t="s">
        <v>44</v>
      </c>
      <c r="N2998" t="s">
        <v>45</v>
      </c>
      <c r="O2998" t="s">
        <v>46</v>
      </c>
      <c r="P2998" t="s">
        <v>45</v>
      </c>
      <c r="Q2998" t="s">
        <v>47</v>
      </c>
      <c r="R2998" t="s">
        <v>44</v>
      </c>
      <c r="S2998">
        <v>0</v>
      </c>
      <c r="W2998" s="3">
        <v>0</v>
      </c>
      <c r="X2998" t="s">
        <v>49</v>
      </c>
      <c r="Y2998">
        <v>0</v>
      </c>
      <c r="Z2998">
        <v>1</v>
      </c>
      <c r="AA2998" t="s">
        <v>6204</v>
      </c>
      <c r="AB2998">
        <v>2</v>
      </c>
      <c r="AC2998" t="s">
        <v>49</v>
      </c>
      <c r="AD2998">
        <v>0</v>
      </c>
      <c r="AE2998">
        <v>10581271</v>
      </c>
      <c r="AF2998" t="s">
        <v>50</v>
      </c>
      <c r="AG2998" t="s">
        <v>3037</v>
      </c>
    </row>
    <row r="2999" spans="1:33" x14ac:dyDescent="0.35">
      <c r="A2999" s="1">
        <v>44795.59097222222</v>
      </c>
      <c r="B2999">
        <v>5723965</v>
      </c>
      <c r="C2999" t="s">
        <v>6137</v>
      </c>
      <c r="D2999" t="s">
        <v>156</v>
      </c>
      <c r="E2999" s="2">
        <v>43528</v>
      </c>
      <c r="F2999" t="str">
        <f>"9780253039729"</f>
        <v>9780253039729</v>
      </c>
      <c r="G2999" t="str">
        <f>"9780253039705"</f>
        <v>9780253039705</v>
      </c>
      <c r="H2999" t="s">
        <v>233</v>
      </c>
      <c r="I2999" t="s">
        <v>6138</v>
      </c>
      <c r="J2999" t="s">
        <v>6139</v>
      </c>
      <c r="K2999" t="s">
        <v>55</v>
      </c>
      <c r="N2999" t="s">
        <v>293</v>
      </c>
      <c r="P2999" t="s">
        <v>80</v>
      </c>
      <c r="Q2999" t="s">
        <v>47</v>
      </c>
      <c r="R2999" t="s">
        <v>44</v>
      </c>
      <c r="S2999">
        <v>0</v>
      </c>
      <c r="W2999" s="3">
        <v>9.6296296296296303E-3</v>
      </c>
      <c r="X2999" t="s">
        <v>6205</v>
      </c>
      <c r="Y2999">
        <v>21</v>
      </c>
      <c r="Z2999">
        <v>0</v>
      </c>
      <c r="AA2999" t="s">
        <v>49</v>
      </c>
      <c r="AB2999">
        <v>0</v>
      </c>
      <c r="AC2999" t="s">
        <v>49</v>
      </c>
      <c r="AD2999">
        <v>0</v>
      </c>
      <c r="AE2999">
        <v>11657910</v>
      </c>
      <c r="AF2999" t="s">
        <v>63</v>
      </c>
      <c r="AG2999" t="s">
        <v>3037</v>
      </c>
    </row>
    <row r="3000" spans="1:33" x14ac:dyDescent="0.35">
      <c r="A3000" s="1">
        <v>44795.556250000001</v>
      </c>
      <c r="B3000">
        <v>5723965</v>
      </c>
      <c r="C3000" t="s">
        <v>6137</v>
      </c>
      <c r="D3000" t="s">
        <v>156</v>
      </c>
      <c r="E3000" s="2">
        <v>43528</v>
      </c>
      <c r="F3000" t="str">
        <f>"9780253039729"</f>
        <v>9780253039729</v>
      </c>
      <c r="G3000" t="str">
        <f>"9780253039705"</f>
        <v>9780253039705</v>
      </c>
      <c r="H3000" t="s">
        <v>233</v>
      </c>
      <c r="I3000" t="s">
        <v>6138</v>
      </c>
      <c r="J3000" t="s">
        <v>6139</v>
      </c>
      <c r="K3000" t="s">
        <v>55</v>
      </c>
      <c r="N3000" t="s">
        <v>293</v>
      </c>
      <c r="P3000" t="s">
        <v>80</v>
      </c>
      <c r="Q3000" t="s">
        <v>47</v>
      </c>
      <c r="R3000" t="s">
        <v>44</v>
      </c>
      <c r="S3000">
        <v>0</v>
      </c>
      <c r="W3000" s="3">
        <v>1.8518518518518518E-4</v>
      </c>
      <c r="X3000" t="s">
        <v>6206</v>
      </c>
      <c r="Y3000">
        <v>5</v>
      </c>
      <c r="Z3000">
        <v>0</v>
      </c>
      <c r="AA3000" t="s">
        <v>49</v>
      </c>
      <c r="AB3000">
        <v>0</v>
      </c>
      <c r="AC3000" t="s">
        <v>49</v>
      </c>
      <c r="AD3000">
        <v>0</v>
      </c>
      <c r="AE3000">
        <v>11657910</v>
      </c>
      <c r="AF3000" t="s">
        <v>50</v>
      </c>
      <c r="AG3000" t="s">
        <v>3037</v>
      </c>
    </row>
    <row r="3001" spans="1:33" x14ac:dyDescent="0.35">
      <c r="A3001" s="1">
        <v>44795.524305555555</v>
      </c>
      <c r="B3001">
        <v>3408601</v>
      </c>
      <c r="C3001" t="s">
        <v>6183</v>
      </c>
      <c r="D3001" t="s">
        <v>645</v>
      </c>
      <c r="E3001" s="2">
        <v>37903</v>
      </c>
      <c r="F3001" t="str">
        <f>"9780791486603"</f>
        <v>9780791486603</v>
      </c>
      <c r="G3001" t="str">
        <f>"9780791457931"</f>
        <v>9780791457931</v>
      </c>
      <c r="H3001" t="s">
        <v>498</v>
      </c>
      <c r="I3001">
        <v>193</v>
      </c>
      <c r="J3001" t="s">
        <v>6184</v>
      </c>
      <c r="K3001" t="s">
        <v>44</v>
      </c>
      <c r="N3001" t="s">
        <v>45</v>
      </c>
      <c r="O3001" t="s">
        <v>46</v>
      </c>
      <c r="P3001" t="s">
        <v>45</v>
      </c>
      <c r="Q3001" t="s">
        <v>47</v>
      </c>
      <c r="R3001" t="s">
        <v>44</v>
      </c>
      <c r="S3001">
        <v>0</v>
      </c>
      <c r="W3001" s="3">
        <v>4.3749999999999995E-3</v>
      </c>
      <c r="X3001" t="s">
        <v>6207</v>
      </c>
      <c r="Y3001">
        <v>32</v>
      </c>
      <c r="Z3001">
        <v>0</v>
      </c>
      <c r="AA3001" t="s">
        <v>49</v>
      </c>
      <c r="AB3001">
        <v>0</v>
      </c>
      <c r="AC3001" t="s">
        <v>6208</v>
      </c>
      <c r="AD3001">
        <v>1</v>
      </c>
      <c r="AE3001">
        <v>10594954</v>
      </c>
      <c r="AF3001" t="s">
        <v>50</v>
      </c>
      <c r="AG3001" t="s">
        <v>3037</v>
      </c>
    </row>
    <row r="3002" spans="1:33" x14ac:dyDescent="0.35">
      <c r="A3002" s="1">
        <v>44794.724305555559</v>
      </c>
      <c r="B3002">
        <v>5723965</v>
      </c>
      <c r="C3002" t="s">
        <v>6137</v>
      </c>
      <c r="D3002" t="s">
        <v>156</v>
      </c>
      <c r="E3002" s="2">
        <v>43528</v>
      </c>
      <c r="F3002" t="str">
        <f>"9780253039729"</f>
        <v>9780253039729</v>
      </c>
      <c r="G3002" t="str">
        <f>"9780253039705"</f>
        <v>9780253039705</v>
      </c>
      <c r="H3002" t="s">
        <v>233</v>
      </c>
      <c r="I3002" t="s">
        <v>6138</v>
      </c>
      <c r="J3002" t="s">
        <v>6139</v>
      </c>
      <c r="K3002" t="s">
        <v>55</v>
      </c>
      <c r="N3002" t="s">
        <v>293</v>
      </c>
      <c r="P3002" t="s">
        <v>80</v>
      </c>
      <c r="Q3002" t="s">
        <v>47</v>
      </c>
      <c r="R3002" t="s">
        <v>44</v>
      </c>
      <c r="S3002">
        <v>0</v>
      </c>
      <c r="W3002" s="3">
        <v>1.5196759259259259E-2</v>
      </c>
      <c r="X3002" t="s">
        <v>6209</v>
      </c>
      <c r="Y3002">
        <v>27</v>
      </c>
      <c r="Z3002">
        <v>0</v>
      </c>
      <c r="AA3002" t="s">
        <v>49</v>
      </c>
      <c r="AB3002">
        <v>0</v>
      </c>
      <c r="AC3002" t="s">
        <v>6210</v>
      </c>
      <c r="AD3002">
        <v>7</v>
      </c>
      <c r="AE3002">
        <v>11657910</v>
      </c>
      <c r="AF3002" t="s">
        <v>63</v>
      </c>
      <c r="AG3002" t="s">
        <v>3037</v>
      </c>
    </row>
    <row r="3003" spans="1:33" x14ac:dyDescent="0.35">
      <c r="A3003" s="1">
        <v>44794.665972222225</v>
      </c>
      <c r="B3003">
        <v>5723965</v>
      </c>
      <c r="C3003" t="s">
        <v>6137</v>
      </c>
      <c r="D3003" t="s">
        <v>156</v>
      </c>
      <c r="E3003" s="2">
        <v>43528</v>
      </c>
      <c r="F3003" t="str">
        <f>"9780253039729"</f>
        <v>9780253039729</v>
      </c>
      <c r="G3003" t="str">
        <f>"9780253039705"</f>
        <v>9780253039705</v>
      </c>
      <c r="H3003" t="s">
        <v>233</v>
      </c>
      <c r="I3003" t="s">
        <v>6138</v>
      </c>
      <c r="J3003" t="s">
        <v>6139</v>
      </c>
      <c r="K3003" t="s">
        <v>55</v>
      </c>
      <c r="N3003" t="s">
        <v>293</v>
      </c>
      <c r="P3003" t="s">
        <v>80</v>
      </c>
      <c r="Q3003" t="s">
        <v>47</v>
      </c>
      <c r="R3003" t="s">
        <v>44</v>
      </c>
      <c r="S3003">
        <v>0</v>
      </c>
      <c r="W3003" s="3">
        <v>1.5069444444444443E-2</v>
      </c>
      <c r="X3003" t="s">
        <v>6211</v>
      </c>
      <c r="Y3003">
        <v>16</v>
      </c>
      <c r="Z3003">
        <v>0</v>
      </c>
      <c r="AA3003" t="s">
        <v>49</v>
      </c>
      <c r="AB3003">
        <v>0</v>
      </c>
      <c r="AC3003" t="s">
        <v>5579</v>
      </c>
      <c r="AD3003">
        <v>2</v>
      </c>
      <c r="AE3003">
        <v>11657910</v>
      </c>
      <c r="AF3003" t="s">
        <v>50</v>
      </c>
      <c r="AG3003" t="s">
        <v>3037</v>
      </c>
    </row>
    <row r="3004" spans="1:33" x14ac:dyDescent="0.35">
      <c r="A3004" s="1">
        <v>44794.432638888888</v>
      </c>
      <c r="B3004">
        <v>3408601</v>
      </c>
      <c r="C3004" t="s">
        <v>6183</v>
      </c>
      <c r="D3004" t="s">
        <v>645</v>
      </c>
      <c r="E3004" s="2">
        <v>37903</v>
      </c>
      <c r="F3004" t="str">
        <f>"9780791486603"</f>
        <v>9780791486603</v>
      </c>
      <c r="G3004" t="str">
        <f>"9780791457931"</f>
        <v>9780791457931</v>
      </c>
      <c r="H3004" t="s">
        <v>498</v>
      </c>
      <c r="I3004">
        <v>193</v>
      </c>
      <c r="J3004" t="s">
        <v>6184</v>
      </c>
      <c r="K3004" t="s">
        <v>44</v>
      </c>
      <c r="N3004" t="s">
        <v>45</v>
      </c>
      <c r="O3004" t="s">
        <v>46</v>
      </c>
      <c r="P3004" t="s">
        <v>45</v>
      </c>
      <c r="Q3004" t="s">
        <v>47</v>
      </c>
      <c r="R3004" t="s">
        <v>44</v>
      </c>
      <c r="S3004">
        <v>0</v>
      </c>
      <c r="W3004" s="3">
        <v>0.13315972222222222</v>
      </c>
      <c r="X3004" t="s">
        <v>6212</v>
      </c>
      <c r="Y3004">
        <v>53</v>
      </c>
      <c r="Z3004">
        <v>0</v>
      </c>
      <c r="AA3004" t="s">
        <v>49</v>
      </c>
      <c r="AB3004">
        <v>0</v>
      </c>
      <c r="AC3004" t="s">
        <v>6213</v>
      </c>
      <c r="AD3004">
        <v>6</v>
      </c>
      <c r="AE3004">
        <v>10594954</v>
      </c>
      <c r="AF3004" t="s">
        <v>50</v>
      </c>
      <c r="AG3004" t="s">
        <v>3037</v>
      </c>
    </row>
    <row r="3005" spans="1:33" x14ac:dyDescent="0.35">
      <c r="A3005" s="1">
        <v>44793.609027777777</v>
      </c>
      <c r="B3005">
        <v>3408601</v>
      </c>
      <c r="C3005" t="s">
        <v>6183</v>
      </c>
      <c r="D3005" t="s">
        <v>645</v>
      </c>
      <c r="E3005" s="2">
        <v>37903</v>
      </c>
      <c r="F3005" t="str">
        <f>"9780791486603"</f>
        <v>9780791486603</v>
      </c>
      <c r="G3005" t="str">
        <f>"9780791457931"</f>
        <v>9780791457931</v>
      </c>
      <c r="H3005" t="s">
        <v>498</v>
      </c>
      <c r="I3005">
        <v>193</v>
      </c>
      <c r="J3005" t="s">
        <v>6184</v>
      </c>
      <c r="K3005" t="s">
        <v>44</v>
      </c>
      <c r="N3005" t="s">
        <v>45</v>
      </c>
      <c r="O3005" t="s">
        <v>46</v>
      </c>
      <c r="P3005" t="s">
        <v>45</v>
      </c>
      <c r="Q3005" t="s">
        <v>47</v>
      </c>
      <c r="R3005" t="s">
        <v>44</v>
      </c>
      <c r="S3005">
        <v>0</v>
      </c>
      <c r="W3005" s="3">
        <v>8.5856481481481492E-2</v>
      </c>
      <c r="X3005" t="s">
        <v>6214</v>
      </c>
      <c r="Y3005">
        <v>38</v>
      </c>
      <c r="Z3005">
        <v>0</v>
      </c>
      <c r="AA3005" t="s">
        <v>49</v>
      </c>
      <c r="AB3005">
        <v>0</v>
      </c>
      <c r="AC3005" t="s">
        <v>6215</v>
      </c>
      <c r="AD3005">
        <v>5</v>
      </c>
      <c r="AE3005">
        <v>10594954</v>
      </c>
      <c r="AF3005" t="s">
        <v>50</v>
      </c>
      <c r="AG3005" t="s">
        <v>3037</v>
      </c>
    </row>
    <row r="3006" spans="1:33" x14ac:dyDescent="0.35">
      <c r="A3006" s="1">
        <v>44793.556944444441</v>
      </c>
      <c r="B3006">
        <v>3408601</v>
      </c>
      <c r="C3006" t="s">
        <v>6183</v>
      </c>
      <c r="D3006" t="s">
        <v>645</v>
      </c>
      <c r="E3006" s="2">
        <v>37903</v>
      </c>
      <c r="F3006" t="str">
        <f>"9780791486603"</f>
        <v>9780791486603</v>
      </c>
      <c r="G3006" t="str">
        <f>"9780791457931"</f>
        <v>9780791457931</v>
      </c>
      <c r="H3006" t="s">
        <v>498</v>
      </c>
      <c r="I3006">
        <v>193</v>
      </c>
      <c r="J3006" t="s">
        <v>6184</v>
      </c>
      <c r="K3006" t="s">
        <v>44</v>
      </c>
      <c r="N3006" t="s">
        <v>45</v>
      </c>
      <c r="O3006" t="s">
        <v>46</v>
      </c>
      <c r="P3006" t="s">
        <v>45</v>
      </c>
      <c r="Q3006" t="s">
        <v>47</v>
      </c>
      <c r="R3006" t="s">
        <v>44</v>
      </c>
      <c r="S3006">
        <v>0</v>
      </c>
      <c r="W3006" s="3">
        <v>5.5671296296296302E-3</v>
      </c>
      <c r="X3006" t="s">
        <v>6216</v>
      </c>
      <c r="Y3006">
        <v>4</v>
      </c>
      <c r="Z3006">
        <v>0</v>
      </c>
      <c r="AA3006" t="s">
        <v>49</v>
      </c>
      <c r="AB3006">
        <v>0</v>
      </c>
      <c r="AC3006" t="s">
        <v>49</v>
      </c>
      <c r="AD3006">
        <v>0</v>
      </c>
      <c r="AE3006">
        <v>10594954</v>
      </c>
      <c r="AF3006" t="s">
        <v>50</v>
      </c>
      <c r="AG3006" t="s">
        <v>3037</v>
      </c>
    </row>
    <row r="3007" spans="1:33" x14ac:dyDescent="0.35">
      <c r="A3007" s="1">
        <v>44792.730555555558</v>
      </c>
      <c r="B3007">
        <v>3408601</v>
      </c>
      <c r="C3007" t="s">
        <v>6183</v>
      </c>
      <c r="D3007" t="s">
        <v>645</v>
      </c>
      <c r="E3007" s="2">
        <v>37903</v>
      </c>
      <c r="F3007" t="str">
        <f>"9780791486603"</f>
        <v>9780791486603</v>
      </c>
      <c r="G3007" t="str">
        <f>"9780791457931"</f>
        <v>9780791457931</v>
      </c>
      <c r="H3007" t="s">
        <v>498</v>
      </c>
      <c r="I3007">
        <v>193</v>
      </c>
      <c r="J3007" t="s">
        <v>6184</v>
      </c>
      <c r="K3007" t="s">
        <v>44</v>
      </c>
      <c r="N3007" t="s">
        <v>45</v>
      </c>
      <c r="O3007" t="s">
        <v>46</v>
      </c>
      <c r="P3007" t="s">
        <v>45</v>
      </c>
      <c r="Q3007" t="s">
        <v>47</v>
      </c>
      <c r="R3007" t="s">
        <v>44</v>
      </c>
      <c r="S3007">
        <v>0</v>
      </c>
      <c r="W3007" s="3">
        <v>2.7696759259259258E-2</v>
      </c>
      <c r="X3007" t="s">
        <v>6217</v>
      </c>
      <c r="Y3007">
        <v>25</v>
      </c>
      <c r="Z3007">
        <v>0</v>
      </c>
      <c r="AA3007" t="s">
        <v>49</v>
      </c>
      <c r="AB3007">
        <v>0</v>
      </c>
      <c r="AC3007" t="s">
        <v>6218</v>
      </c>
      <c r="AD3007">
        <v>2</v>
      </c>
      <c r="AE3007">
        <v>10594954</v>
      </c>
      <c r="AF3007" t="s">
        <v>50</v>
      </c>
      <c r="AG3007" t="s">
        <v>3037</v>
      </c>
    </row>
    <row r="3008" spans="1:33" x14ac:dyDescent="0.35">
      <c r="A3008" s="1">
        <v>44791.804166666669</v>
      </c>
      <c r="B3008">
        <v>1926592</v>
      </c>
      <c r="C3008" t="s">
        <v>6219</v>
      </c>
      <c r="D3008" t="s">
        <v>65</v>
      </c>
      <c r="E3008" s="2">
        <v>42054</v>
      </c>
      <c r="F3008" t="str">
        <f>"9780128004944"</f>
        <v>9780128004944</v>
      </c>
      <c r="G3008" t="str">
        <f>"9780128001592"</f>
        <v>9780128001592</v>
      </c>
      <c r="H3008" t="s">
        <v>6220</v>
      </c>
      <c r="I3008">
        <v>615.9</v>
      </c>
      <c r="J3008" t="s">
        <v>6221</v>
      </c>
      <c r="K3008" t="s">
        <v>44</v>
      </c>
      <c r="N3008" t="s">
        <v>45</v>
      </c>
      <c r="O3008" t="s">
        <v>46</v>
      </c>
      <c r="P3008" t="s">
        <v>45</v>
      </c>
      <c r="Q3008" t="s">
        <v>47</v>
      </c>
      <c r="R3008" t="s">
        <v>44</v>
      </c>
      <c r="S3008">
        <v>0</v>
      </c>
      <c r="W3008" s="3">
        <v>5.7870370370370366E-5</v>
      </c>
      <c r="X3008" t="s">
        <v>121</v>
      </c>
      <c r="Y3008">
        <v>1</v>
      </c>
      <c r="Z3008">
        <v>0</v>
      </c>
      <c r="AA3008" t="s">
        <v>49</v>
      </c>
      <c r="AB3008">
        <v>0</v>
      </c>
      <c r="AC3008" t="s">
        <v>49</v>
      </c>
      <c r="AD3008">
        <v>0</v>
      </c>
      <c r="AE3008">
        <v>11012446</v>
      </c>
      <c r="AF3008" t="s">
        <v>50</v>
      </c>
      <c r="AG3008" t="s">
        <v>3037</v>
      </c>
    </row>
    <row r="3009" spans="1:33" x14ac:dyDescent="0.35">
      <c r="A3009" s="1">
        <v>44791.75277777778</v>
      </c>
      <c r="B3009">
        <v>5596841</v>
      </c>
      <c r="C3009" t="s">
        <v>1968</v>
      </c>
      <c r="D3009" t="s">
        <v>769</v>
      </c>
      <c r="E3009" s="2">
        <v>43411</v>
      </c>
      <c r="F3009" t="str">
        <f>"9781351013222"</f>
        <v>9781351013222</v>
      </c>
      <c r="G3009" t="str">
        <f>"9780815394372"</f>
        <v>9780815394372</v>
      </c>
      <c r="H3009" t="s">
        <v>138</v>
      </c>
      <c r="I3009" t="s">
        <v>1969</v>
      </c>
      <c r="K3009" t="s">
        <v>55</v>
      </c>
      <c r="Q3009" t="s">
        <v>47</v>
      </c>
      <c r="R3009" t="s">
        <v>44</v>
      </c>
      <c r="S3009">
        <v>0</v>
      </c>
      <c r="W3009" s="3">
        <v>2.3842592592592591E-3</v>
      </c>
      <c r="X3009" t="s">
        <v>6222</v>
      </c>
      <c r="Y3009">
        <v>16</v>
      </c>
      <c r="Z3009">
        <v>0</v>
      </c>
      <c r="AA3009" t="s">
        <v>49</v>
      </c>
      <c r="AB3009">
        <v>0</v>
      </c>
      <c r="AC3009" t="s">
        <v>49</v>
      </c>
      <c r="AD3009">
        <v>0</v>
      </c>
      <c r="AE3009">
        <v>-1</v>
      </c>
      <c r="AF3009" t="s">
        <v>50</v>
      </c>
      <c r="AG3009" t="s">
        <v>6223</v>
      </c>
    </row>
    <row r="3010" spans="1:33" x14ac:dyDescent="0.35">
      <c r="A3010" s="1">
        <v>44791.711111111108</v>
      </c>
      <c r="B3010">
        <v>1926592</v>
      </c>
      <c r="C3010" t="s">
        <v>6219</v>
      </c>
      <c r="D3010" t="s">
        <v>65</v>
      </c>
      <c r="E3010" s="2">
        <v>42054</v>
      </c>
      <c r="F3010" t="str">
        <f>"9780128004944"</f>
        <v>9780128004944</v>
      </c>
      <c r="G3010" t="str">
        <f>"9780128001592"</f>
        <v>9780128001592</v>
      </c>
      <c r="H3010" t="s">
        <v>6220</v>
      </c>
      <c r="I3010">
        <v>615.9</v>
      </c>
      <c r="J3010" t="s">
        <v>6221</v>
      </c>
      <c r="K3010" t="s">
        <v>44</v>
      </c>
      <c r="N3010" t="s">
        <v>45</v>
      </c>
      <c r="O3010" t="s">
        <v>46</v>
      </c>
      <c r="P3010" t="s">
        <v>45</v>
      </c>
      <c r="Q3010" t="s">
        <v>47</v>
      </c>
      <c r="R3010" t="s">
        <v>44</v>
      </c>
      <c r="S3010">
        <v>0</v>
      </c>
      <c r="W3010" s="3">
        <v>6.9444444444444444E-5</v>
      </c>
      <c r="X3010" t="s">
        <v>121</v>
      </c>
      <c r="Y3010">
        <v>1</v>
      </c>
      <c r="Z3010">
        <v>0</v>
      </c>
      <c r="AA3010" t="s">
        <v>49</v>
      </c>
      <c r="AB3010">
        <v>0</v>
      </c>
      <c r="AC3010" t="s">
        <v>49</v>
      </c>
      <c r="AD3010">
        <v>0</v>
      </c>
      <c r="AE3010">
        <v>11012446</v>
      </c>
      <c r="AF3010" t="s">
        <v>50</v>
      </c>
      <c r="AG3010" t="s">
        <v>3037</v>
      </c>
    </row>
    <row r="3011" spans="1:33" x14ac:dyDescent="0.35">
      <c r="A3011" s="1">
        <v>44791.633333333331</v>
      </c>
      <c r="B3011">
        <v>5607637</v>
      </c>
      <c r="C3011" t="s">
        <v>6224</v>
      </c>
      <c r="D3011" t="s">
        <v>6225</v>
      </c>
      <c r="E3011" s="2">
        <v>43397</v>
      </c>
      <c r="F3011" t="str">
        <f>"9781975500764"</f>
        <v>9781975500764</v>
      </c>
      <c r="G3011" t="str">
        <f>""</f>
        <v/>
      </c>
      <c r="H3011" t="s">
        <v>353</v>
      </c>
      <c r="I3011" t="s">
        <v>6226</v>
      </c>
      <c r="J3011" t="s">
        <v>6227</v>
      </c>
      <c r="K3011" t="s">
        <v>44</v>
      </c>
      <c r="N3011" t="s">
        <v>45</v>
      </c>
      <c r="O3011" t="s">
        <v>46</v>
      </c>
      <c r="P3011" t="s">
        <v>45</v>
      </c>
      <c r="Q3011" t="s">
        <v>47</v>
      </c>
      <c r="R3011" t="s">
        <v>44</v>
      </c>
      <c r="S3011">
        <v>0</v>
      </c>
      <c r="W3011" s="3">
        <v>1.5162037037037036E-3</v>
      </c>
      <c r="X3011" t="s">
        <v>6228</v>
      </c>
      <c r="Y3011">
        <v>12</v>
      </c>
      <c r="Z3011">
        <v>0</v>
      </c>
      <c r="AA3011" t="s">
        <v>49</v>
      </c>
      <c r="AB3011">
        <v>0</v>
      </c>
      <c r="AC3011" t="s">
        <v>49</v>
      </c>
      <c r="AD3011">
        <v>0</v>
      </c>
      <c r="AE3011">
        <v>-1</v>
      </c>
      <c r="AF3011" t="s">
        <v>50</v>
      </c>
      <c r="AG3011" t="s">
        <v>3037</v>
      </c>
    </row>
    <row r="3012" spans="1:33" x14ac:dyDescent="0.35">
      <c r="A3012" s="1">
        <v>44791.518055555556</v>
      </c>
      <c r="B3012">
        <v>1926592</v>
      </c>
      <c r="C3012" t="s">
        <v>6219</v>
      </c>
      <c r="D3012" t="s">
        <v>65</v>
      </c>
      <c r="E3012" s="2">
        <v>42054</v>
      </c>
      <c r="F3012" t="str">
        <f>"9780128004944"</f>
        <v>9780128004944</v>
      </c>
      <c r="G3012" t="str">
        <f>"9780128001592"</f>
        <v>9780128001592</v>
      </c>
      <c r="H3012" t="s">
        <v>6220</v>
      </c>
      <c r="I3012">
        <v>615.9</v>
      </c>
      <c r="J3012" t="s">
        <v>6221</v>
      </c>
      <c r="K3012" t="s">
        <v>44</v>
      </c>
      <c r="N3012" t="s">
        <v>45</v>
      </c>
      <c r="O3012" t="s">
        <v>46</v>
      </c>
      <c r="P3012" t="s">
        <v>45</v>
      </c>
      <c r="Q3012" t="s">
        <v>47</v>
      </c>
      <c r="R3012" t="s">
        <v>44</v>
      </c>
      <c r="S3012">
        <v>1</v>
      </c>
      <c r="W3012" s="3">
        <v>2.4305555555555552E-4</v>
      </c>
      <c r="X3012" t="s">
        <v>942</v>
      </c>
      <c r="Y3012">
        <v>5</v>
      </c>
      <c r="Z3012">
        <v>2</v>
      </c>
      <c r="AA3012" t="s">
        <v>3987</v>
      </c>
      <c r="AB3012">
        <v>4</v>
      </c>
      <c r="AC3012" t="s">
        <v>49</v>
      </c>
      <c r="AD3012">
        <v>0</v>
      </c>
      <c r="AE3012">
        <v>11012446</v>
      </c>
      <c r="AF3012" t="s">
        <v>63</v>
      </c>
      <c r="AG3012" t="s">
        <v>3037</v>
      </c>
    </row>
    <row r="3013" spans="1:33" x14ac:dyDescent="0.35">
      <c r="A3013" s="1">
        <v>44791.486805555556</v>
      </c>
      <c r="B3013">
        <v>1926592</v>
      </c>
      <c r="C3013" t="s">
        <v>6219</v>
      </c>
      <c r="D3013" t="s">
        <v>65</v>
      </c>
      <c r="E3013" s="2">
        <v>42054</v>
      </c>
      <c r="F3013" t="str">
        <f>"9780128004944"</f>
        <v>9780128004944</v>
      </c>
      <c r="G3013" t="str">
        <f>"9780128001592"</f>
        <v>9780128001592</v>
      </c>
      <c r="H3013" t="s">
        <v>6220</v>
      </c>
      <c r="I3013">
        <v>615.9</v>
      </c>
      <c r="J3013" t="s">
        <v>6221</v>
      </c>
      <c r="K3013" t="s">
        <v>44</v>
      </c>
      <c r="N3013" t="s">
        <v>45</v>
      </c>
      <c r="O3013" t="s">
        <v>46</v>
      </c>
      <c r="P3013" t="s">
        <v>45</v>
      </c>
      <c r="Q3013" t="s">
        <v>47</v>
      </c>
      <c r="R3013" t="s">
        <v>44</v>
      </c>
      <c r="S3013">
        <v>0</v>
      </c>
      <c r="W3013" s="3">
        <v>4.7453703703703704E-4</v>
      </c>
      <c r="X3013" t="s">
        <v>1143</v>
      </c>
      <c r="Y3013">
        <v>7</v>
      </c>
      <c r="Z3013">
        <v>0</v>
      </c>
      <c r="AA3013" t="s">
        <v>49</v>
      </c>
      <c r="AB3013">
        <v>0</v>
      </c>
      <c r="AC3013" t="s">
        <v>49</v>
      </c>
      <c r="AD3013">
        <v>0</v>
      </c>
      <c r="AE3013">
        <v>11012446</v>
      </c>
      <c r="AF3013" t="s">
        <v>50</v>
      </c>
      <c r="AG3013" t="s">
        <v>3037</v>
      </c>
    </row>
    <row r="3014" spans="1:33" x14ac:dyDescent="0.35">
      <c r="A3014" s="1">
        <v>44791.359722222223</v>
      </c>
      <c r="B3014">
        <v>1926592</v>
      </c>
      <c r="C3014" t="s">
        <v>6219</v>
      </c>
      <c r="D3014" t="s">
        <v>65</v>
      </c>
      <c r="E3014" s="2">
        <v>42054</v>
      </c>
      <c r="F3014" t="str">
        <f>"9780128004944"</f>
        <v>9780128004944</v>
      </c>
      <c r="G3014" t="str">
        <f>"9780128001592"</f>
        <v>9780128001592</v>
      </c>
      <c r="H3014" t="s">
        <v>6220</v>
      </c>
      <c r="I3014">
        <v>615.9</v>
      </c>
      <c r="J3014" t="s">
        <v>6221</v>
      </c>
      <c r="K3014" t="s">
        <v>44</v>
      </c>
      <c r="N3014" t="s">
        <v>45</v>
      </c>
      <c r="O3014" t="s">
        <v>46</v>
      </c>
      <c r="P3014" t="s">
        <v>45</v>
      </c>
      <c r="Q3014" t="s">
        <v>47</v>
      </c>
      <c r="R3014" t="s">
        <v>44</v>
      </c>
      <c r="S3014">
        <v>0</v>
      </c>
      <c r="W3014" s="3">
        <v>2.4305555555555552E-4</v>
      </c>
      <c r="X3014" t="s">
        <v>6229</v>
      </c>
      <c r="Y3014">
        <v>2</v>
      </c>
      <c r="Z3014">
        <v>1</v>
      </c>
      <c r="AA3014" t="s">
        <v>6230</v>
      </c>
      <c r="AB3014">
        <v>14</v>
      </c>
      <c r="AC3014" t="s">
        <v>49</v>
      </c>
      <c r="AD3014">
        <v>0</v>
      </c>
      <c r="AE3014">
        <v>11012446</v>
      </c>
      <c r="AF3014" t="s">
        <v>50</v>
      </c>
      <c r="AG3014" t="s">
        <v>3037</v>
      </c>
    </row>
    <row r="3015" spans="1:33" x14ac:dyDescent="0.35">
      <c r="A3015" s="1">
        <v>44791.35833333333</v>
      </c>
      <c r="B3015">
        <v>1926592</v>
      </c>
      <c r="C3015" t="s">
        <v>6219</v>
      </c>
      <c r="D3015" t="s">
        <v>65</v>
      </c>
      <c r="E3015" s="2">
        <v>42054</v>
      </c>
      <c r="F3015" t="str">
        <f>"9780128004944"</f>
        <v>9780128004944</v>
      </c>
      <c r="G3015" t="str">
        <f>"9780128001592"</f>
        <v>9780128001592</v>
      </c>
      <c r="H3015" t="s">
        <v>6220</v>
      </c>
      <c r="I3015">
        <v>615.9</v>
      </c>
      <c r="J3015" t="s">
        <v>6221</v>
      </c>
      <c r="K3015" t="s">
        <v>44</v>
      </c>
      <c r="N3015" t="s">
        <v>45</v>
      </c>
      <c r="O3015" t="s">
        <v>46</v>
      </c>
      <c r="P3015" t="s">
        <v>45</v>
      </c>
      <c r="Q3015" t="s">
        <v>47</v>
      </c>
      <c r="R3015" t="s">
        <v>44</v>
      </c>
      <c r="S3015">
        <v>0</v>
      </c>
      <c r="W3015" s="3">
        <v>4.8611111111111104E-4</v>
      </c>
      <c r="X3015" t="s">
        <v>6231</v>
      </c>
      <c r="Y3015">
        <v>4</v>
      </c>
      <c r="Z3015">
        <v>0</v>
      </c>
      <c r="AA3015" t="s">
        <v>49</v>
      </c>
      <c r="AB3015">
        <v>0</v>
      </c>
      <c r="AC3015" t="s">
        <v>49</v>
      </c>
      <c r="AD3015">
        <v>0</v>
      </c>
      <c r="AE3015">
        <v>11012446</v>
      </c>
      <c r="AF3015" t="s">
        <v>50</v>
      </c>
      <c r="AG3015" t="s">
        <v>6171</v>
      </c>
    </row>
    <row r="3016" spans="1:33" x14ac:dyDescent="0.35">
      <c r="A3016" s="1">
        <v>44790.550694444442</v>
      </c>
      <c r="B3016">
        <v>6946268</v>
      </c>
      <c r="C3016" t="s">
        <v>333</v>
      </c>
      <c r="D3016" t="s">
        <v>213</v>
      </c>
      <c r="E3016" s="2">
        <v>44658</v>
      </c>
      <c r="F3016" t="str">
        <f>"9780323859875"</f>
        <v>9780323859875</v>
      </c>
      <c r="G3016" t="str">
        <f>"9780128244708"</f>
        <v>9780128244708</v>
      </c>
      <c r="H3016" t="s">
        <v>261</v>
      </c>
      <c r="I3016">
        <v>628.16200000000003</v>
      </c>
      <c r="J3016" t="s">
        <v>334</v>
      </c>
      <c r="K3016" t="s">
        <v>55</v>
      </c>
      <c r="N3016" t="s">
        <v>79</v>
      </c>
      <c r="P3016" t="s">
        <v>80</v>
      </c>
      <c r="Q3016" t="s">
        <v>47</v>
      </c>
      <c r="R3016" t="s">
        <v>44</v>
      </c>
      <c r="S3016">
        <v>1</v>
      </c>
      <c r="T3016">
        <v>15</v>
      </c>
      <c r="U3016" s="1">
        <v>44790.550694444442</v>
      </c>
      <c r="V3016" s="1">
        <v>44805.550694444442</v>
      </c>
      <c r="W3016" s="3">
        <v>6.9444444444444447E-4</v>
      </c>
      <c r="X3016" t="s">
        <v>6232</v>
      </c>
      <c r="Y3016">
        <v>7</v>
      </c>
      <c r="Z3016">
        <v>0</v>
      </c>
      <c r="AA3016" t="s">
        <v>49</v>
      </c>
      <c r="AB3016">
        <v>0</v>
      </c>
      <c r="AC3016" t="s">
        <v>49</v>
      </c>
      <c r="AD3016">
        <v>0</v>
      </c>
      <c r="AE3016">
        <v>-1</v>
      </c>
      <c r="AF3016" t="s">
        <v>63</v>
      </c>
      <c r="AG3016" t="s">
        <v>3037</v>
      </c>
    </row>
    <row r="3017" spans="1:33" x14ac:dyDescent="0.35">
      <c r="A3017" s="1">
        <v>44789.775000000001</v>
      </c>
      <c r="B3017">
        <v>6946268</v>
      </c>
      <c r="C3017" t="s">
        <v>333</v>
      </c>
      <c r="D3017" t="s">
        <v>213</v>
      </c>
      <c r="E3017" s="2">
        <v>44658</v>
      </c>
      <c r="F3017" t="str">
        <f>"9780323859875"</f>
        <v>9780323859875</v>
      </c>
      <c r="G3017" t="str">
        <f>"9780128244708"</f>
        <v>9780128244708</v>
      </c>
      <c r="H3017" t="s">
        <v>261</v>
      </c>
      <c r="I3017">
        <v>628.16200000000003</v>
      </c>
      <c r="J3017" t="s">
        <v>334</v>
      </c>
      <c r="K3017" t="s">
        <v>55</v>
      </c>
      <c r="N3017" t="s">
        <v>79</v>
      </c>
      <c r="P3017" t="s">
        <v>80</v>
      </c>
      <c r="Q3017" t="s">
        <v>47</v>
      </c>
      <c r="R3017" t="s">
        <v>44</v>
      </c>
      <c r="S3017">
        <v>0</v>
      </c>
      <c r="W3017" s="3">
        <v>0</v>
      </c>
      <c r="X3017" t="s">
        <v>49</v>
      </c>
      <c r="Y3017">
        <v>0</v>
      </c>
      <c r="Z3017">
        <v>2</v>
      </c>
      <c r="AA3017" t="s">
        <v>6233</v>
      </c>
      <c r="AB3017">
        <v>33</v>
      </c>
      <c r="AC3017" t="s">
        <v>49</v>
      </c>
      <c r="AD3017">
        <v>0</v>
      </c>
      <c r="AE3017">
        <v>-1</v>
      </c>
      <c r="AF3017" t="s">
        <v>50</v>
      </c>
      <c r="AG3017" t="s">
        <v>3037</v>
      </c>
    </row>
    <row r="3018" spans="1:33" x14ac:dyDescent="0.35">
      <c r="A3018" s="1">
        <v>44789.57708333333</v>
      </c>
      <c r="B3018">
        <v>5772949</v>
      </c>
      <c r="C3018" t="s">
        <v>1594</v>
      </c>
      <c r="D3018" t="s">
        <v>76</v>
      </c>
      <c r="E3018" s="2">
        <v>43615</v>
      </c>
      <c r="F3018" t="str">
        <f>"9781000000795"</f>
        <v>9781000000795</v>
      </c>
      <c r="G3018" t="str">
        <f>"9781138387799"</f>
        <v>9781138387799</v>
      </c>
      <c r="H3018" t="s">
        <v>90</v>
      </c>
      <c r="I3018">
        <v>370</v>
      </c>
      <c r="J3018" t="s">
        <v>1595</v>
      </c>
      <c r="K3018" t="s">
        <v>55</v>
      </c>
      <c r="Q3018" t="s">
        <v>47</v>
      </c>
      <c r="R3018" t="s">
        <v>44</v>
      </c>
      <c r="S3018">
        <v>0</v>
      </c>
      <c r="W3018" s="3">
        <v>5.4398148148148144E-4</v>
      </c>
      <c r="X3018" t="s">
        <v>6234</v>
      </c>
      <c r="Y3018">
        <v>7</v>
      </c>
      <c r="Z3018">
        <v>0</v>
      </c>
      <c r="AA3018" t="s">
        <v>49</v>
      </c>
      <c r="AB3018">
        <v>0</v>
      </c>
      <c r="AC3018" t="s">
        <v>49</v>
      </c>
      <c r="AD3018">
        <v>0</v>
      </c>
      <c r="AE3018">
        <v>-1</v>
      </c>
      <c r="AF3018" t="s">
        <v>50</v>
      </c>
      <c r="AG3018" t="s">
        <v>6171</v>
      </c>
    </row>
    <row r="3019" spans="1:33" x14ac:dyDescent="0.35">
      <c r="A3019" s="1">
        <v>44788.728472222225</v>
      </c>
      <c r="B3019">
        <v>6946268</v>
      </c>
      <c r="C3019" t="s">
        <v>333</v>
      </c>
      <c r="D3019" t="s">
        <v>213</v>
      </c>
      <c r="E3019" s="2">
        <v>44658</v>
      </c>
      <c r="F3019" t="str">
        <f>"9780323859875"</f>
        <v>9780323859875</v>
      </c>
      <c r="G3019" t="str">
        <f>"9780128244708"</f>
        <v>9780128244708</v>
      </c>
      <c r="H3019" t="s">
        <v>261</v>
      </c>
      <c r="I3019">
        <v>628.16200000000003</v>
      </c>
      <c r="J3019" t="s">
        <v>334</v>
      </c>
      <c r="K3019" t="s">
        <v>55</v>
      </c>
      <c r="N3019" t="s">
        <v>79</v>
      </c>
      <c r="P3019" t="s">
        <v>80</v>
      </c>
      <c r="Q3019" t="s">
        <v>47</v>
      </c>
      <c r="R3019" t="s">
        <v>44</v>
      </c>
      <c r="S3019">
        <v>0</v>
      </c>
      <c r="W3019" s="3">
        <v>4.0046296296296295E-2</v>
      </c>
      <c r="X3019" t="s">
        <v>6235</v>
      </c>
      <c r="Y3019">
        <v>85</v>
      </c>
      <c r="Z3019">
        <v>0</v>
      </c>
      <c r="AA3019" t="s">
        <v>6236</v>
      </c>
      <c r="AB3019">
        <v>98</v>
      </c>
      <c r="AC3019" t="s">
        <v>49</v>
      </c>
      <c r="AD3019">
        <v>0</v>
      </c>
      <c r="AE3019">
        <v>-1</v>
      </c>
      <c r="AF3019" t="s">
        <v>50</v>
      </c>
      <c r="AG3019" t="s">
        <v>3037</v>
      </c>
    </row>
    <row r="3020" spans="1:33" x14ac:dyDescent="0.35">
      <c r="A3020" s="1">
        <v>44788.605555555558</v>
      </c>
      <c r="B3020">
        <v>4676945</v>
      </c>
      <c r="C3020" t="s">
        <v>6237</v>
      </c>
      <c r="D3020" t="s">
        <v>711</v>
      </c>
      <c r="E3020" s="2">
        <v>42599</v>
      </c>
      <c r="F3020" t="str">
        <f>"9781464808975"</f>
        <v>9781464808975</v>
      </c>
      <c r="G3020" t="str">
        <f>"9781464808968"</f>
        <v>9781464808968</v>
      </c>
      <c r="H3020" t="s">
        <v>789</v>
      </c>
      <c r="I3020" t="s">
        <v>6238</v>
      </c>
      <c r="J3020" t="s">
        <v>6239</v>
      </c>
      <c r="K3020" t="s">
        <v>44</v>
      </c>
      <c r="N3020" t="s">
        <v>45</v>
      </c>
      <c r="O3020" t="s">
        <v>46</v>
      </c>
      <c r="P3020" t="s">
        <v>177</v>
      </c>
      <c r="Q3020" t="s">
        <v>47</v>
      </c>
      <c r="R3020" t="s">
        <v>55</v>
      </c>
      <c r="S3020">
        <v>1</v>
      </c>
      <c r="W3020" s="3">
        <v>0</v>
      </c>
      <c r="X3020" t="s">
        <v>49</v>
      </c>
      <c r="Y3020">
        <v>0</v>
      </c>
      <c r="Z3020">
        <v>0</v>
      </c>
      <c r="AA3020" t="s">
        <v>49</v>
      </c>
      <c r="AB3020">
        <v>0</v>
      </c>
      <c r="AC3020" t="s">
        <v>49</v>
      </c>
      <c r="AD3020">
        <v>0</v>
      </c>
      <c r="AE3020">
        <v>11261802</v>
      </c>
      <c r="AF3020" t="s">
        <v>63</v>
      </c>
      <c r="AG3020" t="s">
        <v>6062</v>
      </c>
    </row>
    <row r="3021" spans="1:33" x14ac:dyDescent="0.35">
      <c r="A3021" s="1">
        <v>44788.521527777775</v>
      </c>
      <c r="B3021">
        <v>1408094</v>
      </c>
      <c r="C3021" t="s">
        <v>6240</v>
      </c>
      <c r="D3021" t="s">
        <v>537</v>
      </c>
      <c r="E3021" s="2">
        <v>42095</v>
      </c>
      <c r="F3021" t="str">
        <f>"9789814463294"</f>
        <v>9789814463294</v>
      </c>
      <c r="G3021" t="str">
        <f>"9789814463287"</f>
        <v>9789814463287</v>
      </c>
      <c r="H3021" t="s">
        <v>214</v>
      </c>
      <c r="I3021">
        <v>541.39499999999998</v>
      </c>
      <c r="J3021" t="s">
        <v>6241</v>
      </c>
      <c r="K3021" t="s">
        <v>44</v>
      </c>
      <c r="N3021" t="s">
        <v>45</v>
      </c>
      <c r="O3021" t="s">
        <v>46</v>
      </c>
      <c r="P3021" t="s">
        <v>45</v>
      </c>
      <c r="Q3021" t="s">
        <v>47</v>
      </c>
      <c r="R3021" t="s">
        <v>44</v>
      </c>
      <c r="S3021">
        <v>0</v>
      </c>
      <c r="W3021" s="3">
        <v>2.5983796296296297E-2</v>
      </c>
      <c r="X3021" t="s">
        <v>6242</v>
      </c>
      <c r="Y3021">
        <v>30</v>
      </c>
      <c r="Z3021">
        <v>0</v>
      </c>
      <c r="AA3021" t="s">
        <v>49</v>
      </c>
      <c r="AB3021">
        <v>0</v>
      </c>
      <c r="AC3021" t="s">
        <v>49</v>
      </c>
      <c r="AD3021">
        <v>0</v>
      </c>
      <c r="AE3021">
        <v>11041859</v>
      </c>
      <c r="AF3021" t="s">
        <v>63</v>
      </c>
      <c r="AG3021" t="s">
        <v>3037</v>
      </c>
    </row>
    <row r="3022" spans="1:33" x14ac:dyDescent="0.35">
      <c r="A3022" s="1">
        <v>44788.513194444444</v>
      </c>
      <c r="B3022">
        <v>6409710</v>
      </c>
      <c r="C3022" t="s">
        <v>6243</v>
      </c>
      <c r="D3022" t="s">
        <v>65</v>
      </c>
      <c r="E3022" s="2">
        <v>44161</v>
      </c>
      <c r="F3022" t="str">
        <f>"9780128203750"</f>
        <v>9780128203750</v>
      </c>
      <c r="G3022" t="str">
        <f>"9780128203705"</f>
        <v>9780128203705</v>
      </c>
      <c r="H3022" t="s">
        <v>214</v>
      </c>
      <c r="I3022">
        <v>541.39499999999998</v>
      </c>
      <c r="J3022" t="s">
        <v>6244</v>
      </c>
      <c r="K3022" t="s">
        <v>55</v>
      </c>
      <c r="Q3022" t="s">
        <v>47</v>
      </c>
      <c r="R3022" t="s">
        <v>44</v>
      </c>
      <c r="S3022">
        <v>0</v>
      </c>
      <c r="W3022" s="3">
        <v>6.6319444444444446E-3</v>
      </c>
      <c r="X3022" t="s">
        <v>6245</v>
      </c>
      <c r="Y3022">
        <v>17</v>
      </c>
      <c r="Z3022">
        <v>0</v>
      </c>
      <c r="AA3022" t="s">
        <v>49</v>
      </c>
      <c r="AB3022">
        <v>0</v>
      </c>
      <c r="AC3022" t="s">
        <v>49</v>
      </c>
      <c r="AD3022">
        <v>0</v>
      </c>
      <c r="AE3022">
        <v>-1</v>
      </c>
      <c r="AF3022" t="s">
        <v>63</v>
      </c>
      <c r="AG3022" t="s">
        <v>3037</v>
      </c>
    </row>
    <row r="3023" spans="1:33" x14ac:dyDescent="0.35">
      <c r="A3023" s="1">
        <v>44788.513194444444</v>
      </c>
      <c r="B3023">
        <v>6946268</v>
      </c>
      <c r="C3023" t="s">
        <v>333</v>
      </c>
      <c r="D3023" t="s">
        <v>213</v>
      </c>
      <c r="E3023" s="2">
        <v>44658</v>
      </c>
      <c r="F3023" t="str">
        <f>"9780323859875"</f>
        <v>9780323859875</v>
      </c>
      <c r="G3023" t="str">
        <f>"9780128244708"</f>
        <v>9780128244708</v>
      </c>
      <c r="H3023" t="s">
        <v>261</v>
      </c>
      <c r="I3023">
        <v>628.16200000000003</v>
      </c>
      <c r="J3023" t="s">
        <v>334</v>
      </c>
      <c r="K3023" t="s">
        <v>55</v>
      </c>
      <c r="N3023" t="s">
        <v>79</v>
      </c>
      <c r="P3023" t="s">
        <v>80</v>
      </c>
      <c r="Q3023" t="s">
        <v>47</v>
      </c>
      <c r="R3023" t="s">
        <v>44</v>
      </c>
      <c r="S3023">
        <v>2</v>
      </c>
      <c r="T3023">
        <v>90</v>
      </c>
      <c r="U3023" s="1">
        <v>44788.513194444444</v>
      </c>
      <c r="V3023" s="1">
        <v>44878.513194444444</v>
      </c>
      <c r="W3023" s="3">
        <v>7.2453703703703708E-3</v>
      </c>
      <c r="X3023" t="s">
        <v>6246</v>
      </c>
      <c r="Y3023">
        <v>38</v>
      </c>
      <c r="Z3023">
        <v>1</v>
      </c>
      <c r="AA3023" t="s">
        <v>56</v>
      </c>
      <c r="AB3023">
        <v>3</v>
      </c>
      <c r="AC3023" t="s">
        <v>49</v>
      </c>
      <c r="AD3023">
        <v>0</v>
      </c>
      <c r="AE3023">
        <v>-1</v>
      </c>
      <c r="AF3023" t="s">
        <v>63</v>
      </c>
      <c r="AG3023" t="s">
        <v>3037</v>
      </c>
    </row>
    <row r="3024" spans="1:33" x14ac:dyDescent="0.35">
      <c r="A3024" s="1">
        <v>44788.511111111111</v>
      </c>
      <c r="B3024">
        <v>6946268</v>
      </c>
      <c r="C3024" t="s">
        <v>333</v>
      </c>
      <c r="D3024" t="s">
        <v>213</v>
      </c>
      <c r="E3024" s="2">
        <v>44658</v>
      </c>
      <c r="F3024" t="str">
        <f>"9780323859875"</f>
        <v>9780323859875</v>
      </c>
      <c r="G3024" t="str">
        <f>"9780128244708"</f>
        <v>9780128244708</v>
      </c>
      <c r="H3024" t="s">
        <v>261</v>
      </c>
      <c r="I3024">
        <v>628.16200000000003</v>
      </c>
      <c r="J3024" t="s">
        <v>334</v>
      </c>
      <c r="K3024" t="s">
        <v>55</v>
      </c>
      <c r="N3024" t="s">
        <v>79</v>
      </c>
      <c r="P3024" t="s">
        <v>80</v>
      </c>
      <c r="Q3024" t="s">
        <v>47</v>
      </c>
      <c r="R3024" t="s">
        <v>44</v>
      </c>
      <c r="S3024">
        <v>0</v>
      </c>
      <c r="W3024" s="3">
        <v>1.6319444444444445E-3</v>
      </c>
      <c r="X3024" t="s">
        <v>113</v>
      </c>
      <c r="Y3024">
        <v>2</v>
      </c>
      <c r="Z3024">
        <v>0</v>
      </c>
      <c r="AA3024" t="s">
        <v>49</v>
      </c>
      <c r="AB3024">
        <v>0</v>
      </c>
      <c r="AC3024" t="s">
        <v>49</v>
      </c>
      <c r="AD3024">
        <v>0</v>
      </c>
      <c r="AE3024">
        <v>-1</v>
      </c>
      <c r="AF3024" t="s">
        <v>63</v>
      </c>
      <c r="AG3024" t="s">
        <v>3037</v>
      </c>
    </row>
    <row r="3025" spans="1:33" x14ac:dyDescent="0.35">
      <c r="A3025" s="1">
        <v>44788.459722222222</v>
      </c>
      <c r="B3025">
        <v>6946268</v>
      </c>
      <c r="C3025" t="s">
        <v>333</v>
      </c>
      <c r="D3025" t="s">
        <v>213</v>
      </c>
      <c r="E3025" s="2">
        <v>44658</v>
      </c>
      <c r="F3025" t="str">
        <f>"9780323859875"</f>
        <v>9780323859875</v>
      </c>
      <c r="G3025" t="str">
        <f>"9780128244708"</f>
        <v>9780128244708</v>
      </c>
      <c r="H3025" t="s">
        <v>261</v>
      </c>
      <c r="I3025">
        <v>628.16200000000003</v>
      </c>
      <c r="J3025" t="s">
        <v>334</v>
      </c>
      <c r="K3025" t="s">
        <v>55</v>
      </c>
      <c r="N3025" t="s">
        <v>79</v>
      </c>
      <c r="P3025" t="s">
        <v>80</v>
      </c>
      <c r="Q3025" t="s">
        <v>47</v>
      </c>
      <c r="R3025" t="s">
        <v>44</v>
      </c>
      <c r="S3025">
        <v>0</v>
      </c>
      <c r="W3025" s="3">
        <v>1.8518518518518518E-4</v>
      </c>
      <c r="X3025" t="s">
        <v>6247</v>
      </c>
      <c r="Y3025">
        <v>4</v>
      </c>
      <c r="Z3025">
        <v>0</v>
      </c>
      <c r="AA3025" t="s">
        <v>49</v>
      </c>
      <c r="AB3025">
        <v>0</v>
      </c>
      <c r="AC3025" t="s">
        <v>49</v>
      </c>
      <c r="AD3025">
        <v>0</v>
      </c>
      <c r="AE3025">
        <v>-1</v>
      </c>
      <c r="AF3025" t="s">
        <v>50</v>
      </c>
      <c r="AG3025" t="s">
        <v>3037</v>
      </c>
    </row>
    <row r="3026" spans="1:33" x14ac:dyDescent="0.35">
      <c r="A3026" s="1">
        <v>44787.958333333336</v>
      </c>
      <c r="B3026">
        <v>1408094</v>
      </c>
      <c r="C3026" t="s">
        <v>6240</v>
      </c>
      <c r="D3026" t="s">
        <v>537</v>
      </c>
      <c r="E3026" s="2">
        <v>42095</v>
      </c>
      <c r="F3026" t="str">
        <f>"9789814463294"</f>
        <v>9789814463294</v>
      </c>
      <c r="G3026" t="str">
        <f>"9789814463287"</f>
        <v>9789814463287</v>
      </c>
      <c r="H3026" t="s">
        <v>214</v>
      </c>
      <c r="I3026">
        <v>541.39499999999998</v>
      </c>
      <c r="J3026" t="s">
        <v>6241</v>
      </c>
      <c r="K3026" t="s">
        <v>44</v>
      </c>
      <c r="N3026" t="s">
        <v>45</v>
      </c>
      <c r="O3026" t="s">
        <v>46</v>
      </c>
      <c r="P3026" t="s">
        <v>45</v>
      </c>
      <c r="Q3026" t="s">
        <v>47</v>
      </c>
      <c r="R3026" t="s">
        <v>44</v>
      </c>
      <c r="S3026">
        <v>0</v>
      </c>
      <c r="W3026" s="3">
        <v>1.8749999999999999E-2</v>
      </c>
      <c r="X3026" t="s">
        <v>6248</v>
      </c>
      <c r="Y3026">
        <v>34</v>
      </c>
      <c r="Z3026">
        <v>0</v>
      </c>
      <c r="AA3026" t="s">
        <v>49</v>
      </c>
      <c r="AB3026">
        <v>0</v>
      </c>
      <c r="AC3026" t="s">
        <v>49</v>
      </c>
      <c r="AD3026">
        <v>0</v>
      </c>
      <c r="AE3026">
        <v>11041859</v>
      </c>
      <c r="AF3026" t="s">
        <v>50</v>
      </c>
      <c r="AG3026" t="s">
        <v>3037</v>
      </c>
    </row>
    <row r="3027" spans="1:33" x14ac:dyDescent="0.35">
      <c r="A3027" s="1">
        <v>44787.887499999997</v>
      </c>
      <c r="B3027">
        <v>1408094</v>
      </c>
      <c r="C3027" t="s">
        <v>6240</v>
      </c>
      <c r="D3027" t="s">
        <v>537</v>
      </c>
      <c r="E3027" s="2">
        <v>42095</v>
      </c>
      <c r="F3027" t="str">
        <f>"9789814463294"</f>
        <v>9789814463294</v>
      </c>
      <c r="G3027" t="str">
        <f>"9789814463287"</f>
        <v>9789814463287</v>
      </c>
      <c r="H3027" t="s">
        <v>214</v>
      </c>
      <c r="I3027">
        <v>541.39499999999998</v>
      </c>
      <c r="J3027" t="s">
        <v>6241</v>
      </c>
      <c r="K3027" t="s">
        <v>44</v>
      </c>
      <c r="N3027" t="s">
        <v>45</v>
      </c>
      <c r="O3027" t="s">
        <v>46</v>
      </c>
      <c r="P3027" t="s">
        <v>45</v>
      </c>
      <c r="Q3027" t="s">
        <v>47</v>
      </c>
      <c r="R3027" t="s">
        <v>44</v>
      </c>
      <c r="S3027">
        <v>0</v>
      </c>
      <c r="W3027" s="3">
        <v>0</v>
      </c>
      <c r="X3027" t="s">
        <v>49</v>
      </c>
      <c r="Y3027">
        <v>0</v>
      </c>
      <c r="Z3027">
        <v>1</v>
      </c>
      <c r="AA3027" t="s">
        <v>6249</v>
      </c>
      <c r="AB3027">
        <v>58</v>
      </c>
      <c r="AC3027" t="s">
        <v>49</v>
      </c>
      <c r="AD3027">
        <v>0</v>
      </c>
      <c r="AE3027">
        <v>11041859</v>
      </c>
      <c r="AF3027" t="s">
        <v>63</v>
      </c>
      <c r="AG3027" t="s">
        <v>3037</v>
      </c>
    </row>
    <row r="3028" spans="1:33" x14ac:dyDescent="0.35">
      <c r="A3028" s="1">
        <v>44787.864583333336</v>
      </c>
      <c r="B3028">
        <v>601767</v>
      </c>
      <c r="C3028" t="s">
        <v>6250</v>
      </c>
      <c r="D3028" t="s">
        <v>497</v>
      </c>
      <c r="E3028" s="2">
        <v>39819</v>
      </c>
      <c r="F3028" t="str">
        <f>"9781441134936"</f>
        <v>9781441134936</v>
      </c>
      <c r="G3028" t="str">
        <f>"9780826498472"</f>
        <v>9780826498472</v>
      </c>
      <c r="H3028" t="s">
        <v>1069</v>
      </c>
      <c r="I3028">
        <v>823.7</v>
      </c>
      <c r="J3028" t="s">
        <v>6251</v>
      </c>
      <c r="K3028" t="s">
        <v>44</v>
      </c>
      <c r="N3028" t="s">
        <v>45</v>
      </c>
      <c r="O3028" t="s">
        <v>46</v>
      </c>
      <c r="P3028" t="s">
        <v>45</v>
      </c>
      <c r="Q3028" t="s">
        <v>47</v>
      </c>
      <c r="R3028" t="s">
        <v>44</v>
      </c>
      <c r="S3028">
        <v>0</v>
      </c>
      <c r="W3028" s="3">
        <v>5.7870370370370366E-5</v>
      </c>
      <c r="X3028" t="s">
        <v>121</v>
      </c>
      <c r="Y3028">
        <v>1</v>
      </c>
      <c r="Z3028">
        <v>0</v>
      </c>
      <c r="AA3028" t="s">
        <v>49</v>
      </c>
      <c r="AB3028">
        <v>0</v>
      </c>
      <c r="AC3028" t="s">
        <v>49</v>
      </c>
      <c r="AD3028">
        <v>0</v>
      </c>
      <c r="AE3028">
        <v>10427083</v>
      </c>
      <c r="AF3028" t="s">
        <v>50</v>
      </c>
      <c r="AG3028" t="s">
        <v>2260</v>
      </c>
    </row>
    <row r="3029" spans="1:33" x14ac:dyDescent="0.35">
      <c r="A3029" s="1">
        <v>44787.729861111111</v>
      </c>
      <c r="B3029">
        <v>6886037</v>
      </c>
      <c r="C3029" t="s">
        <v>6252</v>
      </c>
      <c r="D3029" t="s">
        <v>940</v>
      </c>
      <c r="E3029" s="2">
        <v>44202</v>
      </c>
      <c r="F3029" t="str">
        <f>"9789815040494"</f>
        <v>9789815040494</v>
      </c>
      <c r="G3029" t="str">
        <f>"9789815040500"</f>
        <v>9789815040500</v>
      </c>
      <c r="H3029" t="s">
        <v>100</v>
      </c>
      <c r="I3029">
        <v>620.11500000000001</v>
      </c>
      <c r="J3029" t="s">
        <v>6253</v>
      </c>
      <c r="K3029" t="s">
        <v>44</v>
      </c>
      <c r="N3029" t="s">
        <v>45</v>
      </c>
      <c r="O3029" t="s">
        <v>46</v>
      </c>
      <c r="P3029" t="s">
        <v>45</v>
      </c>
      <c r="Q3029" t="s">
        <v>47</v>
      </c>
      <c r="R3029" t="s">
        <v>44</v>
      </c>
      <c r="S3029">
        <v>0</v>
      </c>
      <c r="W3029" s="3">
        <v>3.6342592592592594E-3</v>
      </c>
      <c r="X3029" t="s">
        <v>6254</v>
      </c>
      <c r="Y3029">
        <v>41</v>
      </c>
      <c r="Z3029">
        <v>1</v>
      </c>
      <c r="AA3029" t="s">
        <v>4897</v>
      </c>
      <c r="AB3029">
        <v>20</v>
      </c>
      <c r="AC3029" t="s">
        <v>49</v>
      </c>
      <c r="AD3029">
        <v>0</v>
      </c>
      <c r="AE3029">
        <v>-1</v>
      </c>
      <c r="AF3029" t="s">
        <v>63</v>
      </c>
      <c r="AG3029" t="s">
        <v>3037</v>
      </c>
    </row>
    <row r="3030" spans="1:33" x14ac:dyDescent="0.35">
      <c r="A3030" s="1">
        <v>44787.71597222222</v>
      </c>
      <c r="B3030">
        <v>6409710</v>
      </c>
      <c r="C3030" t="s">
        <v>6243</v>
      </c>
      <c r="D3030" t="s">
        <v>65</v>
      </c>
      <c r="E3030" s="2">
        <v>44161</v>
      </c>
      <c r="F3030" t="str">
        <f>"9780128203750"</f>
        <v>9780128203750</v>
      </c>
      <c r="G3030" t="str">
        <f>"9780128203705"</f>
        <v>9780128203705</v>
      </c>
      <c r="H3030" t="s">
        <v>214</v>
      </c>
      <c r="I3030">
        <v>541.39499999999998</v>
      </c>
      <c r="J3030" t="s">
        <v>6244</v>
      </c>
      <c r="K3030" t="s">
        <v>55</v>
      </c>
      <c r="Q3030" t="s">
        <v>47</v>
      </c>
      <c r="R3030" t="s">
        <v>44</v>
      </c>
      <c r="S3030">
        <v>0</v>
      </c>
      <c r="W3030" s="3">
        <v>9.8842592592592576E-3</v>
      </c>
      <c r="X3030" t="s">
        <v>6255</v>
      </c>
      <c r="Y3030">
        <v>11</v>
      </c>
      <c r="Z3030">
        <v>0</v>
      </c>
      <c r="AA3030" t="s">
        <v>49</v>
      </c>
      <c r="AB3030">
        <v>0</v>
      </c>
      <c r="AC3030" t="s">
        <v>49</v>
      </c>
      <c r="AD3030">
        <v>0</v>
      </c>
      <c r="AE3030">
        <v>-1</v>
      </c>
      <c r="AF3030" t="s">
        <v>50</v>
      </c>
      <c r="AG3030" t="s">
        <v>3037</v>
      </c>
    </row>
    <row r="3031" spans="1:33" x14ac:dyDescent="0.35">
      <c r="A3031" s="1">
        <v>44787.706250000003</v>
      </c>
      <c r="B3031">
        <v>6371157</v>
      </c>
      <c r="C3031" t="s">
        <v>6256</v>
      </c>
      <c r="D3031" t="s">
        <v>940</v>
      </c>
      <c r="E3031" s="2">
        <v>44095</v>
      </c>
      <c r="F3031" t="str">
        <f>"9789811458514"</f>
        <v>9789811458514</v>
      </c>
      <c r="G3031" t="str">
        <f>"9789811458491"</f>
        <v>9789811458491</v>
      </c>
      <c r="H3031" t="s">
        <v>1040</v>
      </c>
      <c r="I3031">
        <v>541.39499999999998</v>
      </c>
      <c r="J3031" t="s">
        <v>6257</v>
      </c>
      <c r="K3031" t="s">
        <v>44</v>
      </c>
      <c r="N3031" t="s">
        <v>45</v>
      </c>
      <c r="O3031" t="s">
        <v>46</v>
      </c>
      <c r="P3031" t="s">
        <v>45</v>
      </c>
      <c r="Q3031" t="s">
        <v>47</v>
      </c>
      <c r="R3031" t="s">
        <v>44</v>
      </c>
      <c r="S3031">
        <v>0</v>
      </c>
      <c r="W3031" s="3">
        <v>0</v>
      </c>
      <c r="X3031" t="s">
        <v>49</v>
      </c>
      <c r="Y3031">
        <v>0</v>
      </c>
      <c r="Z3031">
        <v>1</v>
      </c>
      <c r="AA3031" t="s">
        <v>6258</v>
      </c>
      <c r="AB3031">
        <v>27</v>
      </c>
      <c r="AC3031" t="s">
        <v>49</v>
      </c>
      <c r="AD3031">
        <v>0</v>
      </c>
      <c r="AE3031">
        <v>-1</v>
      </c>
      <c r="AF3031" t="s">
        <v>50</v>
      </c>
      <c r="AG3031" t="s">
        <v>3037</v>
      </c>
    </row>
    <row r="3032" spans="1:33" x14ac:dyDescent="0.35">
      <c r="A3032" s="1">
        <v>44787.40625</v>
      </c>
      <c r="B3032">
        <v>5515879</v>
      </c>
      <c r="C3032" t="s">
        <v>6259</v>
      </c>
      <c r="D3032" t="s">
        <v>6260</v>
      </c>
      <c r="E3032" s="2">
        <v>43622</v>
      </c>
      <c r="F3032" t="str">
        <f>"9781786492968"</f>
        <v>9781786492968</v>
      </c>
      <c r="G3032" t="str">
        <f>"9781786492975"</f>
        <v>9781786492975</v>
      </c>
      <c r="H3032" t="s">
        <v>43</v>
      </c>
      <c r="K3032" t="s">
        <v>55</v>
      </c>
      <c r="N3032" t="s">
        <v>79</v>
      </c>
      <c r="P3032" t="s">
        <v>1169</v>
      </c>
      <c r="Q3032" t="s">
        <v>47</v>
      </c>
      <c r="R3032" t="s">
        <v>44</v>
      </c>
      <c r="S3032">
        <v>1</v>
      </c>
      <c r="T3032">
        <v>7</v>
      </c>
      <c r="U3032" s="1">
        <v>44787.40625</v>
      </c>
      <c r="V3032" s="1">
        <v>44794.40625</v>
      </c>
      <c r="W3032" s="3">
        <v>7.6851851851851847E-3</v>
      </c>
      <c r="X3032" t="s">
        <v>6261</v>
      </c>
      <c r="Y3032">
        <v>35</v>
      </c>
      <c r="Z3032">
        <v>0</v>
      </c>
      <c r="AA3032" t="s">
        <v>49</v>
      </c>
      <c r="AB3032">
        <v>0</v>
      </c>
      <c r="AC3032" t="s">
        <v>49</v>
      </c>
      <c r="AD3032">
        <v>0</v>
      </c>
      <c r="AE3032">
        <v>-1</v>
      </c>
      <c r="AF3032" t="s">
        <v>63</v>
      </c>
      <c r="AG3032" t="s">
        <v>3037</v>
      </c>
    </row>
    <row r="3033" spans="1:33" x14ac:dyDescent="0.35">
      <c r="A3033" s="1">
        <v>44785.222222222219</v>
      </c>
      <c r="B3033">
        <v>3019585</v>
      </c>
      <c r="C3033" t="s">
        <v>6262</v>
      </c>
      <c r="D3033" t="s">
        <v>137</v>
      </c>
      <c r="E3033" s="2">
        <v>39905</v>
      </c>
      <c r="F3033" t="str">
        <f>"9781614703099"</f>
        <v>9781614703099</v>
      </c>
      <c r="G3033" t="str">
        <f>"9781606923863"</f>
        <v>9781606923863</v>
      </c>
      <c r="H3033" t="s">
        <v>531</v>
      </c>
      <c r="I3033" t="s">
        <v>6263</v>
      </c>
      <c r="J3033" t="s">
        <v>6264</v>
      </c>
      <c r="K3033" t="s">
        <v>44</v>
      </c>
      <c r="N3033" t="s">
        <v>45</v>
      </c>
      <c r="O3033" t="s">
        <v>46</v>
      </c>
      <c r="P3033" t="s">
        <v>177</v>
      </c>
      <c r="Q3033" t="s">
        <v>47</v>
      </c>
      <c r="R3033" t="s">
        <v>55</v>
      </c>
      <c r="S3033">
        <v>0</v>
      </c>
      <c r="W3033" s="3">
        <v>5.4398148148148144E-4</v>
      </c>
      <c r="X3033" t="s">
        <v>6265</v>
      </c>
      <c r="Y3033">
        <v>14</v>
      </c>
      <c r="Z3033">
        <v>0</v>
      </c>
      <c r="AA3033" t="s">
        <v>49</v>
      </c>
      <c r="AB3033">
        <v>0</v>
      </c>
      <c r="AC3033" t="s">
        <v>49</v>
      </c>
      <c r="AD3033">
        <v>0</v>
      </c>
      <c r="AE3033">
        <v>10671150</v>
      </c>
      <c r="AF3033" t="s">
        <v>50</v>
      </c>
      <c r="AG3033" t="s">
        <v>3037</v>
      </c>
    </row>
    <row r="3034" spans="1:33" x14ac:dyDescent="0.35">
      <c r="A3034" s="1">
        <v>44785.22152777778</v>
      </c>
      <c r="B3034">
        <v>990888</v>
      </c>
      <c r="C3034" t="s">
        <v>6266</v>
      </c>
      <c r="D3034" t="s">
        <v>6267</v>
      </c>
      <c r="E3034" s="2">
        <v>41120</v>
      </c>
      <c r="F3034" t="str">
        <f>"9780817386115"</f>
        <v>9780817386115</v>
      </c>
      <c r="G3034" t="str">
        <f>"9780817317645"</f>
        <v>9780817317645</v>
      </c>
      <c r="H3034" t="s">
        <v>667</v>
      </c>
      <c r="I3034" t="s">
        <v>6268</v>
      </c>
      <c r="J3034" t="s">
        <v>6269</v>
      </c>
      <c r="K3034" t="s">
        <v>44</v>
      </c>
      <c r="N3034" t="s">
        <v>45</v>
      </c>
      <c r="O3034" t="s">
        <v>46</v>
      </c>
      <c r="P3034" t="s">
        <v>45</v>
      </c>
      <c r="Q3034" t="s">
        <v>47</v>
      </c>
      <c r="R3034" t="s">
        <v>44</v>
      </c>
      <c r="S3034">
        <v>0</v>
      </c>
      <c r="W3034" s="3">
        <v>4.2824074074074075E-4</v>
      </c>
      <c r="X3034" t="s">
        <v>6270</v>
      </c>
      <c r="Y3034">
        <v>7</v>
      </c>
      <c r="Z3034">
        <v>0</v>
      </c>
      <c r="AA3034" t="s">
        <v>49</v>
      </c>
      <c r="AB3034">
        <v>0</v>
      </c>
      <c r="AC3034" t="s">
        <v>49</v>
      </c>
      <c r="AD3034">
        <v>0</v>
      </c>
      <c r="AE3034">
        <v>10589883</v>
      </c>
      <c r="AF3034" t="s">
        <v>50</v>
      </c>
      <c r="AG3034" t="s">
        <v>3037</v>
      </c>
    </row>
    <row r="3035" spans="1:33" x14ac:dyDescent="0.35">
      <c r="A3035" s="1">
        <v>44785.217361111114</v>
      </c>
      <c r="B3035">
        <v>3037552</v>
      </c>
      <c r="C3035" t="s">
        <v>6271</v>
      </c>
      <c r="D3035" t="s">
        <v>132</v>
      </c>
      <c r="E3035" s="2">
        <v>39181</v>
      </c>
      <c r="F3035" t="str">
        <f>"9780804768092"</f>
        <v>9780804768092</v>
      </c>
      <c r="G3035" t="str">
        <f>"9780804753999"</f>
        <v>9780804753999</v>
      </c>
      <c r="H3035" t="s">
        <v>531</v>
      </c>
      <c r="I3035">
        <v>355</v>
      </c>
      <c r="J3035" t="s">
        <v>6272</v>
      </c>
      <c r="K3035" t="s">
        <v>44</v>
      </c>
      <c r="N3035" t="s">
        <v>45</v>
      </c>
      <c r="O3035" t="s">
        <v>46</v>
      </c>
      <c r="P3035" t="s">
        <v>45</v>
      </c>
      <c r="Q3035" t="s">
        <v>47</v>
      </c>
      <c r="R3035" t="s">
        <v>44</v>
      </c>
      <c r="S3035">
        <v>0</v>
      </c>
      <c r="W3035" s="3">
        <v>9.3750000000000007E-4</v>
      </c>
      <c r="X3035" t="s">
        <v>6273</v>
      </c>
      <c r="Y3035">
        <v>10</v>
      </c>
      <c r="Z3035">
        <v>2</v>
      </c>
      <c r="AA3035" t="s">
        <v>6274</v>
      </c>
      <c r="AB3035">
        <v>36</v>
      </c>
      <c r="AC3035" t="s">
        <v>49</v>
      </c>
      <c r="AD3035">
        <v>0</v>
      </c>
      <c r="AE3035">
        <v>10180129</v>
      </c>
      <c r="AF3035" t="s">
        <v>50</v>
      </c>
      <c r="AG3035" t="s">
        <v>3037</v>
      </c>
    </row>
    <row r="3036" spans="1:33" x14ac:dyDescent="0.35">
      <c r="A3036" s="1">
        <v>44783.525000000001</v>
      </c>
      <c r="B3036">
        <v>7050467</v>
      </c>
      <c r="C3036" t="s">
        <v>6012</v>
      </c>
      <c r="D3036" t="s">
        <v>76</v>
      </c>
      <c r="E3036" s="2">
        <v>44837</v>
      </c>
      <c r="F3036" t="str">
        <f>"9781000737318"</f>
        <v>9781000737318</v>
      </c>
      <c r="G3036" t="str">
        <f>"9780367478889"</f>
        <v>9780367478889</v>
      </c>
      <c r="H3036" t="s">
        <v>6013</v>
      </c>
      <c r="I3036">
        <v>711.40950999999995</v>
      </c>
      <c r="J3036" t="s">
        <v>6014</v>
      </c>
      <c r="K3036" t="s">
        <v>55</v>
      </c>
      <c r="N3036" t="s">
        <v>79</v>
      </c>
      <c r="P3036" t="s">
        <v>80</v>
      </c>
      <c r="Q3036" t="s">
        <v>47</v>
      </c>
      <c r="R3036" t="s">
        <v>44</v>
      </c>
      <c r="S3036">
        <v>3</v>
      </c>
      <c r="T3036">
        <v>90</v>
      </c>
      <c r="U3036" s="1">
        <v>44783.525000000001</v>
      </c>
      <c r="V3036" s="1">
        <v>44873.525000000001</v>
      </c>
      <c r="W3036" s="3">
        <v>9.2592592592592588E-5</v>
      </c>
      <c r="X3036" t="s">
        <v>121</v>
      </c>
      <c r="Y3036">
        <v>1</v>
      </c>
      <c r="Z3036">
        <v>13</v>
      </c>
      <c r="AA3036" t="s">
        <v>6275</v>
      </c>
      <c r="AB3036">
        <v>75</v>
      </c>
      <c r="AC3036" t="s">
        <v>49</v>
      </c>
      <c r="AD3036">
        <v>0</v>
      </c>
      <c r="AE3036">
        <v>-1</v>
      </c>
      <c r="AF3036" t="s">
        <v>63</v>
      </c>
      <c r="AG3036" t="s">
        <v>6276</v>
      </c>
    </row>
    <row r="3037" spans="1:33" x14ac:dyDescent="0.35">
      <c r="A3037" s="1">
        <v>44783.519444444442</v>
      </c>
      <c r="B3037">
        <v>5309641</v>
      </c>
      <c r="C3037" t="s">
        <v>6277</v>
      </c>
      <c r="D3037" t="s">
        <v>497</v>
      </c>
      <c r="E3037" s="2">
        <v>41571</v>
      </c>
      <c r="F3037" t="str">
        <f>"9781472525376"</f>
        <v>9781472525376</v>
      </c>
      <c r="G3037" t="str">
        <f>"9781472525710"</f>
        <v>9781472525710</v>
      </c>
      <c r="H3037" t="s">
        <v>498</v>
      </c>
      <c r="I3037">
        <v>121</v>
      </c>
      <c r="J3037" t="s">
        <v>6278</v>
      </c>
      <c r="K3037" t="s">
        <v>44</v>
      </c>
      <c r="N3037" t="s">
        <v>45</v>
      </c>
      <c r="O3037" t="s">
        <v>46</v>
      </c>
      <c r="P3037" t="s">
        <v>45</v>
      </c>
      <c r="Q3037" t="s">
        <v>47</v>
      </c>
      <c r="R3037" t="s">
        <v>44</v>
      </c>
      <c r="S3037">
        <v>0</v>
      </c>
      <c r="W3037" s="3">
        <v>2.8506944444444442E-2</v>
      </c>
      <c r="X3037" t="s">
        <v>6279</v>
      </c>
      <c r="Y3037">
        <v>27</v>
      </c>
      <c r="Z3037">
        <v>0</v>
      </c>
      <c r="AA3037" t="s">
        <v>49</v>
      </c>
      <c r="AB3037">
        <v>0</v>
      </c>
      <c r="AC3037" t="s">
        <v>5661</v>
      </c>
      <c r="AD3037">
        <v>1</v>
      </c>
      <c r="AE3037">
        <v>11518608</v>
      </c>
      <c r="AF3037" t="s">
        <v>50</v>
      </c>
      <c r="AG3037" t="s">
        <v>3037</v>
      </c>
    </row>
    <row r="3038" spans="1:33" x14ac:dyDescent="0.35">
      <c r="A3038" s="1">
        <v>44783.518750000003</v>
      </c>
      <c r="B3038">
        <v>2091770</v>
      </c>
      <c r="C3038" t="s">
        <v>6280</v>
      </c>
      <c r="D3038" t="s">
        <v>1539</v>
      </c>
      <c r="E3038" s="2">
        <v>42201</v>
      </c>
      <c r="F3038" t="str">
        <f>"9780739185728"</f>
        <v>9780739185728</v>
      </c>
      <c r="G3038" t="str">
        <f>"9780739185711"</f>
        <v>9780739185711</v>
      </c>
      <c r="H3038" t="s">
        <v>498</v>
      </c>
      <c r="I3038">
        <v>184</v>
      </c>
      <c r="J3038" t="s">
        <v>6281</v>
      </c>
      <c r="K3038" t="s">
        <v>44</v>
      </c>
      <c r="N3038" t="s">
        <v>45</v>
      </c>
      <c r="O3038" t="s">
        <v>46</v>
      </c>
      <c r="P3038" t="s">
        <v>45</v>
      </c>
      <c r="Q3038" t="s">
        <v>47</v>
      </c>
      <c r="R3038" t="s">
        <v>44</v>
      </c>
      <c r="S3038">
        <v>0</v>
      </c>
      <c r="W3038" s="3">
        <v>5.9027777777777778E-4</v>
      </c>
      <c r="X3038" t="s">
        <v>6282</v>
      </c>
      <c r="Y3038">
        <v>7</v>
      </c>
      <c r="Z3038">
        <v>0</v>
      </c>
      <c r="AA3038" t="s">
        <v>49</v>
      </c>
      <c r="AB3038">
        <v>0</v>
      </c>
      <c r="AC3038" t="s">
        <v>49</v>
      </c>
      <c r="AD3038">
        <v>0</v>
      </c>
      <c r="AE3038">
        <v>11077187</v>
      </c>
      <c r="AF3038" t="s">
        <v>50</v>
      </c>
      <c r="AG3038" t="s">
        <v>3037</v>
      </c>
    </row>
    <row r="3039" spans="1:33" x14ac:dyDescent="0.35">
      <c r="A3039" s="1">
        <v>44783.517361111109</v>
      </c>
      <c r="B3039">
        <v>3314717</v>
      </c>
      <c r="C3039" t="s">
        <v>6283</v>
      </c>
      <c r="D3039" t="s">
        <v>6284</v>
      </c>
      <c r="E3039" s="2">
        <v>36861</v>
      </c>
      <c r="F3039" t="str">
        <f>""</f>
        <v/>
      </c>
      <c r="G3039" t="str">
        <f>""</f>
        <v/>
      </c>
      <c r="H3039" t="s">
        <v>498</v>
      </c>
      <c r="J3039" t="s">
        <v>6285</v>
      </c>
      <c r="K3039" t="s">
        <v>44</v>
      </c>
      <c r="N3039" t="s">
        <v>45</v>
      </c>
      <c r="O3039" t="s">
        <v>46</v>
      </c>
      <c r="P3039" t="s">
        <v>45</v>
      </c>
      <c r="Q3039" t="s">
        <v>47</v>
      </c>
      <c r="R3039" t="s">
        <v>44</v>
      </c>
      <c r="S3039">
        <v>0</v>
      </c>
      <c r="W3039" s="3">
        <v>5.3240740740740744E-4</v>
      </c>
      <c r="X3039" t="s">
        <v>6286</v>
      </c>
      <c r="Y3039">
        <v>10</v>
      </c>
      <c r="Z3039">
        <v>0</v>
      </c>
      <c r="AA3039" t="s">
        <v>49</v>
      </c>
      <c r="AB3039">
        <v>0</v>
      </c>
      <c r="AC3039" t="s">
        <v>49</v>
      </c>
      <c r="AD3039">
        <v>0</v>
      </c>
      <c r="AE3039">
        <v>5000900</v>
      </c>
      <c r="AF3039" t="s">
        <v>50</v>
      </c>
      <c r="AG3039" t="s">
        <v>3037</v>
      </c>
    </row>
    <row r="3040" spans="1:33" x14ac:dyDescent="0.35">
      <c r="A3040" s="1">
        <v>44782.963888888888</v>
      </c>
      <c r="B3040">
        <v>5515879</v>
      </c>
      <c r="C3040" t="s">
        <v>6259</v>
      </c>
      <c r="D3040" t="s">
        <v>6260</v>
      </c>
      <c r="E3040" s="2">
        <v>43622</v>
      </c>
      <c r="F3040" t="str">
        <f>"9781786492968"</f>
        <v>9781786492968</v>
      </c>
      <c r="G3040" t="str">
        <f>"9781786492975"</f>
        <v>9781786492975</v>
      </c>
      <c r="H3040" t="s">
        <v>43</v>
      </c>
      <c r="K3040" t="s">
        <v>55</v>
      </c>
      <c r="N3040" t="s">
        <v>79</v>
      </c>
      <c r="P3040" t="s">
        <v>1169</v>
      </c>
      <c r="Q3040" t="s">
        <v>47</v>
      </c>
      <c r="R3040" t="s">
        <v>44</v>
      </c>
      <c r="S3040">
        <v>0</v>
      </c>
      <c r="W3040" s="3">
        <v>8.449074074074075E-4</v>
      </c>
      <c r="X3040" t="s">
        <v>6287</v>
      </c>
      <c r="Y3040">
        <v>6</v>
      </c>
      <c r="Z3040">
        <v>0</v>
      </c>
      <c r="AA3040" t="s">
        <v>49</v>
      </c>
      <c r="AB3040">
        <v>0</v>
      </c>
      <c r="AC3040" t="s">
        <v>49</v>
      </c>
      <c r="AD3040">
        <v>0</v>
      </c>
      <c r="AE3040">
        <v>-1</v>
      </c>
      <c r="AF3040" t="s">
        <v>50</v>
      </c>
      <c r="AG3040" t="s">
        <v>6288</v>
      </c>
    </row>
    <row r="3041" spans="1:33" x14ac:dyDescent="0.35">
      <c r="A3041" s="1">
        <v>44782.694444444445</v>
      </c>
      <c r="B3041">
        <v>5754503</v>
      </c>
      <c r="C3041" t="s">
        <v>6289</v>
      </c>
      <c r="D3041" t="s">
        <v>65</v>
      </c>
      <c r="E3041" s="2">
        <v>41799</v>
      </c>
      <c r="F3041" t="str">
        <f>"9780127999142"</f>
        <v>9780127999142</v>
      </c>
      <c r="G3041" t="str">
        <f>"9780124202283"</f>
        <v>9780124202283</v>
      </c>
      <c r="H3041" t="s">
        <v>43</v>
      </c>
      <c r="I3041" t="s">
        <v>6290</v>
      </c>
      <c r="J3041" t="s">
        <v>6291</v>
      </c>
      <c r="K3041" t="s">
        <v>44</v>
      </c>
      <c r="N3041" t="s">
        <v>45</v>
      </c>
      <c r="O3041" t="s">
        <v>46</v>
      </c>
      <c r="P3041" t="s">
        <v>45</v>
      </c>
      <c r="Q3041" t="s">
        <v>47</v>
      </c>
      <c r="R3041" t="s">
        <v>44</v>
      </c>
      <c r="S3041">
        <v>0</v>
      </c>
      <c r="W3041" s="3">
        <v>6.9444444444444447E-4</v>
      </c>
      <c r="X3041" t="s">
        <v>6292</v>
      </c>
      <c r="Y3041">
        <v>10</v>
      </c>
      <c r="Z3041">
        <v>0</v>
      </c>
      <c r="AA3041" t="s">
        <v>49</v>
      </c>
      <c r="AB3041">
        <v>0</v>
      </c>
      <c r="AC3041" t="s">
        <v>49</v>
      </c>
      <c r="AD3041">
        <v>0</v>
      </c>
      <c r="AE3041">
        <v>-1</v>
      </c>
      <c r="AF3041" t="s">
        <v>50</v>
      </c>
      <c r="AG3041" t="s">
        <v>5049</v>
      </c>
    </row>
    <row r="3042" spans="1:33" x14ac:dyDescent="0.35">
      <c r="A3042" s="1">
        <v>44782.531944444447</v>
      </c>
      <c r="B3042">
        <v>4398314</v>
      </c>
      <c r="C3042" t="s">
        <v>6293</v>
      </c>
      <c r="D3042" t="s">
        <v>1390</v>
      </c>
      <c r="E3042" s="2">
        <v>40359</v>
      </c>
      <c r="F3042" t="str">
        <f>"9780801897504"</f>
        <v>9780801897504</v>
      </c>
      <c r="G3042" t="str">
        <f>"9780801894725"</f>
        <v>9780801894725</v>
      </c>
      <c r="H3042" t="s">
        <v>531</v>
      </c>
      <c r="I3042" t="s">
        <v>6294</v>
      </c>
      <c r="K3042" t="s">
        <v>44</v>
      </c>
      <c r="N3042" t="s">
        <v>45</v>
      </c>
      <c r="O3042" t="s">
        <v>46</v>
      </c>
      <c r="P3042" t="s">
        <v>45</v>
      </c>
      <c r="Q3042" t="s">
        <v>47</v>
      </c>
      <c r="R3042" t="s">
        <v>44</v>
      </c>
      <c r="S3042">
        <v>0</v>
      </c>
      <c r="W3042" s="3">
        <v>0</v>
      </c>
      <c r="X3042" t="s">
        <v>49</v>
      </c>
      <c r="Y3042">
        <v>0</v>
      </c>
      <c r="Z3042">
        <v>1</v>
      </c>
      <c r="AA3042" t="s">
        <v>6295</v>
      </c>
      <c r="AB3042">
        <v>22</v>
      </c>
      <c r="AC3042" t="s">
        <v>49</v>
      </c>
      <c r="AD3042">
        <v>0</v>
      </c>
      <c r="AE3042">
        <v>11161031</v>
      </c>
      <c r="AF3042" t="s">
        <v>50</v>
      </c>
      <c r="AG3042" t="s">
        <v>6276</v>
      </c>
    </row>
    <row r="3043" spans="1:33" x14ac:dyDescent="0.35">
      <c r="A3043" s="1">
        <v>44782.522222222222</v>
      </c>
      <c r="B3043">
        <v>539794</v>
      </c>
      <c r="C3043" t="s">
        <v>6296</v>
      </c>
      <c r="D3043" t="s">
        <v>53</v>
      </c>
      <c r="E3043" s="2">
        <v>40380</v>
      </c>
      <c r="F3043" t="str">
        <f>"9781400835102"</f>
        <v>9781400835102</v>
      </c>
      <c r="G3043" t="str">
        <f>"9780691143965"</f>
        <v>9780691143965</v>
      </c>
      <c r="H3043" t="s">
        <v>531</v>
      </c>
      <c r="I3043" t="s">
        <v>6297</v>
      </c>
      <c r="J3043" t="s">
        <v>6298</v>
      </c>
      <c r="K3043" t="s">
        <v>44</v>
      </c>
      <c r="N3043" t="s">
        <v>45</v>
      </c>
      <c r="O3043" t="s">
        <v>46</v>
      </c>
      <c r="P3043" t="s">
        <v>45</v>
      </c>
      <c r="Q3043" t="s">
        <v>47</v>
      </c>
      <c r="R3043" t="s">
        <v>44</v>
      </c>
      <c r="S3043">
        <v>0</v>
      </c>
      <c r="W3043" s="3">
        <v>0</v>
      </c>
      <c r="X3043" t="s">
        <v>49</v>
      </c>
      <c r="Y3043">
        <v>0</v>
      </c>
      <c r="Z3043">
        <v>2</v>
      </c>
      <c r="AA3043" t="s">
        <v>6299</v>
      </c>
      <c r="AB3043">
        <v>16</v>
      </c>
      <c r="AC3043" t="s">
        <v>49</v>
      </c>
      <c r="AD3043">
        <v>0</v>
      </c>
      <c r="AE3043">
        <v>10395112</v>
      </c>
      <c r="AF3043" t="s">
        <v>50</v>
      </c>
      <c r="AG3043" t="s">
        <v>6276</v>
      </c>
    </row>
    <row r="3044" spans="1:33" x14ac:dyDescent="0.35">
      <c r="A3044" s="1">
        <v>44782.518750000003</v>
      </c>
      <c r="B3044">
        <v>3037552</v>
      </c>
      <c r="C3044" t="s">
        <v>6271</v>
      </c>
      <c r="D3044" t="s">
        <v>132</v>
      </c>
      <c r="E3044" s="2">
        <v>39181</v>
      </c>
      <c r="F3044" t="str">
        <f>"9780804768092"</f>
        <v>9780804768092</v>
      </c>
      <c r="G3044" t="str">
        <f>"9780804753999"</f>
        <v>9780804753999</v>
      </c>
      <c r="H3044" t="s">
        <v>531</v>
      </c>
      <c r="I3044">
        <v>355</v>
      </c>
      <c r="J3044" t="s">
        <v>6272</v>
      </c>
      <c r="K3044" t="s">
        <v>44</v>
      </c>
      <c r="N3044" t="s">
        <v>45</v>
      </c>
      <c r="O3044" t="s">
        <v>46</v>
      </c>
      <c r="P3044" t="s">
        <v>45</v>
      </c>
      <c r="Q3044" t="s">
        <v>47</v>
      </c>
      <c r="R3044" t="s">
        <v>44</v>
      </c>
      <c r="S3044">
        <v>0</v>
      </c>
      <c r="W3044" s="3">
        <v>0</v>
      </c>
      <c r="X3044" t="s">
        <v>49</v>
      </c>
      <c r="Y3044">
        <v>0</v>
      </c>
      <c r="Z3044">
        <v>1</v>
      </c>
      <c r="AA3044" t="s">
        <v>6300</v>
      </c>
      <c r="AB3044">
        <v>26</v>
      </c>
      <c r="AC3044" t="s">
        <v>49</v>
      </c>
      <c r="AD3044">
        <v>0</v>
      </c>
      <c r="AE3044">
        <v>10180129</v>
      </c>
      <c r="AF3044" t="s">
        <v>50</v>
      </c>
      <c r="AG3044" t="s">
        <v>3037</v>
      </c>
    </row>
    <row r="3045" spans="1:33" x14ac:dyDescent="0.35">
      <c r="A3045" s="1">
        <v>44782.484722222223</v>
      </c>
      <c r="B3045">
        <v>3404985</v>
      </c>
      <c r="C3045" t="s">
        <v>6301</v>
      </c>
      <c r="D3045" t="s">
        <v>296</v>
      </c>
      <c r="E3045" s="2">
        <v>37226</v>
      </c>
      <c r="F3045" t="str">
        <f>"9781613991626"</f>
        <v>9781613991626</v>
      </c>
      <c r="G3045" t="str">
        <f>"9781555630928"</f>
        <v>9781555630928</v>
      </c>
      <c r="H3045" t="s">
        <v>297</v>
      </c>
      <c r="J3045" t="s">
        <v>6302</v>
      </c>
      <c r="K3045" t="s">
        <v>44</v>
      </c>
      <c r="N3045" t="s">
        <v>45</v>
      </c>
      <c r="O3045" t="s">
        <v>46</v>
      </c>
      <c r="P3045" t="s">
        <v>45</v>
      </c>
      <c r="Q3045" t="s">
        <v>47</v>
      </c>
      <c r="R3045" t="s">
        <v>44</v>
      </c>
      <c r="S3045">
        <v>0</v>
      </c>
      <c r="W3045" s="3">
        <v>1.1574074074074073E-5</v>
      </c>
      <c r="X3045" t="s">
        <v>49</v>
      </c>
      <c r="Y3045">
        <v>0</v>
      </c>
      <c r="Z3045">
        <v>2</v>
      </c>
      <c r="AA3045" t="s">
        <v>6303</v>
      </c>
      <c r="AB3045">
        <v>28</v>
      </c>
      <c r="AC3045" t="s">
        <v>49</v>
      </c>
      <c r="AD3045">
        <v>0</v>
      </c>
      <c r="AE3045">
        <v>10619556</v>
      </c>
      <c r="AF3045" t="s">
        <v>50</v>
      </c>
      <c r="AG3045" t="s">
        <v>6304</v>
      </c>
    </row>
    <row r="3046" spans="1:33" x14ac:dyDescent="0.35">
      <c r="A3046" s="1">
        <v>44781.645138888889</v>
      </c>
      <c r="B3046">
        <v>1895998</v>
      </c>
      <c r="C3046" t="s">
        <v>6305</v>
      </c>
      <c r="D3046" t="s">
        <v>59</v>
      </c>
      <c r="E3046" s="2">
        <v>42219</v>
      </c>
      <c r="F3046" t="str">
        <f>"9781119047186"</f>
        <v>9781119047186</v>
      </c>
      <c r="G3046" t="str">
        <f>"9781118228968"</f>
        <v>9781118228968</v>
      </c>
      <c r="H3046" t="s">
        <v>43</v>
      </c>
      <c r="I3046">
        <v>519.5</v>
      </c>
      <c r="J3046" t="s">
        <v>6306</v>
      </c>
      <c r="K3046" t="s">
        <v>44</v>
      </c>
      <c r="N3046" t="s">
        <v>45</v>
      </c>
      <c r="O3046" t="s">
        <v>46</v>
      </c>
      <c r="P3046" t="s">
        <v>45</v>
      </c>
      <c r="Q3046" t="s">
        <v>47</v>
      </c>
      <c r="R3046" t="s">
        <v>44</v>
      </c>
      <c r="S3046">
        <v>0</v>
      </c>
      <c r="W3046" s="3">
        <v>3.2407407407407406E-4</v>
      </c>
      <c r="X3046" t="s">
        <v>6307</v>
      </c>
      <c r="Y3046">
        <v>6</v>
      </c>
      <c r="Z3046">
        <v>0</v>
      </c>
      <c r="AA3046" t="s">
        <v>49</v>
      </c>
      <c r="AB3046">
        <v>0</v>
      </c>
      <c r="AC3046" t="s">
        <v>49</v>
      </c>
      <c r="AD3046">
        <v>0</v>
      </c>
      <c r="AE3046">
        <v>11090905</v>
      </c>
      <c r="AF3046" t="s">
        <v>50</v>
      </c>
      <c r="AG3046" t="s">
        <v>5049</v>
      </c>
    </row>
    <row r="3047" spans="1:33" x14ac:dyDescent="0.35">
      <c r="A3047" s="1">
        <v>44781.569444444445</v>
      </c>
      <c r="B3047">
        <v>5672678</v>
      </c>
      <c r="C3047" t="s">
        <v>5590</v>
      </c>
      <c r="D3047" t="s">
        <v>5591</v>
      </c>
      <c r="E3047" s="2">
        <v>43529</v>
      </c>
      <c r="F3047" t="str">
        <f>"9781722523084"</f>
        <v>9781722523084</v>
      </c>
      <c r="G3047" t="str">
        <f>""</f>
        <v/>
      </c>
      <c r="H3047" t="s">
        <v>900</v>
      </c>
      <c r="I3047">
        <v>332.024</v>
      </c>
      <c r="J3047" t="s">
        <v>5592</v>
      </c>
      <c r="K3047" t="s">
        <v>55</v>
      </c>
      <c r="N3047" t="s">
        <v>293</v>
      </c>
      <c r="P3047" t="s">
        <v>80</v>
      </c>
      <c r="Q3047" t="s">
        <v>47</v>
      </c>
      <c r="R3047" t="s">
        <v>44</v>
      </c>
      <c r="S3047">
        <v>0</v>
      </c>
      <c r="W3047" s="3">
        <v>3.1250000000000001E-4</v>
      </c>
      <c r="X3047" t="s">
        <v>2546</v>
      </c>
      <c r="Y3047">
        <v>6</v>
      </c>
      <c r="Z3047">
        <v>0</v>
      </c>
      <c r="AA3047" t="s">
        <v>49</v>
      </c>
      <c r="AB3047">
        <v>0</v>
      </c>
      <c r="AC3047" t="s">
        <v>49</v>
      </c>
      <c r="AD3047">
        <v>0</v>
      </c>
      <c r="AE3047">
        <v>-1</v>
      </c>
      <c r="AF3047" t="s">
        <v>63</v>
      </c>
      <c r="AG3047" t="s">
        <v>3037</v>
      </c>
    </row>
    <row r="3048" spans="1:33" x14ac:dyDescent="0.35">
      <c r="A3048" s="1">
        <v>44779.456944444442</v>
      </c>
      <c r="B3048">
        <v>679343</v>
      </c>
      <c r="C3048" t="s">
        <v>6308</v>
      </c>
      <c r="D3048" t="s">
        <v>125</v>
      </c>
      <c r="E3048" s="2">
        <v>32548</v>
      </c>
      <c r="F3048" t="str">
        <f>"9780199769926"</f>
        <v>9780199769926</v>
      </c>
      <c r="G3048" t="str">
        <f>"9780195056440"</f>
        <v>9780195056440</v>
      </c>
      <c r="H3048" t="s">
        <v>498</v>
      </c>
      <c r="I3048" t="s">
        <v>6309</v>
      </c>
      <c r="J3048" t="s">
        <v>6310</v>
      </c>
      <c r="K3048" t="s">
        <v>44</v>
      </c>
      <c r="N3048" t="s">
        <v>45</v>
      </c>
      <c r="O3048" t="s">
        <v>46</v>
      </c>
      <c r="P3048" t="s">
        <v>45</v>
      </c>
      <c r="Q3048" t="s">
        <v>47</v>
      </c>
      <c r="R3048" t="s">
        <v>44</v>
      </c>
      <c r="S3048">
        <v>0</v>
      </c>
      <c r="W3048" s="3">
        <v>5.3310185185185183E-2</v>
      </c>
      <c r="X3048" t="s">
        <v>6311</v>
      </c>
      <c r="Y3048">
        <v>40</v>
      </c>
      <c r="Z3048">
        <v>0</v>
      </c>
      <c r="AA3048" t="s">
        <v>49</v>
      </c>
      <c r="AB3048">
        <v>0</v>
      </c>
      <c r="AC3048" t="s">
        <v>6312</v>
      </c>
      <c r="AD3048">
        <v>1</v>
      </c>
      <c r="AE3048">
        <v>11303891</v>
      </c>
      <c r="AF3048" t="s">
        <v>50</v>
      </c>
      <c r="AG3048" t="s">
        <v>3037</v>
      </c>
    </row>
    <row r="3049" spans="1:33" x14ac:dyDescent="0.35">
      <c r="A3049" s="1">
        <v>44778.47152777778</v>
      </c>
      <c r="B3049">
        <v>5989418</v>
      </c>
      <c r="C3049" t="s">
        <v>6313</v>
      </c>
      <c r="D3049" t="s">
        <v>213</v>
      </c>
      <c r="E3049" s="2">
        <v>43803</v>
      </c>
      <c r="F3049" t="str">
        <f>"9780128168875"</f>
        <v>9780128168875</v>
      </c>
      <c r="G3049" t="str">
        <f>"9780128167212"</f>
        <v>9780128167212</v>
      </c>
      <c r="H3049" t="s">
        <v>639</v>
      </c>
      <c r="K3049" t="s">
        <v>55</v>
      </c>
      <c r="Q3049" t="s">
        <v>47</v>
      </c>
      <c r="R3049" t="s">
        <v>44</v>
      </c>
      <c r="S3049">
        <v>0</v>
      </c>
      <c r="W3049" s="3">
        <v>1.4930555555555556E-3</v>
      </c>
      <c r="X3049" t="s">
        <v>6314</v>
      </c>
      <c r="Y3049">
        <v>23</v>
      </c>
      <c r="Z3049">
        <v>0</v>
      </c>
      <c r="AA3049" t="s">
        <v>49</v>
      </c>
      <c r="AB3049">
        <v>0</v>
      </c>
      <c r="AC3049" t="s">
        <v>49</v>
      </c>
      <c r="AD3049">
        <v>0</v>
      </c>
      <c r="AE3049">
        <v>-1</v>
      </c>
      <c r="AF3049" t="s">
        <v>63</v>
      </c>
      <c r="AG3049" t="s">
        <v>6315</v>
      </c>
    </row>
    <row r="3050" spans="1:33" x14ac:dyDescent="0.35">
      <c r="A3050" s="1">
        <v>44777.618055555555</v>
      </c>
      <c r="B3050">
        <v>5672678</v>
      </c>
      <c r="C3050" t="s">
        <v>5590</v>
      </c>
      <c r="D3050" t="s">
        <v>5591</v>
      </c>
      <c r="E3050" s="2">
        <v>43529</v>
      </c>
      <c r="F3050" t="str">
        <f>"9781722523084"</f>
        <v>9781722523084</v>
      </c>
      <c r="G3050" t="str">
        <f>""</f>
        <v/>
      </c>
      <c r="H3050" t="s">
        <v>900</v>
      </c>
      <c r="I3050">
        <v>332.024</v>
      </c>
      <c r="J3050" t="s">
        <v>5592</v>
      </c>
      <c r="K3050" t="s">
        <v>55</v>
      </c>
      <c r="Q3050" t="s">
        <v>47</v>
      </c>
      <c r="R3050" t="s">
        <v>44</v>
      </c>
      <c r="S3050">
        <v>0</v>
      </c>
      <c r="W3050" s="3">
        <v>0</v>
      </c>
      <c r="X3050" t="s">
        <v>49</v>
      </c>
      <c r="Y3050">
        <v>0</v>
      </c>
      <c r="Z3050">
        <v>0</v>
      </c>
      <c r="AA3050" t="s">
        <v>49</v>
      </c>
      <c r="AB3050">
        <v>0</v>
      </c>
      <c r="AC3050" t="s">
        <v>49</v>
      </c>
      <c r="AD3050">
        <v>0</v>
      </c>
      <c r="AE3050">
        <v>-1</v>
      </c>
      <c r="AF3050" t="s">
        <v>63</v>
      </c>
      <c r="AG3050" t="s">
        <v>3037</v>
      </c>
    </row>
    <row r="3051" spans="1:33" x14ac:dyDescent="0.35">
      <c r="A3051" s="1">
        <v>44776.447916666664</v>
      </c>
      <c r="B3051">
        <v>6634782</v>
      </c>
      <c r="C3051" t="s">
        <v>1950</v>
      </c>
      <c r="D3051" t="s">
        <v>76</v>
      </c>
      <c r="E3051" s="2">
        <v>41553</v>
      </c>
      <c r="F3051" t="str">
        <f>"9781000466850"</f>
        <v>9781000466850</v>
      </c>
      <c r="G3051" t="str">
        <f>"9781138422810"</f>
        <v>9781138422810</v>
      </c>
      <c r="H3051" t="s">
        <v>77</v>
      </c>
      <c r="I3051">
        <v>610.76</v>
      </c>
      <c r="J3051" t="s">
        <v>1951</v>
      </c>
      <c r="K3051" t="s">
        <v>55</v>
      </c>
      <c r="N3051" t="s">
        <v>79</v>
      </c>
      <c r="P3051" t="s">
        <v>80</v>
      </c>
      <c r="Q3051" t="s">
        <v>47</v>
      </c>
      <c r="R3051" t="s">
        <v>44</v>
      </c>
      <c r="S3051">
        <v>0</v>
      </c>
      <c r="W3051" s="3">
        <v>1.0474537037037037E-2</v>
      </c>
      <c r="X3051" t="s">
        <v>6316</v>
      </c>
      <c r="Y3051">
        <v>10</v>
      </c>
      <c r="Z3051">
        <v>0</v>
      </c>
      <c r="AA3051" t="s">
        <v>49</v>
      </c>
      <c r="AB3051">
        <v>0</v>
      </c>
      <c r="AC3051" t="s">
        <v>49</v>
      </c>
      <c r="AD3051">
        <v>0</v>
      </c>
      <c r="AE3051">
        <v>-1</v>
      </c>
      <c r="AF3051" t="s">
        <v>50</v>
      </c>
      <c r="AG3051" t="s">
        <v>5049</v>
      </c>
    </row>
    <row r="3052" spans="1:33" x14ac:dyDescent="0.35">
      <c r="A3052" s="1">
        <v>44776.445833333331</v>
      </c>
      <c r="B3052">
        <v>1114018</v>
      </c>
      <c r="C3052" t="s">
        <v>6317</v>
      </c>
      <c r="D3052" t="s">
        <v>76</v>
      </c>
      <c r="E3052" s="2">
        <v>41353</v>
      </c>
      <c r="F3052" t="str">
        <f>"9781466502109"</f>
        <v>9781466502109</v>
      </c>
      <c r="G3052" t="str">
        <f>"9781439897805"</f>
        <v>9781439897805</v>
      </c>
      <c r="H3052" t="s">
        <v>811</v>
      </c>
      <c r="I3052">
        <v>620.5</v>
      </c>
      <c r="J3052" t="s">
        <v>6318</v>
      </c>
      <c r="K3052" t="s">
        <v>55</v>
      </c>
      <c r="N3052" t="s">
        <v>79</v>
      </c>
      <c r="P3052" t="s">
        <v>80</v>
      </c>
      <c r="Q3052" t="s">
        <v>47</v>
      </c>
      <c r="R3052" t="s">
        <v>44</v>
      </c>
      <c r="S3052">
        <v>1</v>
      </c>
      <c r="T3052">
        <v>90</v>
      </c>
      <c r="U3052" s="1">
        <v>44776.445833333331</v>
      </c>
      <c r="V3052" s="1">
        <v>44866.445833333331</v>
      </c>
      <c r="W3052" s="3">
        <v>0</v>
      </c>
      <c r="X3052" t="s">
        <v>49</v>
      </c>
      <c r="Y3052">
        <v>0</v>
      </c>
      <c r="Z3052">
        <v>0</v>
      </c>
      <c r="AA3052" t="s">
        <v>49</v>
      </c>
      <c r="AB3052">
        <v>0</v>
      </c>
      <c r="AC3052" t="s">
        <v>49</v>
      </c>
      <c r="AD3052">
        <v>0</v>
      </c>
      <c r="AE3052">
        <v>10648159</v>
      </c>
      <c r="AF3052" t="s">
        <v>63</v>
      </c>
      <c r="AG3052" t="s">
        <v>5049</v>
      </c>
    </row>
    <row r="3053" spans="1:33" x14ac:dyDescent="0.35">
      <c r="A3053" s="1">
        <v>44776.443055555559</v>
      </c>
      <c r="B3053">
        <v>1114018</v>
      </c>
      <c r="C3053" t="s">
        <v>6317</v>
      </c>
      <c r="D3053" t="s">
        <v>76</v>
      </c>
      <c r="E3053" s="2">
        <v>41353</v>
      </c>
      <c r="F3053" t="str">
        <f>"9781466502109"</f>
        <v>9781466502109</v>
      </c>
      <c r="G3053" t="str">
        <f>"9781439897805"</f>
        <v>9781439897805</v>
      </c>
      <c r="H3053" t="s">
        <v>811</v>
      </c>
      <c r="I3053">
        <v>620.5</v>
      </c>
      <c r="J3053" t="s">
        <v>6318</v>
      </c>
      <c r="K3053" t="s">
        <v>55</v>
      </c>
      <c r="N3053" t="s">
        <v>79</v>
      </c>
      <c r="P3053" t="s">
        <v>80</v>
      </c>
      <c r="Q3053" t="s">
        <v>47</v>
      </c>
      <c r="R3053" t="s">
        <v>44</v>
      </c>
      <c r="S3053">
        <v>0</v>
      </c>
      <c r="W3053" s="3">
        <v>2.7662037037037034E-3</v>
      </c>
      <c r="X3053" t="s">
        <v>6319</v>
      </c>
      <c r="Y3053">
        <v>18</v>
      </c>
      <c r="Z3053">
        <v>1</v>
      </c>
      <c r="AA3053" t="s">
        <v>6320</v>
      </c>
      <c r="AB3053">
        <v>96</v>
      </c>
      <c r="AC3053" t="s">
        <v>49</v>
      </c>
      <c r="AD3053">
        <v>0</v>
      </c>
      <c r="AE3053">
        <v>10648159</v>
      </c>
      <c r="AF3053" t="s">
        <v>63</v>
      </c>
      <c r="AG3053" t="s">
        <v>5049</v>
      </c>
    </row>
    <row r="3054" spans="1:33" x14ac:dyDescent="0.35">
      <c r="A3054" s="1">
        <v>44776.438888888886</v>
      </c>
      <c r="B3054">
        <v>1114018</v>
      </c>
      <c r="C3054" t="s">
        <v>6317</v>
      </c>
      <c r="D3054" t="s">
        <v>76</v>
      </c>
      <c r="E3054" s="2">
        <v>41353</v>
      </c>
      <c r="F3054" t="str">
        <f>"9781466502109"</f>
        <v>9781466502109</v>
      </c>
      <c r="G3054" t="str">
        <f>"9781439897805"</f>
        <v>9781439897805</v>
      </c>
      <c r="H3054" t="s">
        <v>811</v>
      </c>
      <c r="I3054">
        <v>620.5</v>
      </c>
      <c r="J3054" t="s">
        <v>6318</v>
      </c>
      <c r="K3054" t="s">
        <v>55</v>
      </c>
      <c r="N3054" t="s">
        <v>79</v>
      </c>
      <c r="P3054" t="s">
        <v>80</v>
      </c>
      <c r="Q3054" t="s">
        <v>47</v>
      </c>
      <c r="R3054" t="s">
        <v>44</v>
      </c>
      <c r="S3054">
        <v>0</v>
      </c>
      <c r="W3054" s="3">
        <v>4.2824074074074075E-4</v>
      </c>
      <c r="X3054" t="s">
        <v>6321</v>
      </c>
      <c r="Y3054">
        <v>6</v>
      </c>
      <c r="Z3054">
        <v>0</v>
      </c>
      <c r="AA3054" t="s">
        <v>49</v>
      </c>
      <c r="AB3054">
        <v>0</v>
      </c>
      <c r="AC3054" t="s">
        <v>49</v>
      </c>
      <c r="AD3054">
        <v>0</v>
      </c>
      <c r="AE3054">
        <v>10648159</v>
      </c>
      <c r="AF3054" t="s">
        <v>50</v>
      </c>
      <c r="AG3054" t="s">
        <v>6315</v>
      </c>
    </row>
    <row r="3055" spans="1:33" x14ac:dyDescent="0.35">
      <c r="A3055" s="1">
        <v>44776.436111111114</v>
      </c>
      <c r="B3055">
        <v>1114018</v>
      </c>
      <c r="C3055" t="s">
        <v>6317</v>
      </c>
      <c r="D3055" t="s">
        <v>76</v>
      </c>
      <c r="E3055" s="2">
        <v>41353</v>
      </c>
      <c r="F3055" t="str">
        <f>"9781466502109"</f>
        <v>9781466502109</v>
      </c>
      <c r="G3055" t="str">
        <f>"9781439897805"</f>
        <v>9781439897805</v>
      </c>
      <c r="H3055" t="s">
        <v>811</v>
      </c>
      <c r="I3055">
        <v>620.5</v>
      </c>
      <c r="J3055" t="s">
        <v>6318</v>
      </c>
      <c r="K3055" t="s">
        <v>55</v>
      </c>
      <c r="N3055" t="s">
        <v>79</v>
      </c>
      <c r="P3055" t="s">
        <v>80</v>
      </c>
      <c r="Q3055" t="s">
        <v>47</v>
      </c>
      <c r="R3055" t="s">
        <v>44</v>
      </c>
      <c r="S3055">
        <v>0</v>
      </c>
      <c r="W3055" s="3">
        <v>3.0092592592592595E-4</v>
      </c>
      <c r="X3055" t="s">
        <v>6322</v>
      </c>
      <c r="Y3055">
        <v>3</v>
      </c>
      <c r="Z3055">
        <v>0</v>
      </c>
      <c r="AA3055" t="s">
        <v>49</v>
      </c>
      <c r="AB3055">
        <v>0</v>
      </c>
      <c r="AC3055" t="s">
        <v>49</v>
      </c>
      <c r="AD3055">
        <v>0</v>
      </c>
      <c r="AE3055">
        <v>10648159</v>
      </c>
      <c r="AF3055" t="s">
        <v>50</v>
      </c>
      <c r="AG3055" t="s">
        <v>5049</v>
      </c>
    </row>
    <row r="3056" spans="1:33" x14ac:dyDescent="0.35">
      <c r="A3056" s="1">
        <v>44775.642361111109</v>
      </c>
      <c r="B3056">
        <v>4746679</v>
      </c>
      <c r="C3056" t="s">
        <v>5815</v>
      </c>
      <c r="D3056" t="s">
        <v>1139</v>
      </c>
      <c r="E3056" s="2">
        <v>42681</v>
      </c>
      <c r="F3056" t="str">
        <f>"9789402408966"</f>
        <v>9789402408966</v>
      </c>
      <c r="G3056" t="str">
        <f>"9789402408942"</f>
        <v>9789402408942</v>
      </c>
      <c r="H3056" t="s">
        <v>1454</v>
      </c>
      <c r="I3056">
        <v>551.55130151180003</v>
      </c>
      <c r="J3056" t="s">
        <v>5816</v>
      </c>
      <c r="K3056" t="s">
        <v>55</v>
      </c>
      <c r="N3056" t="s">
        <v>79</v>
      </c>
      <c r="P3056" t="s">
        <v>80</v>
      </c>
      <c r="Q3056" t="s">
        <v>47</v>
      </c>
      <c r="R3056" t="s">
        <v>44</v>
      </c>
      <c r="S3056">
        <v>0</v>
      </c>
      <c r="T3056">
        <v>1</v>
      </c>
      <c r="U3056" s="1">
        <v>44775.615972222222</v>
      </c>
      <c r="V3056" s="1">
        <v>44776.615972222222</v>
      </c>
      <c r="W3056" s="3">
        <v>3.5416666666666665E-3</v>
      </c>
      <c r="X3056" t="s">
        <v>6323</v>
      </c>
      <c r="Y3056">
        <v>14</v>
      </c>
      <c r="Z3056">
        <v>0</v>
      </c>
      <c r="AA3056" t="s">
        <v>49</v>
      </c>
      <c r="AB3056">
        <v>0</v>
      </c>
      <c r="AC3056" t="s">
        <v>49</v>
      </c>
      <c r="AD3056">
        <v>0</v>
      </c>
      <c r="AE3056">
        <v>11300747</v>
      </c>
      <c r="AF3056" t="s">
        <v>63</v>
      </c>
      <c r="AG3056" t="s">
        <v>5049</v>
      </c>
    </row>
    <row r="3057" spans="1:33" x14ac:dyDescent="0.35">
      <c r="A3057" s="1">
        <v>44775.64166666667</v>
      </c>
      <c r="B3057">
        <v>6670414</v>
      </c>
      <c r="C3057" t="s">
        <v>5810</v>
      </c>
      <c r="D3057" t="s">
        <v>5811</v>
      </c>
      <c r="E3057" s="2">
        <v>42550</v>
      </c>
      <c r="F3057" t="str">
        <f>"9781935704287"</f>
        <v>9781935704287</v>
      </c>
      <c r="G3057" t="str">
        <f>""</f>
        <v/>
      </c>
      <c r="H3057" t="s">
        <v>5812</v>
      </c>
      <c r="I3057">
        <v>363.34</v>
      </c>
      <c r="J3057" t="s">
        <v>5813</v>
      </c>
      <c r="K3057" t="s">
        <v>55</v>
      </c>
      <c r="N3057" t="s">
        <v>79</v>
      </c>
      <c r="P3057" t="s">
        <v>80</v>
      </c>
      <c r="Q3057" t="s">
        <v>47</v>
      </c>
      <c r="R3057" t="s">
        <v>44</v>
      </c>
      <c r="S3057">
        <v>0</v>
      </c>
      <c r="T3057">
        <v>90</v>
      </c>
      <c r="U3057" s="1">
        <v>44775.618750000001</v>
      </c>
      <c r="V3057" s="1">
        <v>44865.618750000001</v>
      </c>
      <c r="W3057" s="3">
        <v>3.4722222222222222E-5</v>
      </c>
      <c r="X3057" t="s">
        <v>6324</v>
      </c>
      <c r="Y3057">
        <v>1</v>
      </c>
      <c r="Z3057">
        <v>0</v>
      </c>
      <c r="AA3057" t="s">
        <v>49</v>
      </c>
      <c r="AB3057">
        <v>0</v>
      </c>
      <c r="AC3057" t="s">
        <v>49</v>
      </c>
      <c r="AD3057">
        <v>0</v>
      </c>
      <c r="AE3057">
        <v>-1</v>
      </c>
      <c r="AF3057" t="s">
        <v>63</v>
      </c>
      <c r="AG3057" t="s">
        <v>5049</v>
      </c>
    </row>
    <row r="3058" spans="1:33" x14ac:dyDescent="0.35">
      <c r="A3058" s="1">
        <v>44775.625694444447</v>
      </c>
      <c r="B3058">
        <v>6670414</v>
      </c>
      <c r="C3058" t="s">
        <v>5810</v>
      </c>
      <c r="D3058" t="s">
        <v>5811</v>
      </c>
      <c r="E3058" s="2">
        <v>42550</v>
      </c>
      <c r="F3058" t="str">
        <f>"9781935704287"</f>
        <v>9781935704287</v>
      </c>
      <c r="G3058" t="str">
        <f>""</f>
        <v/>
      </c>
      <c r="H3058" t="s">
        <v>5812</v>
      </c>
      <c r="I3058">
        <v>363.34</v>
      </c>
      <c r="J3058" t="s">
        <v>5813</v>
      </c>
      <c r="K3058" t="s">
        <v>55</v>
      </c>
      <c r="N3058" t="s">
        <v>79</v>
      </c>
      <c r="P3058" t="s">
        <v>80</v>
      </c>
      <c r="Q3058" t="s">
        <v>47</v>
      </c>
      <c r="R3058" t="s">
        <v>44</v>
      </c>
      <c r="S3058">
        <v>0</v>
      </c>
      <c r="W3058" s="3">
        <v>6.7129629629629625E-4</v>
      </c>
      <c r="X3058" t="s">
        <v>6325</v>
      </c>
      <c r="Y3058">
        <v>4</v>
      </c>
      <c r="Z3058">
        <v>2</v>
      </c>
      <c r="AA3058" t="s">
        <v>2962</v>
      </c>
      <c r="AB3058">
        <v>50</v>
      </c>
      <c r="AC3058" t="s">
        <v>49</v>
      </c>
      <c r="AD3058">
        <v>0</v>
      </c>
      <c r="AE3058">
        <v>-1</v>
      </c>
      <c r="AF3058" t="s">
        <v>50</v>
      </c>
      <c r="AG3058" t="s">
        <v>5049</v>
      </c>
    </row>
    <row r="3059" spans="1:33" x14ac:dyDescent="0.35">
      <c r="A3059" s="1">
        <v>44775.621527777781</v>
      </c>
      <c r="B3059">
        <v>4746679</v>
      </c>
      <c r="C3059" t="s">
        <v>5815</v>
      </c>
      <c r="D3059" t="s">
        <v>1139</v>
      </c>
      <c r="E3059" s="2">
        <v>42681</v>
      </c>
      <c r="F3059" t="str">
        <f>"9789402408966"</f>
        <v>9789402408966</v>
      </c>
      <c r="G3059" t="str">
        <f>"9789402408942"</f>
        <v>9789402408942</v>
      </c>
      <c r="H3059" t="s">
        <v>1454</v>
      </c>
      <c r="I3059">
        <v>551.55130151180003</v>
      </c>
      <c r="J3059" t="s">
        <v>5816</v>
      </c>
      <c r="K3059" t="s">
        <v>55</v>
      </c>
      <c r="N3059" t="s">
        <v>79</v>
      </c>
      <c r="P3059" t="s">
        <v>80</v>
      </c>
      <c r="Q3059" t="s">
        <v>47</v>
      </c>
      <c r="R3059" t="s">
        <v>44</v>
      </c>
      <c r="S3059">
        <v>0</v>
      </c>
      <c r="W3059" s="3">
        <v>0</v>
      </c>
      <c r="X3059" t="s">
        <v>49</v>
      </c>
      <c r="Y3059">
        <v>0</v>
      </c>
      <c r="Z3059">
        <v>2</v>
      </c>
      <c r="AA3059" t="s">
        <v>6326</v>
      </c>
      <c r="AB3059">
        <v>127</v>
      </c>
      <c r="AC3059" t="s">
        <v>49</v>
      </c>
      <c r="AD3059">
        <v>0</v>
      </c>
      <c r="AE3059">
        <v>11300747</v>
      </c>
      <c r="AF3059" t="s">
        <v>50</v>
      </c>
      <c r="AG3059" t="s">
        <v>5049</v>
      </c>
    </row>
    <row r="3060" spans="1:33" x14ac:dyDescent="0.35">
      <c r="A3060" s="1">
        <v>44775.620833333334</v>
      </c>
      <c r="B3060">
        <v>3073657</v>
      </c>
      <c r="C3060" t="s">
        <v>5762</v>
      </c>
      <c r="D3060" t="s">
        <v>5763</v>
      </c>
      <c r="E3060" s="2">
        <v>37798</v>
      </c>
      <c r="F3060" t="str">
        <f>"9781461200390"</f>
        <v>9781461200390</v>
      </c>
      <c r="G3060" t="str">
        <f>"9781461265849"</f>
        <v>9781461265849</v>
      </c>
      <c r="H3060" t="s">
        <v>824</v>
      </c>
      <c r="J3060" t="s">
        <v>234</v>
      </c>
      <c r="K3060" t="s">
        <v>55</v>
      </c>
      <c r="N3060" t="s">
        <v>79</v>
      </c>
      <c r="P3060" t="s">
        <v>80</v>
      </c>
      <c r="Q3060" t="s">
        <v>47</v>
      </c>
      <c r="R3060" t="s">
        <v>44</v>
      </c>
      <c r="S3060">
        <v>0</v>
      </c>
      <c r="W3060" s="3">
        <v>5.7870370370370366E-5</v>
      </c>
      <c r="X3060" t="s">
        <v>121</v>
      </c>
      <c r="Y3060">
        <v>1</v>
      </c>
      <c r="Z3060">
        <v>0</v>
      </c>
      <c r="AA3060" t="s">
        <v>49</v>
      </c>
      <c r="AB3060">
        <v>0</v>
      </c>
      <c r="AC3060" t="s">
        <v>49</v>
      </c>
      <c r="AD3060">
        <v>0</v>
      </c>
      <c r="AE3060">
        <v>10916826</v>
      </c>
      <c r="AF3060" t="s">
        <v>50</v>
      </c>
      <c r="AG3060" t="s">
        <v>5049</v>
      </c>
    </row>
    <row r="3061" spans="1:33" x14ac:dyDescent="0.35">
      <c r="A3061" s="1">
        <v>44775.618750000001</v>
      </c>
      <c r="B3061">
        <v>6670414</v>
      </c>
      <c r="C3061" t="s">
        <v>5810</v>
      </c>
      <c r="D3061" t="s">
        <v>5811</v>
      </c>
      <c r="E3061" s="2">
        <v>42550</v>
      </c>
      <c r="F3061" t="str">
        <f>"9781935704287"</f>
        <v>9781935704287</v>
      </c>
      <c r="G3061" t="str">
        <f>""</f>
        <v/>
      </c>
      <c r="H3061" t="s">
        <v>5812</v>
      </c>
      <c r="I3061">
        <v>363.34</v>
      </c>
      <c r="J3061" t="s">
        <v>5813</v>
      </c>
      <c r="K3061" t="s">
        <v>55</v>
      </c>
      <c r="N3061" t="s">
        <v>79</v>
      </c>
      <c r="P3061" t="s">
        <v>80</v>
      </c>
      <c r="Q3061" t="s">
        <v>47</v>
      </c>
      <c r="R3061" t="s">
        <v>44</v>
      </c>
      <c r="S3061">
        <v>1</v>
      </c>
      <c r="T3061">
        <v>90</v>
      </c>
      <c r="U3061" s="1">
        <v>44775.618750000001</v>
      </c>
      <c r="V3061" s="1">
        <v>44865.618750000001</v>
      </c>
      <c r="W3061" s="3">
        <v>0</v>
      </c>
      <c r="X3061" t="s">
        <v>49</v>
      </c>
      <c r="Y3061">
        <v>0</v>
      </c>
      <c r="Z3061">
        <v>1</v>
      </c>
      <c r="AA3061" t="s">
        <v>3791</v>
      </c>
      <c r="AB3061">
        <v>25</v>
      </c>
      <c r="AC3061" t="s">
        <v>49</v>
      </c>
      <c r="AD3061">
        <v>0</v>
      </c>
      <c r="AE3061">
        <v>-1</v>
      </c>
      <c r="AF3061" t="s">
        <v>63</v>
      </c>
      <c r="AG3061" t="s">
        <v>5049</v>
      </c>
    </row>
    <row r="3062" spans="1:33" x14ac:dyDescent="0.35">
      <c r="A3062" s="1">
        <v>44775.615972222222</v>
      </c>
      <c r="B3062">
        <v>4746679</v>
      </c>
      <c r="C3062" t="s">
        <v>5815</v>
      </c>
      <c r="D3062" t="s">
        <v>1139</v>
      </c>
      <c r="E3062" s="2">
        <v>42681</v>
      </c>
      <c r="F3062" t="str">
        <f>"9789402408966"</f>
        <v>9789402408966</v>
      </c>
      <c r="G3062" t="str">
        <f>"9789402408942"</f>
        <v>9789402408942</v>
      </c>
      <c r="H3062" t="s">
        <v>1454</v>
      </c>
      <c r="I3062">
        <v>551.55130151180003</v>
      </c>
      <c r="J3062" t="s">
        <v>5816</v>
      </c>
      <c r="K3062" t="s">
        <v>55</v>
      </c>
      <c r="N3062" t="s">
        <v>79</v>
      </c>
      <c r="P3062" t="s">
        <v>80</v>
      </c>
      <c r="Q3062" t="s">
        <v>47</v>
      </c>
      <c r="R3062" t="s">
        <v>44</v>
      </c>
      <c r="S3062">
        <v>1</v>
      </c>
      <c r="T3062">
        <v>1</v>
      </c>
      <c r="U3062" s="1">
        <v>44775.615972222222</v>
      </c>
      <c r="V3062" s="1">
        <v>44776.615972222222</v>
      </c>
      <c r="W3062" s="3">
        <v>0</v>
      </c>
      <c r="X3062" t="s">
        <v>49</v>
      </c>
      <c r="Y3062">
        <v>0</v>
      </c>
      <c r="Z3062">
        <v>1</v>
      </c>
      <c r="AA3062" t="s">
        <v>6327</v>
      </c>
      <c r="AB3062">
        <v>256</v>
      </c>
      <c r="AC3062" t="s">
        <v>49</v>
      </c>
      <c r="AD3062">
        <v>0</v>
      </c>
      <c r="AE3062">
        <v>11300747</v>
      </c>
      <c r="AF3062" t="s">
        <v>63</v>
      </c>
      <c r="AG3062" t="s">
        <v>5049</v>
      </c>
    </row>
    <row r="3063" spans="1:33" x14ac:dyDescent="0.35">
      <c r="A3063" s="1">
        <v>44775.425000000003</v>
      </c>
      <c r="B3063">
        <v>433786</v>
      </c>
      <c r="C3063" t="s">
        <v>6328</v>
      </c>
      <c r="D3063" t="s">
        <v>59</v>
      </c>
      <c r="E3063" s="2">
        <v>39916</v>
      </c>
      <c r="F3063" t="str">
        <f>"9780470447703"</f>
        <v>9780470447703</v>
      </c>
      <c r="G3063" t="str">
        <f>"9780470373170"</f>
        <v>9780470373170</v>
      </c>
      <c r="H3063" t="s">
        <v>72</v>
      </c>
      <c r="I3063" t="s">
        <v>6329</v>
      </c>
      <c r="J3063" t="s">
        <v>6330</v>
      </c>
      <c r="K3063" t="s">
        <v>44</v>
      </c>
      <c r="N3063" t="s">
        <v>45</v>
      </c>
      <c r="O3063" t="s">
        <v>46</v>
      </c>
      <c r="P3063" t="s">
        <v>45</v>
      </c>
      <c r="Q3063" t="s">
        <v>47</v>
      </c>
      <c r="R3063" t="s">
        <v>44</v>
      </c>
      <c r="S3063">
        <v>0</v>
      </c>
      <c r="W3063" s="3">
        <v>2.7777777777777778E-4</v>
      </c>
      <c r="X3063" t="s">
        <v>6331</v>
      </c>
      <c r="Y3063">
        <v>5</v>
      </c>
      <c r="Z3063">
        <v>0</v>
      </c>
      <c r="AA3063" t="s">
        <v>49</v>
      </c>
      <c r="AB3063">
        <v>0</v>
      </c>
      <c r="AC3063" t="s">
        <v>49</v>
      </c>
      <c r="AD3063">
        <v>0</v>
      </c>
      <c r="AE3063">
        <v>10313627</v>
      </c>
      <c r="AF3063" t="s">
        <v>63</v>
      </c>
      <c r="AG3063" t="s">
        <v>5049</v>
      </c>
    </row>
    <row r="3064" spans="1:33" x14ac:dyDescent="0.35">
      <c r="A3064" s="1">
        <v>44774.59652777778</v>
      </c>
      <c r="B3064">
        <v>433786</v>
      </c>
      <c r="C3064" t="s">
        <v>6328</v>
      </c>
      <c r="D3064" t="s">
        <v>59</v>
      </c>
      <c r="E3064" s="2">
        <v>39916</v>
      </c>
      <c r="F3064" t="str">
        <f>"9780470447703"</f>
        <v>9780470447703</v>
      </c>
      <c r="G3064" t="str">
        <f>"9780470373170"</f>
        <v>9780470373170</v>
      </c>
      <c r="H3064" t="s">
        <v>72</v>
      </c>
      <c r="I3064" t="s">
        <v>6329</v>
      </c>
      <c r="J3064" t="s">
        <v>6330</v>
      </c>
      <c r="K3064" t="s">
        <v>44</v>
      </c>
      <c r="N3064" t="s">
        <v>45</v>
      </c>
      <c r="O3064" t="s">
        <v>46</v>
      </c>
      <c r="P3064" t="s">
        <v>45</v>
      </c>
      <c r="Q3064" t="s">
        <v>47</v>
      </c>
      <c r="R3064" t="s">
        <v>44</v>
      </c>
      <c r="S3064">
        <v>0</v>
      </c>
      <c r="W3064" s="3">
        <v>8.1018518518518516E-4</v>
      </c>
      <c r="X3064" t="s">
        <v>6332</v>
      </c>
      <c r="Y3064">
        <v>13</v>
      </c>
      <c r="Z3064">
        <v>0</v>
      </c>
      <c r="AA3064" t="s">
        <v>49</v>
      </c>
      <c r="AB3064">
        <v>0</v>
      </c>
      <c r="AC3064" t="s">
        <v>49</v>
      </c>
      <c r="AD3064">
        <v>0</v>
      </c>
      <c r="AE3064">
        <v>10313627</v>
      </c>
      <c r="AF3064" t="s">
        <v>50</v>
      </c>
      <c r="AG3064" t="s">
        <v>5049</v>
      </c>
    </row>
    <row r="3065" spans="1:33" x14ac:dyDescent="0.35">
      <c r="A3065" s="1">
        <v>44772.393750000003</v>
      </c>
      <c r="B3065">
        <v>5837085</v>
      </c>
      <c r="C3065" t="s">
        <v>6333</v>
      </c>
      <c r="D3065" t="s">
        <v>6334</v>
      </c>
      <c r="E3065" s="2">
        <v>43900</v>
      </c>
      <c r="F3065" t="str">
        <f>"9781620976050"</f>
        <v>9781620976050</v>
      </c>
      <c r="G3065" t="str">
        <f>""</f>
        <v/>
      </c>
      <c r="H3065" t="s">
        <v>6335</v>
      </c>
      <c r="I3065">
        <v>551.6</v>
      </c>
      <c r="J3065" t="s">
        <v>6336</v>
      </c>
      <c r="K3065" t="s">
        <v>55</v>
      </c>
      <c r="Q3065" t="s">
        <v>47</v>
      </c>
      <c r="R3065" t="s">
        <v>44</v>
      </c>
      <c r="S3065">
        <v>0</v>
      </c>
      <c r="W3065" s="3">
        <v>7.8240740740740753E-3</v>
      </c>
      <c r="X3065" t="s">
        <v>6337</v>
      </c>
      <c r="Y3065">
        <v>33</v>
      </c>
      <c r="Z3065">
        <v>0</v>
      </c>
      <c r="AA3065" t="s">
        <v>49</v>
      </c>
      <c r="AB3065">
        <v>0</v>
      </c>
      <c r="AC3065" t="s">
        <v>49</v>
      </c>
      <c r="AD3065">
        <v>0</v>
      </c>
      <c r="AE3065">
        <v>-1</v>
      </c>
      <c r="AF3065" t="s">
        <v>63</v>
      </c>
      <c r="AG3065" t="s">
        <v>5049</v>
      </c>
    </row>
    <row r="3066" spans="1:33" x14ac:dyDescent="0.35">
      <c r="A3066" s="1">
        <v>44771.809027777781</v>
      </c>
      <c r="B3066">
        <v>1446430</v>
      </c>
      <c r="C3066" t="s">
        <v>99</v>
      </c>
      <c r="D3066" t="s">
        <v>76</v>
      </c>
      <c r="E3066" s="2">
        <v>40274</v>
      </c>
      <c r="F3066" t="str">
        <f>"9781439882573"</f>
        <v>9781439882573</v>
      </c>
      <c r="G3066" t="str">
        <f>"9781420085983"</f>
        <v>9781420085983</v>
      </c>
      <c r="H3066" t="s">
        <v>100</v>
      </c>
      <c r="I3066" t="s">
        <v>101</v>
      </c>
      <c r="J3066" t="s">
        <v>102</v>
      </c>
      <c r="K3066" t="s">
        <v>44</v>
      </c>
      <c r="N3066" t="s">
        <v>45</v>
      </c>
      <c r="O3066" t="s">
        <v>46</v>
      </c>
      <c r="P3066" t="s">
        <v>45</v>
      </c>
      <c r="Q3066" t="s">
        <v>47</v>
      </c>
      <c r="R3066" t="s">
        <v>44</v>
      </c>
      <c r="S3066">
        <v>0</v>
      </c>
      <c r="W3066" s="3">
        <v>3.2638888888888891E-3</v>
      </c>
      <c r="X3066" t="s">
        <v>196</v>
      </c>
      <c r="Y3066">
        <v>2</v>
      </c>
      <c r="Z3066">
        <v>0</v>
      </c>
      <c r="AA3066" t="s">
        <v>49</v>
      </c>
      <c r="AB3066">
        <v>0</v>
      </c>
      <c r="AC3066" t="s">
        <v>49</v>
      </c>
      <c r="AD3066">
        <v>0</v>
      </c>
      <c r="AE3066">
        <v>11166018</v>
      </c>
      <c r="AF3066" t="s">
        <v>50</v>
      </c>
      <c r="AG3066" t="s">
        <v>5049</v>
      </c>
    </row>
    <row r="3067" spans="1:33" x14ac:dyDescent="0.35">
      <c r="A3067" s="1">
        <v>44770.497916666667</v>
      </c>
      <c r="B3067">
        <v>3420942</v>
      </c>
      <c r="C3067" t="s">
        <v>6338</v>
      </c>
      <c r="D3067" t="s">
        <v>347</v>
      </c>
      <c r="E3067" s="2">
        <v>22169</v>
      </c>
      <c r="F3067" t="str">
        <f>"9780300166507"</f>
        <v>9780300166507</v>
      </c>
      <c r="G3067" t="str">
        <f>"9780300001372"</f>
        <v>9780300001372</v>
      </c>
      <c r="H3067" t="s">
        <v>162</v>
      </c>
      <c r="I3067" t="s">
        <v>6339</v>
      </c>
      <c r="J3067" t="s">
        <v>6340</v>
      </c>
      <c r="K3067" t="s">
        <v>44</v>
      </c>
      <c r="N3067" t="s">
        <v>45</v>
      </c>
      <c r="O3067" t="s">
        <v>46</v>
      </c>
      <c r="P3067" t="s">
        <v>45</v>
      </c>
      <c r="Q3067" t="s">
        <v>47</v>
      </c>
      <c r="R3067" t="s">
        <v>44</v>
      </c>
      <c r="S3067">
        <v>0</v>
      </c>
      <c r="W3067" s="3">
        <v>7.1643518518518514E-3</v>
      </c>
      <c r="X3067" t="s">
        <v>6341</v>
      </c>
      <c r="Y3067">
        <v>10</v>
      </c>
      <c r="Z3067">
        <v>0</v>
      </c>
      <c r="AA3067" t="s">
        <v>49</v>
      </c>
      <c r="AB3067">
        <v>0</v>
      </c>
      <c r="AC3067" t="s">
        <v>49</v>
      </c>
      <c r="AD3067">
        <v>0</v>
      </c>
      <c r="AE3067">
        <v>10579341</v>
      </c>
      <c r="AF3067" t="s">
        <v>50</v>
      </c>
      <c r="AG3067" t="s">
        <v>6342</v>
      </c>
    </row>
    <row r="3068" spans="1:33" x14ac:dyDescent="0.35">
      <c r="A3068" s="1">
        <v>44769.865972222222</v>
      </c>
      <c r="B3068">
        <v>5752801</v>
      </c>
      <c r="C3068" t="s">
        <v>2344</v>
      </c>
      <c r="D3068" t="s">
        <v>2345</v>
      </c>
      <c r="E3068" s="2">
        <v>43516</v>
      </c>
      <c r="F3068" t="str">
        <f>"9781547573660"</f>
        <v>9781547573660</v>
      </c>
      <c r="G3068" t="str">
        <f>""</f>
        <v/>
      </c>
      <c r="H3068" t="s">
        <v>171</v>
      </c>
      <c r="I3068">
        <v>428.00760000000002</v>
      </c>
      <c r="J3068" t="s">
        <v>2346</v>
      </c>
      <c r="K3068" t="s">
        <v>55</v>
      </c>
      <c r="Q3068" t="s">
        <v>47</v>
      </c>
      <c r="R3068" t="s">
        <v>44</v>
      </c>
      <c r="S3068">
        <v>0</v>
      </c>
      <c r="W3068" s="3">
        <v>1.6550925925925926E-3</v>
      </c>
      <c r="X3068" t="s">
        <v>6343</v>
      </c>
      <c r="Y3068">
        <v>22</v>
      </c>
      <c r="Z3068">
        <v>0</v>
      </c>
      <c r="AA3068" t="s">
        <v>49</v>
      </c>
      <c r="AB3068">
        <v>0</v>
      </c>
      <c r="AC3068" t="s">
        <v>49</v>
      </c>
      <c r="AD3068">
        <v>0</v>
      </c>
      <c r="AE3068">
        <v>-1</v>
      </c>
      <c r="AF3068" t="s">
        <v>63</v>
      </c>
      <c r="AG3068" t="s">
        <v>5049</v>
      </c>
    </row>
    <row r="3069" spans="1:33" x14ac:dyDescent="0.35">
      <c r="A3069" s="1">
        <v>44769.542361111111</v>
      </c>
      <c r="B3069">
        <v>5693422</v>
      </c>
      <c r="C3069" t="s">
        <v>6344</v>
      </c>
      <c r="D3069" t="s">
        <v>59</v>
      </c>
      <c r="E3069" s="2">
        <v>43578</v>
      </c>
      <c r="F3069" t="str">
        <f>"9781118671061"</f>
        <v>9781118671061</v>
      </c>
      <c r="G3069" t="str">
        <f>"9780470552209"</f>
        <v>9780470552209</v>
      </c>
      <c r="H3069" t="s">
        <v>77</v>
      </c>
      <c r="I3069">
        <v>610.15300000000002</v>
      </c>
      <c r="J3069" t="s">
        <v>6345</v>
      </c>
      <c r="K3069" t="s">
        <v>55</v>
      </c>
      <c r="N3069" t="s">
        <v>45</v>
      </c>
      <c r="O3069" t="s">
        <v>46</v>
      </c>
      <c r="P3069" t="s">
        <v>45</v>
      </c>
      <c r="Q3069" t="s">
        <v>47</v>
      </c>
      <c r="R3069" t="s">
        <v>44</v>
      </c>
      <c r="S3069">
        <v>0</v>
      </c>
      <c r="W3069" s="3">
        <v>3.1250000000000001E-4</v>
      </c>
      <c r="X3069" t="s">
        <v>2249</v>
      </c>
      <c r="Y3069">
        <v>6</v>
      </c>
      <c r="Z3069">
        <v>0</v>
      </c>
      <c r="AA3069" t="s">
        <v>49</v>
      </c>
      <c r="AB3069">
        <v>0</v>
      </c>
      <c r="AC3069" t="s">
        <v>49</v>
      </c>
      <c r="AD3069">
        <v>0</v>
      </c>
      <c r="AE3069">
        <v>11655193</v>
      </c>
      <c r="AF3069" t="s">
        <v>50</v>
      </c>
      <c r="AG3069" t="s">
        <v>5049</v>
      </c>
    </row>
    <row r="3070" spans="1:33" x14ac:dyDescent="0.35">
      <c r="A3070" s="1">
        <v>44769.538888888892</v>
      </c>
      <c r="B3070">
        <v>1569391</v>
      </c>
      <c r="C3070" t="s">
        <v>2265</v>
      </c>
      <c r="D3070" t="s">
        <v>2266</v>
      </c>
      <c r="E3070" s="2">
        <v>31778</v>
      </c>
      <c r="F3070" t="str">
        <f>"9780398090166"</f>
        <v>9780398090166</v>
      </c>
      <c r="G3070" t="str">
        <f>"9780398046699"</f>
        <v>9780398046699</v>
      </c>
      <c r="H3070" t="s">
        <v>77</v>
      </c>
      <c r="I3070" t="s">
        <v>2267</v>
      </c>
      <c r="J3070" t="s">
        <v>2268</v>
      </c>
      <c r="K3070" t="s">
        <v>55</v>
      </c>
      <c r="N3070" t="s">
        <v>79</v>
      </c>
      <c r="P3070" t="s">
        <v>80</v>
      </c>
      <c r="Q3070" t="s">
        <v>47</v>
      </c>
      <c r="R3070" t="s">
        <v>44</v>
      </c>
      <c r="S3070">
        <v>0</v>
      </c>
      <c r="W3070" s="3">
        <v>4.1666666666666669E-4</v>
      </c>
      <c r="X3070" t="s">
        <v>1143</v>
      </c>
      <c r="Y3070">
        <v>7</v>
      </c>
      <c r="Z3070">
        <v>0</v>
      </c>
      <c r="AA3070" t="s">
        <v>49</v>
      </c>
      <c r="AB3070">
        <v>0</v>
      </c>
      <c r="AC3070" t="s">
        <v>49</v>
      </c>
      <c r="AD3070">
        <v>0</v>
      </c>
      <c r="AE3070">
        <v>-1</v>
      </c>
      <c r="AF3070" t="s">
        <v>50</v>
      </c>
      <c r="AG3070" t="s">
        <v>5049</v>
      </c>
    </row>
    <row r="3071" spans="1:33" x14ac:dyDescent="0.35">
      <c r="A3071" s="1">
        <v>44767.502083333333</v>
      </c>
      <c r="B3071">
        <v>6634782</v>
      </c>
      <c r="C3071" t="s">
        <v>1950</v>
      </c>
      <c r="D3071" t="s">
        <v>76</v>
      </c>
      <c r="E3071" s="2">
        <v>41553</v>
      </c>
      <c r="F3071" t="str">
        <f>"9781000466850"</f>
        <v>9781000466850</v>
      </c>
      <c r="G3071" t="str">
        <f>"9781138422810"</f>
        <v>9781138422810</v>
      </c>
      <c r="H3071" t="s">
        <v>77</v>
      </c>
      <c r="I3071">
        <v>610.76</v>
      </c>
      <c r="J3071" t="s">
        <v>1951</v>
      </c>
      <c r="K3071" t="s">
        <v>55</v>
      </c>
      <c r="N3071" t="s">
        <v>79</v>
      </c>
      <c r="P3071" t="s">
        <v>80</v>
      </c>
      <c r="Q3071" t="s">
        <v>47</v>
      </c>
      <c r="R3071" t="s">
        <v>44</v>
      </c>
      <c r="S3071">
        <v>0</v>
      </c>
      <c r="W3071" s="3">
        <v>5.7870370370370366E-5</v>
      </c>
      <c r="X3071" t="s">
        <v>1025</v>
      </c>
      <c r="Y3071">
        <v>1</v>
      </c>
      <c r="Z3071">
        <v>0</v>
      </c>
      <c r="AA3071" t="s">
        <v>49</v>
      </c>
      <c r="AB3071">
        <v>0</v>
      </c>
      <c r="AC3071" t="s">
        <v>49</v>
      </c>
      <c r="AD3071">
        <v>0</v>
      </c>
      <c r="AE3071">
        <v>-1</v>
      </c>
      <c r="AF3071" t="s">
        <v>50</v>
      </c>
      <c r="AG3071" t="s">
        <v>5049</v>
      </c>
    </row>
    <row r="3072" spans="1:33" x14ac:dyDescent="0.35">
      <c r="A3072" s="1">
        <v>44767.316666666666</v>
      </c>
      <c r="B3072">
        <v>5527124</v>
      </c>
      <c r="C3072" t="s">
        <v>6346</v>
      </c>
      <c r="D3072" t="s">
        <v>1017</v>
      </c>
      <c r="E3072" s="2">
        <v>42374</v>
      </c>
      <c r="F3072" t="str">
        <f>"9781630475765"</f>
        <v>9781630475765</v>
      </c>
      <c r="G3072" t="str">
        <f>""</f>
        <v/>
      </c>
      <c r="H3072" t="s">
        <v>60</v>
      </c>
      <c r="I3072">
        <v>658.87199999999996</v>
      </c>
      <c r="J3072" t="s">
        <v>6347</v>
      </c>
      <c r="K3072" t="s">
        <v>44</v>
      </c>
      <c r="N3072" t="s">
        <v>45</v>
      </c>
      <c r="O3072" t="s">
        <v>46</v>
      </c>
      <c r="P3072" t="s">
        <v>45</v>
      </c>
      <c r="Q3072" t="s">
        <v>47</v>
      </c>
      <c r="R3072" t="s">
        <v>44</v>
      </c>
      <c r="S3072">
        <v>0</v>
      </c>
      <c r="W3072" s="3">
        <v>0</v>
      </c>
      <c r="X3072" t="s">
        <v>49</v>
      </c>
      <c r="Y3072">
        <v>0</v>
      </c>
      <c r="Z3072">
        <v>3</v>
      </c>
      <c r="AA3072" t="s">
        <v>6348</v>
      </c>
      <c r="AB3072">
        <v>30</v>
      </c>
      <c r="AC3072" t="s">
        <v>49</v>
      </c>
      <c r="AD3072">
        <v>0</v>
      </c>
      <c r="AE3072">
        <v>11613269</v>
      </c>
      <c r="AF3072" t="s">
        <v>50</v>
      </c>
      <c r="AG3072" t="s">
        <v>5049</v>
      </c>
    </row>
    <row r="3073" spans="1:33" x14ac:dyDescent="0.35">
      <c r="A3073" s="1">
        <v>44766.535416666666</v>
      </c>
      <c r="B3073">
        <v>5527124</v>
      </c>
      <c r="C3073" t="s">
        <v>6346</v>
      </c>
      <c r="D3073" t="s">
        <v>1017</v>
      </c>
      <c r="E3073" s="2">
        <v>42374</v>
      </c>
      <c r="F3073" t="str">
        <f>"9781630475765"</f>
        <v>9781630475765</v>
      </c>
      <c r="G3073" t="str">
        <f>""</f>
        <v/>
      </c>
      <c r="H3073" t="s">
        <v>60</v>
      </c>
      <c r="I3073">
        <v>658.87199999999996</v>
      </c>
      <c r="J3073" t="s">
        <v>6347</v>
      </c>
      <c r="K3073" t="s">
        <v>44</v>
      </c>
      <c r="N3073" t="s">
        <v>45</v>
      </c>
      <c r="O3073" t="s">
        <v>46</v>
      </c>
      <c r="P3073" t="s">
        <v>45</v>
      </c>
      <c r="Q3073" t="s">
        <v>47</v>
      </c>
      <c r="R3073" t="s">
        <v>44</v>
      </c>
      <c r="S3073">
        <v>0</v>
      </c>
      <c r="W3073" s="3">
        <v>2.8935185185185188E-3</v>
      </c>
      <c r="X3073" t="s">
        <v>6349</v>
      </c>
      <c r="Y3073">
        <v>9</v>
      </c>
      <c r="Z3073">
        <v>6</v>
      </c>
      <c r="AA3073" t="s">
        <v>6350</v>
      </c>
      <c r="AB3073">
        <v>24</v>
      </c>
      <c r="AC3073" t="s">
        <v>49</v>
      </c>
      <c r="AD3073">
        <v>0</v>
      </c>
      <c r="AE3073">
        <v>11613269</v>
      </c>
      <c r="AF3073" t="s">
        <v>63</v>
      </c>
      <c r="AG3073" t="s">
        <v>5049</v>
      </c>
    </row>
    <row r="3074" spans="1:33" x14ac:dyDescent="0.35">
      <c r="A3074" s="1">
        <v>44765.647222222222</v>
      </c>
      <c r="B3074">
        <v>5527124</v>
      </c>
      <c r="C3074" t="s">
        <v>6346</v>
      </c>
      <c r="D3074" t="s">
        <v>1017</v>
      </c>
      <c r="E3074" s="2">
        <v>42374</v>
      </c>
      <c r="F3074" t="str">
        <f>"9781630475765"</f>
        <v>9781630475765</v>
      </c>
      <c r="G3074" t="str">
        <f>""</f>
        <v/>
      </c>
      <c r="H3074" t="s">
        <v>60</v>
      </c>
      <c r="I3074">
        <v>658.87199999999996</v>
      </c>
      <c r="J3074" t="s">
        <v>6347</v>
      </c>
      <c r="K3074" t="s">
        <v>44</v>
      </c>
      <c r="N3074" t="s">
        <v>45</v>
      </c>
      <c r="O3074" t="s">
        <v>46</v>
      </c>
      <c r="P3074" t="s">
        <v>45</v>
      </c>
      <c r="Q3074" t="s">
        <v>47</v>
      </c>
      <c r="R3074" t="s">
        <v>44</v>
      </c>
      <c r="S3074">
        <v>0</v>
      </c>
      <c r="W3074" s="3">
        <v>1.2847222222222223E-3</v>
      </c>
      <c r="X3074" t="s">
        <v>1911</v>
      </c>
      <c r="Y3074">
        <v>3</v>
      </c>
      <c r="Z3074">
        <v>1</v>
      </c>
      <c r="AA3074" t="s">
        <v>417</v>
      </c>
      <c r="AB3074">
        <v>11</v>
      </c>
      <c r="AC3074" t="s">
        <v>49</v>
      </c>
      <c r="AD3074">
        <v>0</v>
      </c>
      <c r="AE3074">
        <v>11613269</v>
      </c>
      <c r="AF3074" t="s">
        <v>63</v>
      </c>
      <c r="AG3074" t="s">
        <v>996</v>
      </c>
    </row>
    <row r="3075" spans="1:33" x14ac:dyDescent="0.35">
      <c r="A3075" s="1">
        <v>44765.629166666666</v>
      </c>
      <c r="B3075">
        <v>5527124</v>
      </c>
      <c r="C3075" t="s">
        <v>6346</v>
      </c>
      <c r="D3075" t="s">
        <v>1017</v>
      </c>
      <c r="E3075" s="2">
        <v>42374</v>
      </c>
      <c r="F3075" t="str">
        <f>"9781630475765"</f>
        <v>9781630475765</v>
      </c>
      <c r="G3075" t="str">
        <f>""</f>
        <v/>
      </c>
      <c r="H3075" t="s">
        <v>60</v>
      </c>
      <c r="I3075">
        <v>658.87199999999996</v>
      </c>
      <c r="J3075" t="s">
        <v>6347</v>
      </c>
      <c r="K3075" t="s">
        <v>44</v>
      </c>
      <c r="N3075" t="s">
        <v>45</v>
      </c>
      <c r="O3075" t="s">
        <v>46</v>
      </c>
      <c r="P3075" t="s">
        <v>45</v>
      </c>
      <c r="Q3075" t="s">
        <v>47</v>
      </c>
      <c r="R3075" t="s">
        <v>44</v>
      </c>
      <c r="S3075">
        <v>2</v>
      </c>
      <c r="W3075" s="3">
        <v>0</v>
      </c>
      <c r="X3075" t="s">
        <v>49</v>
      </c>
      <c r="Y3075">
        <v>0</v>
      </c>
      <c r="Z3075">
        <v>0</v>
      </c>
      <c r="AA3075" t="s">
        <v>49</v>
      </c>
      <c r="AB3075">
        <v>0</v>
      </c>
      <c r="AC3075" t="s">
        <v>49</v>
      </c>
      <c r="AD3075">
        <v>0</v>
      </c>
      <c r="AE3075">
        <v>11613269</v>
      </c>
      <c r="AF3075" t="s">
        <v>63</v>
      </c>
      <c r="AG3075" t="s">
        <v>996</v>
      </c>
    </row>
    <row r="3076" spans="1:33" x14ac:dyDescent="0.35">
      <c r="A3076" s="1">
        <v>44765.627083333333</v>
      </c>
      <c r="B3076">
        <v>5527124</v>
      </c>
      <c r="C3076" t="s">
        <v>6346</v>
      </c>
      <c r="D3076" t="s">
        <v>1017</v>
      </c>
      <c r="E3076" s="2">
        <v>42374</v>
      </c>
      <c r="F3076" t="str">
        <f>"9781630475765"</f>
        <v>9781630475765</v>
      </c>
      <c r="G3076" t="str">
        <f>""</f>
        <v/>
      </c>
      <c r="H3076" t="s">
        <v>60</v>
      </c>
      <c r="I3076">
        <v>658.87199999999996</v>
      </c>
      <c r="J3076" t="s">
        <v>6347</v>
      </c>
      <c r="K3076" t="s">
        <v>44</v>
      </c>
      <c r="N3076" t="s">
        <v>45</v>
      </c>
      <c r="O3076" t="s">
        <v>46</v>
      </c>
      <c r="P3076" t="s">
        <v>45</v>
      </c>
      <c r="Q3076" t="s">
        <v>47</v>
      </c>
      <c r="R3076" t="s">
        <v>44</v>
      </c>
      <c r="S3076">
        <v>0</v>
      </c>
      <c r="W3076" s="3">
        <v>1.6435185185185183E-3</v>
      </c>
      <c r="X3076" t="s">
        <v>121</v>
      </c>
      <c r="Y3076">
        <v>1</v>
      </c>
      <c r="Z3076">
        <v>0</v>
      </c>
      <c r="AA3076" t="s">
        <v>49</v>
      </c>
      <c r="AB3076">
        <v>0</v>
      </c>
      <c r="AC3076" t="s">
        <v>49</v>
      </c>
      <c r="AD3076">
        <v>0</v>
      </c>
      <c r="AE3076">
        <v>11613269</v>
      </c>
      <c r="AF3076" t="s">
        <v>50</v>
      </c>
      <c r="AG3076" t="s">
        <v>996</v>
      </c>
    </row>
    <row r="3077" spans="1:33" x14ac:dyDescent="0.35">
      <c r="A3077" s="1">
        <v>44764.927777777775</v>
      </c>
      <c r="B3077">
        <v>5789603</v>
      </c>
      <c r="C3077" t="s">
        <v>6351</v>
      </c>
      <c r="D3077" t="s">
        <v>2022</v>
      </c>
      <c r="E3077" s="2">
        <v>43627</v>
      </c>
      <c r="F3077" t="str">
        <f>"9781527535527"</f>
        <v>9781527535527</v>
      </c>
      <c r="G3077" t="str">
        <f>"9781527534407"</f>
        <v>9781527534407</v>
      </c>
      <c r="H3077" t="s">
        <v>6352</v>
      </c>
      <c r="I3077">
        <v>153.69999999999999</v>
      </c>
      <c r="J3077" t="s">
        <v>6353</v>
      </c>
      <c r="K3077" t="s">
        <v>55</v>
      </c>
      <c r="Q3077" t="s">
        <v>47</v>
      </c>
      <c r="R3077" t="s">
        <v>44</v>
      </c>
      <c r="S3077">
        <v>0</v>
      </c>
      <c r="W3077" s="3">
        <v>2.0254629629629629E-3</v>
      </c>
      <c r="X3077" t="s">
        <v>1352</v>
      </c>
      <c r="Y3077">
        <v>4</v>
      </c>
      <c r="Z3077">
        <v>0</v>
      </c>
      <c r="AA3077" t="s">
        <v>49</v>
      </c>
      <c r="AB3077">
        <v>0</v>
      </c>
      <c r="AC3077" t="s">
        <v>49</v>
      </c>
      <c r="AD3077">
        <v>0</v>
      </c>
      <c r="AE3077">
        <v>-1</v>
      </c>
      <c r="AF3077" t="s">
        <v>63</v>
      </c>
      <c r="AG3077" t="s">
        <v>5049</v>
      </c>
    </row>
    <row r="3078" spans="1:33" x14ac:dyDescent="0.35">
      <c r="A3078" s="1">
        <v>44764.821527777778</v>
      </c>
      <c r="B3078">
        <v>5527124</v>
      </c>
      <c r="C3078" t="s">
        <v>6346</v>
      </c>
      <c r="D3078" t="s">
        <v>1017</v>
      </c>
      <c r="E3078" s="2">
        <v>42374</v>
      </c>
      <c r="F3078" t="str">
        <f>"9781630475765"</f>
        <v>9781630475765</v>
      </c>
      <c r="G3078" t="str">
        <f>""</f>
        <v/>
      </c>
      <c r="H3078" t="s">
        <v>60</v>
      </c>
      <c r="I3078">
        <v>658.87199999999996</v>
      </c>
      <c r="J3078" t="s">
        <v>6347</v>
      </c>
      <c r="K3078" t="s">
        <v>44</v>
      </c>
      <c r="N3078" t="s">
        <v>45</v>
      </c>
      <c r="O3078" t="s">
        <v>46</v>
      </c>
      <c r="P3078" t="s">
        <v>45</v>
      </c>
      <c r="Q3078" t="s">
        <v>47</v>
      </c>
      <c r="R3078" t="s">
        <v>44</v>
      </c>
      <c r="S3078">
        <v>0</v>
      </c>
      <c r="W3078" s="3">
        <v>2.3148148148148146E-4</v>
      </c>
      <c r="X3078" t="s">
        <v>1542</v>
      </c>
      <c r="Y3078">
        <v>1</v>
      </c>
      <c r="Z3078">
        <v>1</v>
      </c>
      <c r="AA3078" t="s">
        <v>1542</v>
      </c>
      <c r="AB3078">
        <v>1</v>
      </c>
      <c r="AC3078" t="s">
        <v>49</v>
      </c>
      <c r="AD3078">
        <v>0</v>
      </c>
      <c r="AE3078">
        <v>11613269</v>
      </c>
      <c r="AF3078" t="s">
        <v>50</v>
      </c>
      <c r="AG3078" t="s">
        <v>5049</v>
      </c>
    </row>
    <row r="3079" spans="1:33" x14ac:dyDescent="0.35">
      <c r="A3079" s="1">
        <v>44763.724999999999</v>
      </c>
      <c r="B3079">
        <v>5974991</v>
      </c>
      <c r="C3079" t="s">
        <v>6354</v>
      </c>
      <c r="D3079" t="s">
        <v>59</v>
      </c>
      <c r="E3079" s="2">
        <v>43804</v>
      </c>
      <c r="F3079" t="str">
        <f>"9781119579472"</f>
        <v>9781119579472</v>
      </c>
      <c r="G3079" t="str">
        <f>"9781119579298"</f>
        <v>9781119579298</v>
      </c>
      <c r="H3079" t="s">
        <v>133</v>
      </c>
      <c r="I3079" t="s">
        <v>6355</v>
      </c>
      <c r="J3079" t="s">
        <v>6356</v>
      </c>
      <c r="K3079" t="s">
        <v>55</v>
      </c>
      <c r="Q3079" t="s">
        <v>47</v>
      </c>
      <c r="R3079" t="s">
        <v>44</v>
      </c>
      <c r="S3079">
        <v>0</v>
      </c>
      <c r="W3079" s="3">
        <v>1.9131944444444444E-2</v>
      </c>
      <c r="X3079" t="s">
        <v>6357</v>
      </c>
      <c r="Y3079">
        <v>12</v>
      </c>
      <c r="Z3079">
        <v>0</v>
      </c>
      <c r="AA3079" t="s">
        <v>49</v>
      </c>
      <c r="AB3079">
        <v>0</v>
      </c>
      <c r="AC3079" t="s">
        <v>49</v>
      </c>
      <c r="AD3079">
        <v>0</v>
      </c>
      <c r="AE3079">
        <v>-1</v>
      </c>
      <c r="AF3079" t="s">
        <v>63</v>
      </c>
      <c r="AG3079" t="s">
        <v>2128</v>
      </c>
    </row>
    <row r="3080" spans="1:33" x14ac:dyDescent="0.35">
      <c r="A3080" s="1">
        <v>44763.663194444445</v>
      </c>
      <c r="B3080">
        <v>5974991</v>
      </c>
      <c r="C3080" t="s">
        <v>6354</v>
      </c>
      <c r="D3080" t="s">
        <v>59</v>
      </c>
      <c r="E3080" s="2">
        <v>43804</v>
      </c>
      <c r="F3080" t="str">
        <f>"9781119579472"</f>
        <v>9781119579472</v>
      </c>
      <c r="G3080" t="str">
        <f>"9781119579298"</f>
        <v>9781119579298</v>
      </c>
      <c r="H3080" t="s">
        <v>133</v>
      </c>
      <c r="I3080" t="s">
        <v>6355</v>
      </c>
      <c r="J3080" t="s">
        <v>6356</v>
      </c>
      <c r="K3080" t="s">
        <v>55</v>
      </c>
      <c r="Q3080" t="s">
        <v>47</v>
      </c>
      <c r="R3080" t="s">
        <v>44</v>
      </c>
      <c r="S3080">
        <v>0</v>
      </c>
      <c r="W3080" s="3">
        <v>2.5462962962962961E-4</v>
      </c>
      <c r="X3080" t="s">
        <v>6358</v>
      </c>
      <c r="Y3080">
        <v>5</v>
      </c>
      <c r="Z3080">
        <v>0</v>
      </c>
      <c r="AA3080" t="s">
        <v>49</v>
      </c>
      <c r="AB3080">
        <v>0</v>
      </c>
      <c r="AC3080" t="s">
        <v>49</v>
      </c>
      <c r="AD3080">
        <v>0</v>
      </c>
      <c r="AE3080">
        <v>-1</v>
      </c>
      <c r="AF3080" t="s">
        <v>63</v>
      </c>
      <c r="AG3080" t="s">
        <v>6359</v>
      </c>
    </row>
    <row r="3081" spans="1:33" x14ac:dyDescent="0.35">
      <c r="A3081" s="1">
        <v>44763.46597222222</v>
      </c>
      <c r="B3081">
        <v>6634782</v>
      </c>
      <c r="C3081" t="s">
        <v>1950</v>
      </c>
      <c r="D3081" t="s">
        <v>76</v>
      </c>
      <c r="E3081" s="2">
        <v>41553</v>
      </c>
      <c r="F3081" t="str">
        <f>"9781000466850"</f>
        <v>9781000466850</v>
      </c>
      <c r="G3081" t="str">
        <f>"9781138422810"</f>
        <v>9781138422810</v>
      </c>
      <c r="H3081" t="s">
        <v>77</v>
      </c>
      <c r="I3081">
        <v>610.76</v>
      </c>
      <c r="J3081" t="s">
        <v>1951</v>
      </c>
      <c r="K3081" t="s">
        <v>55</v>
      </c>
      <c r="N3081" t="s">
        <v>79</v>
      </c>
      <c r="P3081" t="s">
        <v>80</v>
      </c>
      <c r="Q3081" t="s">
        <v>47</v>
      </c>
      <c r="R3081" t="s">
        <v>44</v>
      </c>
      <c r="S3081">
        <v>0</v>
      </c>
      <c r="W3081" s="3">
        <v>0</v>
      </c>
      <c r="X3081" t="s">
        <v>49</v>
      </c>
      <c r="Y3081">
        <v>0</v>
      </c>
      <c r="Z3081">
        <v>0</v>
      </c>
      <c r="AA3081" t="s">
        <v>49</v>
      </c>
      <c r="AB3081">
        <v>0</v>
      </c>
      <c r="AC3081" t="s">
        <v>49</v>
      </c>
      <c r="AD3081">
        <v>0</v>
      </c>
      <c r="AE3081">
        <v>-1</v>
      </c>
      <c r="AF3081" t="s">
        <v>50</v>
      </c>
      <c r="AG3081" t="s">
        <v>5049</v>
      </c>
    </row>
    <row r="3082" spans="1:33" x14ac:dyDescent="0.35">
      <c r="A3082" s="1">
        <v>44762.659722222219</v>
      </c>
      <c r="B3082">
        <v>6636015</v>
      </c>
      <c r="C3082" t="s">
        <v>6360</v>
      </c>
      <c r="D3082" t="s">
        <v>71</v>
      </c>
      <c r="E3082" s="2">
        <v>44328</v>
      </c>
      <c r="F3082" t="str">
        <f>"9789811234101"</f>
        <v>9789811234101</v>
      </c>
      <c r="G3082" t="str">
        <f>"9789811234095"</f>
        <v>9789811234095</v>
      </c>
      <c r="H3082" t="s">
        <v>801</v>
      </c>
      <c r="I3082" t="s">
        <v>6361</v>
      </c>
      <c r="J3082" t="s">
        <v>6362</v>
      </c>
      <c r="K3082" t="s">
        <v>55</v>
      </c>
      <c r="N3082" t="s">
        <v>79</v>
      </c>
      <c r="P3082" t="s">
        <v>80</v>
      </c>
      <c r="Q3082" t="s">
        <v>47</v>
      </c>
      <c r="R3082" t="s">
        <v>44</v>
      </c>
      <c r="S3082">
        <v>0</v>
      </c>
      <c r="W3082" s="3">
        <v>2.4305555555555552E-4</v>
      </c>
      <c r="X3082" t="s">
        <v>6363</v>
      </c>
      <c r="Y3082">
        <v>5</v>
      </c>
      <c r="Z3082">
        <v>0</v>
      </c>
      <c r="AA3082" t="s">
        <v>49</v>
      </c>
      <c r="AB3082">
        <v>0</v>
      </c>
      <c r="AC3082" t="s">
        <v>49</v>
      </c>
      <c r="AD3082">
        <v>0</v>
      </c>
      <c r="AE3082">
        <v>-1</v>
      </c>
      <c r="AF3082" t="s">
        <v>50</v>
      </c>
      <c r="AG3082" t="s">
        <v>6364</v>
      </c>
    </row>
    <row r="3083" spans="1:33" x14ac:dyDescent="0.35">
      <c r="A3083" s="1">
        <v>44762.637499999997</v>
      </c>
      <c r="B3083">
        <v>6636015</v>
      </c>
      <c r="C3083" t="s">
        <v>6360</v>
      </c>
      <c r="D3083" t="s">
        <v>71</v>
      </c>
      <c r="E3083" s="2">
        <v>44328</v>
      </c>
      <c r="F3083" t="str">
        <f>"9789811234101"</f>
        <v>9789811234101</v>
      </c>
      <c r="G3083" t="str">
        <f>"9789811234095"</f>
        <v>9789811234095</v>
      </c>
      <c r="H3083" t="s">
        <v>801</v>
      </c>
      <c r="I3083" t="s">
        <v>6361</v>
      </c>
      <c r="J3083" t="s">
        <v>6362</v>
      </c>
      <c r="K3083" t="s">
        <v>55</v>
      </c>
      <c r="N3083" t="s">
        <v>79</v>
      </c>
      <c r="P3083" t="s">
        <v>80</v>
      </c>
      <c r="Q3083" t="s">
        <v>47</v>
      </c>
      <c r="R3083" t="s">
        <v>44</v>
      </c>
      <c r="S3083">
        <v>0</v>
      </c>
      <c r="W3083" s="3">
        <v>5.5555555555555556E-4</v>
      </c>
      <c r="X3083" t="s">
        <v>6365</v>
      </c>
      <c r="Y3083">
        <v>1</v>
      </c>
      <c r="Z3083">
        <v>1</v>
      </c>
      <c r="AA3083" t="s">
        <v>6366</v>
      </c>
      <c r="AB3083">
        <v>42</v>
      </c>
      <c r="AC3083" t="s">
        <v>49</v>
      </c>
      <c r="AD3083">
        <v>0</v>
      </c>
      <c r="AE3083">
        <v>-1</v>
      </c>
      <c r="AF3083" t="s">
        <v>50</v>
      </c>
      <c r="AG3083" t="s">
        <v>6364</v>
      </c>
    </row>
    <row r="3084" spans="1:33" x14ac:dyDescent="0.35">
      <c r="A3084" s="1">
        <v>44762.519444444442</v>
      </c>
      <c r="B3084">
        <v>6636015</v>
      </c>
      <c r="C3084" t="s">
        <v>6360</v>
      </c>
      <c r="D3084" t="s">
        <v>71</v>
      </c>
      <c r="E3084" s="2">
        <v>44328</v>
      </c>
      <c r="F3084" t="str">
        <f>"9789811234101"</f>
        <v>9789811234101</v>
      </c>
      <c r="G3084" t="str">
        <f>"9789811234095"</f>
        <v>9789811234095</v>
      </c>
      <c r="H3084" t="s">
        <v>801</v>
      </c>
      <c r="I3084" t="s">
        <v>6361</v>
      </c>
      <c r="J3084" t="s">
        <v>6362</v>
      </c>
      <c r="K3084" t="s">
        <v>55</v>
      </c>
      <c r="N3084" t="s">
        <v>79</v>
      </c>
      <c r="P3084" t="s">
        <v>80</v>
      </c>
      <c r="Q3084" t="s">
        <v>47</v>
      </c>
      <c r="R3084" t="s">
        <v>44</v>
      </c>
      <c r="S3084">
        <v>0</v>
      </c>
      <c r="T3084">
        <v>90</v>
      </c>
      <c r="U3084" s="1">
        <v>44748.71875</v>
      </c>
      <c r="V3084" s="1">
        <v>44838.71875</v>
      </c>
      <c r="W3084" s="3">
        <v>1.0520833333333333E-2</v>
      </c>
      <c r="X3084" t="s">
        <v>6367</v>
      </c>
      <c r="Y3084">
        <v>22</v>
      </c>
      <c r="Z3084">
        <v>8</v>
      </c>
      <c r="AA3084" t="s">
        <v>6368</v>
      </c>
      <c r="AB3084">
        <v>133</v>
      </c>
      <c r="AC3084" t="s">
        <v>49</v>
      </c>
      <c r="AD3084">
        <v>0</v>
      </c>
      <c r="AE3084">
        <v>-1</v>
      </c>
      <c r="AF3084" t="s">
        <v>63</v>
      </c>
      <c r="AG3084" t="s">
        <v>6364</v>
      </c>
    </row>
    <row r="3085" spans="1:33" x14ac:dyDescent="0.35">
      <c r="A3085" s="1">
        <v>44762.519444444442</v>
      </c>
      <c r="B3085">
        <v>6636015</v>
      </c>
      <c r="C3085" t="s">
        <v>6360</v>
      </c>
      <c r="D3085" t="s">
        <v>71</v>
      </c>
      <c r="E3085" s="2">
        <v>44328</v>
      </c>
      <c r="F3085" t="str">
        <f>"9789811234101"</f>
        <v>9789811234101</v>
      </c>
      <c r="G3085" t="str">
        <f>"9789811234095"</f>
        <v>9789811234095</v>
      </c>
      <c r="H3085" t="s">
        <v>801</v>
      </c>
      <c r="I3085" t="s">
        <v>6361</v>
      </c>
      <c r="J3085" t="s">
        <v>6362</v>
      </c>
      <c r="K3085" t="s">
        <v>55</v>
      </c>
      <c r="N3085" t="s">
        <v>79</v>
      </c>
      <c r="P3085" t="s">
        <v>80</v>
      </c>
      <c r="Q3085" t="s">
        <v>47</v>
      </c>
      <c r="R3085" t="s">
        <v>44</v>
      </c>
      <c r="S3085">
        <v>0</v>
      </c>
      <c r="W3085" s="3">
        <v>6.9444444444444444E-5</v>
      </c>
      <c r="X3085" t="s">
        <v>6369</v>
      </c>
      <c r="Y3085">
        <v>1</v>
      </c>
      <c r="Z3085">
        <v>0</v>
      </c>
      <c r="AA3085" t="s">
        <v>49</v>
      </c>
      <c r="AB3085">
        <v>0</v>
      </c>
      <c r="AC3085" t="s">
        <v>49</v>
      </c>
      <c r="AD3085">
        <v>0</v>
      </c>
      <c r="AE3085">
        <v>-1</v>
      </c>
      <c r="AF3085" t="s">
        <v>50</v>
      </c>
      <c r="AG3085" t="s">
        <v>6364</v>
      </c>
    </row>
    <row r="3086" spans="1:33" x14ac:dyDescent="0.35">
      <c r="A3086" s="1">
        <v>44762.385416666664</v>
      </c>
      <c r="B3086">
        <v>6634782</v>
      </c>
      <c r="C3086" t="s">
        <v>1950</v>
      </c>
      <c r="D3086" t="s">
        <v>76</v>
      </c>
      <c r="E3086" s="2">
        <v>41553</v>
      </c>
      <c r="F3086" t="str">
        <f>"9781000466850"</f>
        <v>9781000466850</v>
      </c>
      <c r="G3086" t="str">
        <f>"9781138422810"</f>
        <v>9781138422810</v>
      </c>
      <c r="H3086" t="s">
        <v>77</v>
      </c>
      <c r="I3086">
        <v>610.76</v>
      </c>
      <c r="J3086" t="s">
        <v>1951</v>
      </c>
      <c r="K3086" t="s">
        <v>55</v>
      </c>
      <c r="N3086" t="s">
        <v>79</v>
      </c>
      <c r="P3086" t="s">
        <v>80</v>
      </c>
      <c r="Q3086" t="s">
        <v>47</v>
      </c>
      <c r="R3086" t="s">
        <v>44</v>
      </c>
      <c r="S3086">
        <v>0</v>
      </c>
      <c r="W3086" s="3">
        <v>0</v>
      </c>
      <c r="X3086" t="s">
        <v>49</v>
      </c>
      <c r="Y3086">
        <v>0</v>
      </c>
      <c r="Z3086">
        <v>2</v>
      </c>
      <c r="AA3086" t="s">
        <v>6370</v>
      </c>
      <c r="AB3086">
        <v>46</v>
      </c>
      <c r="AC3086" t="s">
        <v>49</v>
      </c>
      <c r="AD3086">
        <v>0</v>
      </c>
      <c r="AE3086">
        <v>-1</v>
      </c>
      <c r="AF3086" t="s">
        <v>50</v>
      </c>
      <c r="AG3086" t="s">
        <v>5049</v>
      </c>
    </row>
    <row r="3087" spans="1:33" x14ac:dyDescent="0.35">
      <c r="A3087" s="1">
        <v>44761.960416666669</v>
      </c>
      <c r="B3087">
        <v>6546221</v>
      </c>
      <c r="C3087" t="s">
        <v>6371</v>
      </c>
      <c r="D3087" t="s">
        <v>65</v>
      </c>
      <c r="E3087" s="2">
        <v>44299</v>
      </c>
      <c r="F3087" t="str">
        <f>"9780128219300"</f>
        <v>9780128219300</v>
      </c>
      <c r="G3087" t="str">
        <f>"9780128219294"</f>
        <v>9780128219294</v>
      </c>
      <c r="H3087" t="s">
        <v>297</v>
      </c>
      <c r="I3087">
        <v>622.33802856310001</v>
      </c>
      <c r="J3087" t="s">
        <v>6372</v>
      </c>
      <c r="K3087" t="s">
        <v>55</v>
      </c>
      <c r="N3087" t="s">
        <v>79</v>
      </c>
      <c r="P3087" t="s">
        <v>80</v>
      </c>
      <c r="Q3087" t="s">
        <v>47</v>
      </c>
      <c r="R3087" t="s">
        <v>44</v>
      </c>
      <c r="S3087">
        <v>0</v>
      </c>
      <c r="W3087" s="3">
        <v>8.1018518518518516E-5</v>
      </c>
      <c r="X3087" t="s">
        <v>121</v>
      </c>
      <c r="Y3087">
        <v>1</v>
      </c>
      <c r="Z3087">
        <v>0</v>
      </c>
      <c r="AA3087" t="s">
        <v>49</v>
      </c>
      <c r="AB3087">
        <v>0</v>
      </c>
      <c r="AC3087" t="s">
        <v>49</v>
      </c>
      <c r="AD3087">
        <v>0</v>
      </c>
      <c r="AE3087">
        <v>-1</v>
      </c>
      <c r="AF3087" t="s">
        <v>50</v>
      </c>
      <c r="AG3087" t="s">
        <v>5049</v>
      </c>
    </row>
    <row r="3088" spans="1:33" x14ac:dyDescent="0.35">
      <c r="A3088" s="1">
        <v>44761.745833333334</v>
      </c>
      <c r="B3088">
        <v>6637762</v>
      </c>
      <c r="C3088" t="s">
        <v>6373</v>
      </c>
      <c r="D3088" t="s">
        <v>59</v>
      </c>
      <c r="E3088" s="2">
        <v>44384</v>
      </c>
      <c r="F3088" t="str">
        <f>"9781119741435"</f>
        <v>9781119741435</v>
      </c>
      <c r="G3088" t="str">
        <f>"9781119741480"</f>
        <v>9781119741480</v>
      </c>
      <c r="H3088" t="s">
        <v>60</v>
      </c>
      <c r="I3088">
        <v>658.15499999999997</v>
      </c>
      <c r="J3088" t="s">
        <v>6374</v>
      </c>
      <c r="K3088" t="s">
        <v>55</v>
      </c>
      <c r="N3088" t="s">
        <v>79</v>
      </c>
      <c r="P3088" t="s">
        <v>80</v>
      </c>
      <c r="Q3088" t="s">
        <v>47</v>
      </c>
      <c r="R3088" t="s">
        <v>44</v>
      </c>
      <c r="S3088">
        <v>3</v>
      </c>
      <c r="T3088">
        <v>90</v>
      </c>
      <c r="U3088" s="1">
        <v>44761.700694444444</v>
      </c>
      <c r="V3088" s="1">
        <v>44851.700694444444</v>
      </c>
      <c r="W3088" s="3">
        <v>2.6620370370370372E-4</v>
      </c>
      <c r="X3088" t="s">
        <v>6375</v>
      </c>
      <c r="Y3088">
        <v>6</v>
      </c>
      <c r="Z3088">
        <v>0</v>
      </c>
      <c r="AA3088" t="s">
        <v>49</v>
      </c>
      <c r="AB3088">
        <v>0</v>
      </c>
      <c r="AC3088" t="s">
        <v>49</v>
      </c>
      <c r="AD3088">
        <v>0</v>
      </c>
      <c r="AE3088">
        <v>-1</v>
      </c>
      <c r="AF3088" t="s">
        <v>63</v>
      </c>
      <c r="AG3088" t="s">
        <v>6364</v>
      </c>
    </row>
    <row r="3089" spans="1:33" x14ac:dyDescent="0.35">
      <c r="A3089" s="1">
        <v>44761.718055555553</v>
      </c>
      <c r="B3089">
        <v>6637762</v>
      </c>
      <c r="C3089" t="s">
        <v>6373</v>
      </c>
      <c r="D3089" t="s">
        <v>59</v>
      </c>
      <c r="E3089" s="2">
        <v>44384</v>
      </c>
      <c r="F3089" t="str">
        <f>"9781119741435"</f>
        <v>9781119741435</v>
      </c>
      <c r="G3089" t="str">
        <f>"9781119741480"</f>
        <v>9781119741480</v>
      </c>
      <c r="H3089" t="s">
        <v>60</v>
      </c>
      <c r="I3089">
        <v>658.15499999999997</v>
      </c>
      <c r="J3089" t="s">
        <v>6374</v>
      </c>
      <c r="K3089" t="s">
        <v>55</v>
      </c>
      <c r="N3089" t="s">
        <v>79</v>
      </c>
      <c r="P3089" t="s">
        <v>80</v>
      </c>
      <c r="Q3089" t="s">
        <v>47</v>
      </c>
      <c r="R3089" t="s">
        <v>44</v>
      </c>
      <c r="S3089">
        <v>1</v>
      </c>
      <c r="T3089">
        <v>90</v>
      </c>
      <c r="U3089" s="1">
        <v>44761.700694444444</v>
      </c>
      <c r="V3089" s="1">
        <v>44851.700694444444</v>
      </c>
      <c r="W3089" s="3">
        <v>0</v>
      </c>
      <c r="X3089" t="s">
        <v>49</v>
      </c>
      <c r="Y3089">
        <v>0</v>
      </c>
      <c r="Z3089">
        <v>0</v>
      </c>
      <c r="AA3089" t="s">
        <v>49</v>
      </c>
      <c r="AB3089">
        <v>0</v>
      </c>
      <c r="AC3089" t="s">
        <v>49</v>
      </c>
      <c r="AD3089">
        <v>0</v>
      </c>
      <c r="AE3089">
        <v>-1</v>
      </c>
      <c r="AF3089" t="s">
        <v>63</v>
      </c>
      <c r="AG3089" t="s">
        <v>6364</v>
      </c>
    </row>
    <row r="3090" spans="1:33" x14ac:dyDescent="0.35">
      <c r="A3090" s="1">
        <v>44761.700694444444</v>
      </c>
      <c r="B3090">
        <v>6637762</v>
      </c>
      <c r="C3090" t="s">
        <v>6373</v>
      </c>
      <c r="D3090" t="s">
        <v>59</v>
      </c>
      <c r="E3090" s="2">
        <v>44384</v>
      </c>
      <c r="F3090" t="str">
        <f>"9781119741435"</f>
        <v>9781119741435</v>
      </c>
      <c r="G3090" t="str">
        <f>"9781119741480"</f>
        <v>9781119741480</v>
      </c>
      <c r="H3090" t="s">
        <v>60</v>
      </c>
      <c r="I3090">
        <v>658.15499999999997</v>
      </c>
      <c r="J3090" t="s">
        <v>6374</v>
      </c>
      <c r="K3090" t="s">
        <v>55</v>
      </c>
      <c r="N3090" t="s">
        <v>79</v>
      </c>
      <c r="P3090" t="s">
        <v>80</v>
      </c>
      <c r="Q3090" t="s">
        <v>47</v>
      </c>
      <c r="R3090" t="s">
        <v>44</v>
      </c>
      <c r="S3090">
        <v>5</v>
      </c>
      <c r="T3090">
        <v>90</v>
      </c>
      <c r="U3090" s="1">
        <v>44761.700694444444</v>
      </c>
      <c r="V3090" s="1">
        <v>44851.700694444444</v>
      </c>
      <c r="W3090" s="3">
        <v>2.7777777777777778E-4</v>
      </c>
      <c r="X3090" t="s">
        <v>6376</v>
      </c>
      <c r="Y3090">
        <v>4</v>
      </c>
      <c r="Z3090">
        <v>4</v>
      </c>
      <c r="AA3090" t="s">
        <v>6377</v>
      </c>
      <c r="AB3090">
        <v>140</v>
      </c>
      <c r="AC3090" t="s">
        <v>49</v>
      </c>
      <c r="AD3090">
        <v>0</v>
      </c>
      <c r="AE3090">
        <v>-1</v>
      </c>
      <c r="AF3090" t="s">
        <v>63</v>
      </c>
      <c r="AG3090" t="s">
        <v>6364</v>
      </c>
    </row>
    <row r="3091" spans="1:33" x14ac:dyDescent="0.35">
      <c r="A3091" s="1">
        <v>44761.699305555558</v>
      </c>
      <c r="B3091">
        <v>6637762</v>
      </c>
      <c r="C3091" t="s">
        <v>6373</v>
      </c>
      <c r="D3091" t="s">
        <v>59</v>
      </c>
      <c r="E3091" s="2">
        <v>44384</v>
      </c>
      <c r="F3091" t="str">
        <f>"9781119741435"</f>
        <v>9781119741435</v>
      </c>
      <c r="G3091" t="str">
        <f>"9781119741480"</f>
        <v>9781119741480</v>
      </c>
      <c r="H3091" t="s">
        <v>60</v>
      </c>
      <c r="I3091">
        <v>658.15499999999997</v>
      </c>
      <c r="J3091" t="s">
        <v>6374</v>
      </c>
      <c r="K3091" t="s">
        <v>55</v>
      </c>
      <c r="N3091" t="s">
        <v>79</v>
      </c>
      <c r="P3091" t="s">
        <v>80</v>
      </c>
      <c r="Q3091" t="s">
        <v>47</v>
      </c>
      <c r="R3091" t="s">
        <v>44</v>
      </c>
      <c r="S3091">
        <v>0</v>
      </c>
      <c r="W3091" s="3">
        <v>1.3078703703703705E-3</v>
      </c>
      <c r="X3091" t="s">
        <v>2711</v>
      </c>
      <c r="Y3091">
        <v>2</v>
      </c>
      <c r="Z3091">
        <v>0</v>
      </c>
      <c r="AA3091" t="s">
        <v>49</v>
      </c>
      <c r="AB3091">
        <v>0</v>
      </c>
      <c r="AC3091" t="s">
        <v>49</v>
      </c>
      <c r="AD3091">
        <v>0</v>
      </c>
      <c r="AE3091">
        <v>-1</v>
      </c>
      <c r="AF3091" t="s">
        <v>63</v>
      </c>
      <c r="AG3091" t="s">
        <v>6364</v>
      </c>
    </row>
    <row r="3092" spans="1:33" x14ac:dyDescent="0.35">
      <c r="A3092" s="1">
        <v>44761.634722222225</v>
      </c>
      <c r="B3092">
        <v>6231689</v>
      </c>
      <c r="C3092" t="s">
        <v>6378</v>
      </c>
      <c r="D3092" t="s">
        <v>213</v>
      </c>
      <c r="E3092" s="2">
        <v>44001</v>
      </c>
      <c r="F3092" t="str">
        <f>"9780128184769"</f>
        <v>9780128184769</v>
      </c>
      <c r="G3092" t="str">
        <f>"9780128184752"</f>
        <v>9780128184752</v>
      </c>
      <c r="H3092" t="s">
        <v>513</v>
      </c>
      <c r="I3092">
        <v>620.11500000000001</v>
      </c>
      <c r="J3092" t="s">
        <v>6379</v>
      </c>
      <c r="K3092" t="s">
        <v>55</v>
      </c>
      <c r="Q3092" t="s">
        <v>47</v>
      </c>
      <c r="R3092" t="s">
        <v>44</v>
      </c>
      <c r="S3092">
        <v>0</v>
      </c>
      <c r="W3092" s="3">
        <v>3.2060185185185191E-3</v>
      </c>
      <c r="X3092" t="s">
        <v>6380</v>
      </c>
      <c r="Y3092">
        <v>25</v>
      </c>
      <c r="Z3092">
        <v>0</v>
      </c>
      <c r="AA3092" t="s">
        <v>49</v>
      </c>
      <c r="AB3092">
        <v>0</v>
      </c>
      <c r="AC3092" t="s">
        <v>49</v>
      </c>
      <c r="AD3092">
        <v>0</v>
      </c>
      <c r="AE3092">
        <v>-1</v>
      </c>
      <c r="AF3092" t="s">
        <v>63</v>
      </c>
      <c r="AG3092" t="s">
        <v>5767</v>
      </c>
    </row>
    <row r="3093" spans="1:33" x14ac:dyDescent="0.35">
      <c r="A3093" s="1">
        <v>44761.631944444445</v>
      </c>
      <c r="B3093">
        <v>6793684</v>
      </c>
      <c r="C3093" t="s">
        <v>6381</v>
      </c>
      <c r="D3093" t="s">
        <v>65</v>
      </c>
      <c r="E3093" s="2">
        <v>44496</v>
      </c>
      <c r="F3093" t="str">
        <f>"9780323900034"</f>
        <v>9780323900034</v>
      </c>
      <c r="G3093" t="str">
        <f>"9780323909914"</f>
        <v>9780323909914</v>
      </c>
      <c r="H3093" t="s">
        <v>261</v>
      </c>
      <c r="I3093">
        <v>628.16200000000003</v>
      </c>
      <c r="J3093" t="s">
        <v>6382</v>
      </c>
      <c r="K3093" t="s">
        <v>55</v>
      </c>
      <c r="N3093" t="s">
        <v>79</v>
      </c>
      <c r="P3093" t="s">
        <v>80</v>
      </c>
      <c r="Q3093" t="s">
        <v>47</v>
      </c>
      <c r="R3093" t="s">
        <v>44</v>
      </c>
      <c r="S3093">
        <v>0</v>
      </c>
      <c r="W3093" s="3">
        <v>7.2453703703703708E-3</v>
      </c>
      <c r="X3093" t="s">
        <v>6383</v>
      </c>
      <c r="Y3093">
        <v>7</v>
      </c>
      <c r="Z3093">
        <v>0</v>
      </c>
      <c r="AA3093" t="s">
        <v>49</v>
      </c>
      <c r="AB3093">
        <v>0</v>
      </c>
      <c r="AC3093" t="s">
        <v>49</v>
      </c>
      <c r="AD3093">
        <v>0</v>
      </c>
      <c r="AE3093">
        <v>-1</v>
      </c>
      <c r="AF3093" t="s">
        <v>50</v>
      </c>
      <c r="AG3093" t="s">
        <v>5049</v>
      </c>
    </row>
    <row r="3094" spans="1:33" x14ac:dyDescent="0.35">
      <c r="A3094" s="1">
        <v>44761.529166666667</v>
      </c>
      <c r="B3094">
        <v>6793684</v>
      </c>
      <c r="C3094" t="s">
        <v>6381</v>
      </c>
      <c r="D3094" t="s">
        <v>65</v>
      </c>
      <c r="E3094" s="2">
        <v>44496</v>
      </c>
      <c r="F3094" t="str">
        <f>"9780323900034"</f>
        <v>9780323900034</v>
      </c>
      <c r="G3094" t="str">
        <f>"9780323909914"</f>
        <v>9780323909914</v>
      </c>
      <c r="H3094" t="s">
        <v>261</v>
      </c>
      <c r="I3094">
        <v>628.16200000000003</v>
      </c>
      <c r="J3094" t="s">
        <v>6382</v>
      </c>
      <c r="K3094" t="s">
        <v>55</v>
      </c>
      <c r="N3094" t="s">
        <v>79</v>
      </c>
      <c r="P3094" t="s">
        <v>80</v>
      </c>
      <c r="Q3094" t="s">
        <v>47</v>
      </c>
      <c r="R3094" t="s">
        <v>44</v>
      </c>
      <c r="S3094">
        <v>0</v>
      </c>
      <c r="W3094" s="3">
        <v>4.0393518518518521E-3</v>
      </c>
      <c r="X3094" t="s">
        <v>6384</v>
      </c>
      <c r="Y3094">
        <v>12</v>
      </c>
      <c r="Z3094">
        <v>0</v>
      </c>
      <c r="AA3094" t="s">
        <v>49</v>
      </c>
      <c r="AB3094">
        <v>0</v>
      </c>
      <c r="AC3094" t="s">
        <v>49</v>
      </c>
      <c r="AD3094">
        <v>0</v>
      </c>
      <c r="AE3094">
        <v>-1</v>
      </c>
      <c r="AF3094" t="s">
        <v>50</v>
      </c>
      <c r="AG3094" t="s">
        <v>5049</v>
      </c>
    </row>
    <row r="3095" spans="1:33" x14ac:dyDescent="0.35">
      <c r="A3095" s="1">
        <v>44761.515277777777</v>
      </c>
      <c r="B3095">
        <v>6636015</v>
      </c>
      <c r="C3095" t="s">
        <v>6360</v>
      </c>
      <c r="D3095" t="s">
        <v>71</v>
      </c>
      <c r="E3095" s="2">
        <v>44328</v>
      </c>
      <c r="F3095" t="str">
        <f>"9789811234101"</f>
        <v>9789811234101</v>
      </c>
      <c r="G3095" t="str">
        <f>"9789811234095"</f>
        <v>9789811234095</v>
      </c>
      <c r="H3095" t="s">
        <v>801</v>
      </c>
      <c r="I3095" t="s">
        <v>6361</v>
      </c>
      <c r="J3095" t="s">
        <v>6362</v>
      </c>
      <c r="K3095" t="s">
        <v>55</v>
      </c>
      <c r="N3095" t="s">
        <v>79</v>
      </c>
      <c r="P3095" t="s">
        <v>80</v>
      </c>
      <c r="Q3095" t="s">
        <v>47</v>
      </c>
      <c r="R3095" t="s">
        <v>44</v>
      </c>
      <c r="S3095">
        <v>0</v>
      </c>
      <c r="T3095">
        <v>90</v>
      </c>
      <c r="U3095" s="1">
        <v>44748.71875</v>
      </c>
      <c r="V3095" s="1">
        <v>44838.71875</v>
      </c>
      <c r="W3095" s="3">
        <v>1.0347222222222223E-2</v>
      </c>
      <c r="X3095" t="s">
        <v>6385</v>
      </c>
      <c r="Y3095">
        <v>4</v>
      </c>
      <c r="Z3095">
        <v>2</v>
      </c>
      <c r="AA3095" t="s">
        <v>6386</v>
      </c>
      <c r="AB3095">
        <v>76</v>
      </c>
      <c r="AC3095" t="s">
        <v>49</v>
      </c>
      <c r="AD3095">
        <v>0</v>
      </c>
      <c r="AE3095">
        <v>-1</v>
      </c>
      <c r="AF3095" t="s">
        <v>63</v>
      </c>
      <c r="AG3095" t="s">
        <v>6364</v>
      </c>
    </row>
    <row r="3096" spans="1:33" x14ac:dyDescent="0.35">
      <c r="A3096" s="1">
        <v>44761.513888888891</v>
      </c>
      <c r="B3096">
        <v>6636015</v>
      </c>
      <c r="C3096" t="s">
        <v>6360</v>
      </c>
      <c r="D3096" t="s">
        <v>71</v>
      </c>
      <c r="E3096" s="2">
        <v>44328</v>
      </c>
      <c r="F3096" t="str">
        <f>"9789811234101"</f>
        <v>9789811234101</v>
      </c>
      <c r="G3096" t="str">
        <f>"9789811234095"</f>
        <v>9789811234095</v>
      </c>
      <c r="H3096" t="s">
        <v>801</v>
      </c>
      <c r="I3096" t="s">
        <v>6361</v>
      </c>
      <c r="J3096" t="s">
        <v>6362</v>
      </c>
      <c r="K3096" t="s">
        <v>55</v>
      </c>
      <c r="N3096" t="s">
        <v>79</v>
      </c>
      <c r="P3096" t="s">
        <v>80</v>
      </c>
      <c r="Q3096" t="s">
        <v>47</v>
      </c>
      <c r="R3096" t="s">
        <v>44</v>
      </c>
      <c r="S3096">
        <v>0</v>
      </c>
      <c r="W3096" s="3">
        <v>9.1435185185185185E-4</v>
      </c>
      <c r="X3096" t="s">
        <v>6387</v>
      </c>
      <c r="Y3096">
        <v>5</v>
      </c>
      <c r="Z3096">
        <v>1</v>
      </c>
      <c r="AA3096" t="s">
        <v>6388</v>
      </c>
      <c r="AB3096">
        <v>5</v>
      </c>
      <c r="AC3096" t="s">
        <v>49</v>
      </c>
      <c r="AD3096">
        <v>0</v>
      </c>
      <c r="AE3096">
        <v>-1</v>
      </c>
      <c r="AF3096" t="s">
        <v>50</v>
      </c>
      <c r="AG3096" t="s">
        <v>6364</v>
      </c>
    </row>
    <row r="3097" spans="1:33" x14ac:dyDescent="0.35">
      <c r="A3097" s="1">
        <v>44761.493055555555</v>
      </c>
      <c r="B3097">
        <v>6793684</v>
      </c>
      <c r="C3097" t="s">
        <v>6381</v>
      </c>
      <c r="D3097" t="s">
        <v>65</v>
      </c>
      <c r="E3097" s="2">
        <v>44496</v>
      </c>
      <c r="F3097" t="str">
        <f>"9780323900034"</f>
        <v>9780323900034</v>
      </c>
      <c r="G3097" t="str">
        <f>"9780323909914"</f>
        <v>9780323909914</v>
      </c>
      <c r="H3097" t="s">
        <v>261</v>
      </c>
      <c r="I3097">
        <v>628.16200000000003</v>
      </c>
      <c r="J3097" t="s">
        <v>6382</v>
      </c>
      <c r="K3097" t="s">
        <v>55</v>
      </c>
      <c r="N3097" t="s">
        <v>79</v>
      </c>
      <c r="P3097" t="s">
        <v>80</v>
      </c>
      <c r="Q3097" t="s">
        <v>47</v>
      </c>
      <c r="R3097" t="s">
        <v>44</v>
      </c>
      <c r="S3097">
        <v>0</v>
      </c>
      <c r="W3097" s="3">
        <v>1.6435185185185183E-3</v>
      </c>
      <c r="X3097" t="s">
        <v>1283</v>
      </c>
      <c r="Y3097">
        <v>3</v>
      </c>
      <c r="Z3097">
        <v>0</v>
      </c>
      <c r="AA3097" t="s">
        <v>49</v>
      </c>
      <c r="AB3097">
        <v>0</v>
      </c>
      <c r="AC3097" t="s">
        <v>49</v>
      </c>
      <c r="AD3097">
        <v>0</v>
      </c>
      <c r="AE3097">
        <v>-1</v>
      </c>
      <c r="AF3097" t="s">
        <v>50</v>
      </c>
      <c r="AG3097" t="s">
        <v>5049</v>
      </c>
    </row>
    <row r="3098" spans="1:33" x14ac:dyDescent="0.35">
      <c r="A3098" s="1">
        <v>44761.04583333333</v>
      </c>
      <c r="B3098">
        <v>6793684</v>
      </c>
      <c r="C3098" t="s">
        <v>6381</v>
      </c>
      <c r="D3098" t="s">
        <v>65</v>
      </c>
      <c r="E3098" s="2">
        <v>44496</v>
      </c>
      <c r="F3098" t="str">
        <f>"9780323900034"</f>
        <v>9780323900034</v>
      </c>
      <c r="G3098" t="str">
        <f>"9780323909914"</f>
        <v>9780323909914</v>
      </c>
      <c r="H3098" t="s">
        <v>261</v>
      </c>
      <c r="I3098">
        <v>628.16200000000003</v>
      </c>
      <c r="J3098" t="s">
        <v>6382</v>
      </c>
      <c r="K3098" t="s">
        <v>55</v>
      </c>
      <c r="N3098" t="s">
        <v>79</v>
      </c>
      <c r="P3098" t="s">
        <v>80</v>
      </c>
      <c r="Q3098" t="s">
        <v>47</v>
      </c>
      <c r="R3098" t="s">
        <v>44</v>
      </c>
      <c r="S3098">
        <v>0</v>
      </c>
      <c r="W3098" s="3">
        <v>1.5208333333333332E-2</v>
      </c>
      <c r="X3098" t="s">
        <v>6389</v>
      </c>
      <c r="Y3098">
        <v>16</v>
      </c>
      <c r="Z3098">
        <v>0</v>
      </c>
      <c r="AA3098" t="s">
        <v>49</v>
      </c>
      <c r="AB3098">
        <v>0</v>
      </c>
      <c r="AC3098" t="s">
        <v>49</v>
      </c>
      <c r="AD3098">
        <v>0</v>
      </c>
      <c r="AE3098">
        <v>-1</v>
      </c>
      <c r="AF3098" t="s">
        <v>50</v>
      </c>
      <c r="AG3098" t="s">
        <v>5049</v>
      </c>
    </row>
    <row r="3099" spans="1:33" x14ac:dyDescent="0.35">
      <c r="A3099" s="1">
        <v>44761.015277777777</v>
      </c>
      <c r="B3099">
        <v>6793684</v>
      </c>
      <c r="C3099" t="s">
        <v>6381</v>
      </c>
      <c r="D3099" t="s">
        <v>65</v>
      </c>
      <c r="E3099" s="2">
        <v>44496</v>
      </c>
      <c r="F3099" t="str">
        <f>"9780323900034"</f>
        <v>9780323900034</v>
      </c>
      <c r="G3099" t="str">
        <f>"9780323909914"</f>
        <v>9780323909914</v>
      </c>
      <c r="H3099" t="s">
        <v>261</v>
      </c>
      <c r="I3099">
        <v>628.16200000000003</v>
      </c>
      <c r="J3099" t="s">
        <v>6382</v>
      </c>
      <c r="K3099" t="s">
        <v>55</v>
      </c>
      <c r="N3099" t="s">
        <v>79</v>
      </c>
      <c r="P3099" t="s">
        <v>80</v>
      </c>
      <c r="Q3099" t="s">
        <v>47</v>
      </c>
      <c r="R3099" t="s">
        <v>44</v>
      </c>
      <c r="S3099">
        <v>0</v>
      </c>
      <c r="W3099" s="3">
        <v>3.0138888888888885E-2</v>
      </c>
      <c r="X3099" t="s">
        <v>6390</v>
      </c>
      <c r="Y3099">
        <v>9</v>
      </c>
      <c r="Z3099">
        <v>0</v>
      </c>
      <c r="AA3099" t="s">
        <v>49</v>
      </c>
      <c r="AB3099">
        <v>0</v>
      </c>
      <c r="AC3099" t="s">
        <v>49</v>
      </c>
      <c r="AD3099">
        <v>0</v>
      </c>
      <c r="AE3099">
        <v>-1</v>
      </c>
      <c r="AF3099" t="s">
        <v>50</v>
      </c>
      <c r="AG3099" t="s">
        <v>5049</v>
      </c>
    </row>
    <row r="3100" spans="1:33" x14ac:dyDescent="0.35">
      <c r="A3100" s="1">
        <v>44760.969444444447</v>
      </c>
      <c r="B3100">
        <v>6231689</v>
      </c>
      <c r="C3100" t="s">
        <v>6378</v>
      </c>
      <c r="D3100" t="s">
        <v>213</v>
      </c>
      <c r="E3100" s="2">
        <v>44001</v>
      </c>
      <c r="F3100" t="str">
        <f>"9780128184769"</f>
        <v>9780128184769</v>
      </c>
      <c r="G3100" t="str">
        <f>"9780128184752"</f>
        <v>9780128184752</v>
      </c>
      <c r="H3100" t="s">
        <v>513</v>
      </c>
      <c r="I3100">
        <v>620.11500000000001</v>
      </c>
      <c r="J3100" t="s">
        <v>6379</v>
      </c>
      <c r="K3100" t="s">
        <v>55</v>
      </c>
      <c r="Q3100" t="s">
        <v>47</v>
      </c>
      <c r="R3100" t="s">
        <v>44</v>
      </c>
      <c r="S3100">
        <v>0</v>
      </c>
      <c r="W3100" s="3">
        <v>7.6620370370370366E-3</v>
      </c>
      <c r="X3100" t="s">
        <v>6391</v>
      </c>
      <c r="Y3100">
        <v>46</v>
      </c>
      <c r="Z3100">
        <v>0</v>
      </c>
      <c r="AA3100" t="s">
        <v>49</v>
      </c>
      <c r="AB3100">
        <v>0</v>
      </c>
      <c r="AC3100" t="s">
        <v>49</v>
      </c>
      <c r="AD3100">
        <v>0</v>
      </c>
      <c r="AE3100">
        <v>-1</v>
      </c>
      <c r="AF3100" t="s">
        <v>63</v>
      </c>
      <c r="AG3100" t="s">
        <v>5767</v>
      </c>
    </row>
    <row r="3101" spans="1:33" x14ac:dyDescent="0.35">
      <c r="A3101" s="1">
        <v>44760.909722222219</v>
      </c>
      <c r="B3101">
        <v>6793684</v>
      </c>
      <c r="C3101" t="s">
        <v>6381</v>
      </c>
      <c r="D3101" t="s">
        <v>65</v>
      </c>
      <c r="E3101" s="2">
        <v>44496</v>
      </c>
      <c r="F3101" t="str">
        <f>"9780323900034"</f>
        <v>9780323900034</v>
      </c>
      <c r="G3101" t="str">
        <f>"9780323909914"</f>
        <v>9780323909914</v>
      </c>
      <c r="H3101" t="s">
        <v>261</v>
      </c>
      <c r="I3101">
        <v>628.16200000000003</v>
      </c>
      <c r="J3101" t="s">
        <v>6382</v>
      </c>
      <c r="K3101" t="s">
        <v>55</v>
      </c>
      <c r="N3101" t="s">
        <v>79</v>
      </c>
      <c r="P3101" t="s">
        <v>80</v>
      </c>
      <c r="Q3101" t="s">
        <v>47</v>
      </c>
      <c r="R3101" t="s">
        <v>44</v>
      </c>
      <c r="S3101">
        <v>0</v>
      </c>
      <c r="W3101" s="3">
        <v>4.8194444444444449E-2</v>
      </c>
      <c r="X3101" t="s">
        <v>6392</v>
      </c>
      <c r="Y3101">
        <v>28</v>
      </c>
      <c r="Z3101">
        <v>0</v>
      </c>
      <c r="AA3101" t="s">
        <v>49</v>
      </c>
      <c r="AB3101">
        <v>0</v>
      </c>
      <c r="AC3101" t="s">
        <v>49</v>
      </c>
      <c r="AD3101">
        <v>0</v>
      </c>
      <c r="AE3101">
        <v>-1</v>
      </c>
      <c r="AF3101" t="s">
        <v>50</v>
      </c>
      <c r="AG3101" t="s">
        <v>5049</v>
      </c>
    </row>
    <row r="3102" spans="1:33" x14ac:dyDescent="0.35">
      <c r="A3102" s="1">
        <v>44760.815972222219</v>
      </c>
      <c r="B3102">
        <v>6793684</v>
      </c>
      <c r="C3102" t="s">
        <v>6381</v>
      </c>
      <c r="D3102" t="s">
        <v>65</v>
      </c>
      <c r="E3102" s="2">
        <v>44496</v>
      </c>
      <c r="F3102" t="str">
        <f>"9780323900034"</f>
        <v>9780323900034</v>
      </c>
      <c r="G3102" t="str">
        <f>"9780323909914"</f>
        <v>9780323909914</v>
      </c>
      <c r="H3102" t="s">
        <v>261</v>
      </c>
      <c r="I3102">
        <v>628.16200000000003</v>
      </c>
      <c r="J3102" t="s">
        <v>6382</v>
      </c>
      <c r="K3102" t="s">
        <v>55</v>
      </c>
      <c r="N3102" t="s">
        <v>79</v>
      </c>
      <c r="P3102" t="s">
        <v>80</v>
      </c>
      <c r="Q3102" t="s">
        <v>47</v>
      </c>
      <c r="R3102" t="s">
        <v>44</v>
      </c>
      <c r="S3102">
        <v>0</v>
      </c>
      <c r="W3102" s="3">
        <v>1.511574074074074E-2</v>
      </c>
      <c r="X3102" t="s">
        <v>6393</v>
      </c>
      <c r="Y3102">
        <v>16</v>
      </c>
      <c r="Z3102">
        <v>0</v>
      </c>
      <c r="AA3102" t="s">
        <v>49</v>
      </c>
      <c r="AB3102">
        <v>0</v>
      </c>
      <c r="AC3102" t="s">
        <v>49</v>
      </c>
      <c r="AD3102">
        <v>0</v>
      </c>
      <c r="AE3102">
        <v>-1</v>
      </c>
      <c r="AF3102" t="s">
        <v>50</v>
      </c>
      <c r="AG3102" t="s">
        <v>5049</v>
      </c>
    </row>
    <row r="3103" spans="1:33" x14ac:dyDescent="0.35">
      <c r="A3103" s="1">
        <v>44760.697222222225</v>
      </c>
      <c r="B3103">
        <v>6793684</v>
      </c>
      <c r="C3103" t="s">
        <v>6381</v>
      </c>
      <c r="D3103" t="s">
        <v>65</v>
      </c>
      <c r="E3103" s="2">
        <v>44496</v>
      </c>
      <c r="F3103" t="str">
        <f>"9780323900034"</f>
        <v>9780323900034</v>
      </c>
      <c r="G3103" t="str">
        <f>"9780323909914"</f>
        <v>9780323909914</v>
      </c>
      <c r="H3103" t="s">
        <v>261</v>
      </c>
      <c r="I3103">
        <v>628.16200000000003</v>
      </c>
      <c r="J3103" t="s">
        <v>6382</v>
      </c>
      <c r="K3103" t="s">
        <v>55</v>
      </c>
      <c r="N3103" t="s">
        <v>79</v>
      </c>
      <c r="P3103" t="s">
        <v>80</v>
      </c>
      <c r="Q3103" t="s">
        <v>47</v>
      </c>
      <c r="R3103" t="s">
        <v>44</v>
      </c>
      <c r="S3103">
        <v>0</v>
      </c>
      <c r="W3103" s="3">
        <v>1.4548611111111111E-2</v>
      </c>
      <c r="X3103" t="s">
        <v>6394</v>
      </c>
      <c r="Y3103">
        <v>9</v>
      </c>
      <c r="Z3103">
        <v>0</v>
      </c>
      <c r="AA3103" t="s">
        <v>49</v>
      </c>
      <c r="AB3103">
        <v>0</v>
      </c>
      <c r="AC3103" t="s">
        <v>49</v>
      </c>
      <c r="AD3103">
        <v>0</v>
      </c>
      <c r="AE3103">
        <v>-1</v>
      </c>
      <c r="AF3103" t="s">
        <v>50</v>
      </c>
      <c r="AG3103" t="s">
        <v>5049</v>
      </c>
    </row>
    <row r="3104" spans="1:33" x14ac:dyDescent="0.35">
      <c r="A3104" s="1">
        <v>44760.693749999999</v>
      </c>
      <c r="B3104">
        <v>6636015</v>
      </c>
      <c r="C3104" t="s">
        <v>6360</v>
      </c>
      <c r="D3104" t="s">
        <v>71</v>
      </c>
      <c r="E3104" s="2">
        <v>44328</v>
      </c>
      <c r="F3104" t="str">
        <f>"9789811234101"</f>
        <v>9789811234101</v>
      </c>
      <c r="G3104" t="str">
        <f>"9789811234095"</f>
        <v>9789811234095</v>
      </c>
      <c r="H3104" t="s">
        <v>801</v>
      </c>
      <c r="I3104" t="s">
        <v>6361</v>
      </c>
      <c r="J3104" t="s">
        <v>6362</v>
      </c>
      <c r="K3104" t="s">
        <v>55</v>
      </c>
      <c r="N3104" t="s">
        <v>79</v>
      </c>
      <c r="P3104" t="s">
        <v>80</v>
      </c>
      <c r="Q3104" t="s">
        <v>47</v>
      </c>
      <c r="R3104" t="s">
        <v>44</v>
      </c>
      <c r="S3104">
        <v>0</v>
      </c>
      <c r="T3104">
        <v>90</v>
      </c>
      <c r="U3104" s="1">
        <v>44748.71875</v>
      </c>
      <c r="V3104" s="1">
        <v>44838.71875</v>
      </c>
      <c r="W3104" s="3">
        <v>4.7106481481481478E-3</v>
      </c>
      <c r="X3104" t="s">
        <v>6395</v>
      </c>
      <c r="Y3104">
        <v>7</v>
      </c>
      <c r="Z3104">
        <v>4</v>
      </c>
      <c r="AA3104" t="s">
        <v>6396</v>
      </c>
      <c r="AB3104">
        <v>43</v>
      </c>
      <c r="AC3104" t="s">
        <v>49</v>
      </c>
      <c r="AD3104">
        <v>0</v>
      </c>
      <c r="AE3104">
        <v>-1</v>
      </c>
      <c r="AF3104" t="s">
        <v>63</v>
      </c>
      <c r="AG3104" t="s">
        <v>6364</v>
      </c>
    </row>
    <row r="3105" spans="1:33" x14ac:dyDescent="0.35">
      <c r="A3105" s="1">
        <v>44760.693749999999</v>
      </c>
      <c r="B3105">
        <v>6636015</v>
      </c>
      <c r="C3105" t="s">
        <v>6360</v>
      </c>
      <c r="D3105" t="s">
        <v>71</v>
      </c>
      <c r="E3105" s="2">
        <v>44328</v>
      </c>
      <c r="F3105" t="str">
        <f>"9789811234101"</f>
        <v>9789811234101</v>
      </c>
      <c r="G3105" t="str">
        <f>"9789811234095"</f>
        <v>9789811234095</v>
      </c>
      <c r="H3105" t="s">
        <v>801</v>
      </c>
      <c r="I3105" t="s">
        <v>6361</v>
      </c>
      <c r="J3105" t="s">
        <v>6362</v>
      </c>
      <c r="K3105" t="s">
        <v>55</v>
      </c>
      <c r="N3105" t="s">
        <v>79</v>
      </c>
      <c r="P3105" t="s">
        <v>80</v>
      </c>
      <c r="Q3105" t="s">
        <v>47</v>
      </c>
      <c r="R3105" t="s">
        <v>44</v>
      </c>
      <c r="S3105">
        <v>0</v>
      </c>
      <c r="W3105" s="3">
        <v>8.1018518518518516E-5</v>
      </c>
      <c r="X3105" t="s">
        <v>121</v>
      </c>
      <c r="Y3105">
        <v>1</v>
      </c>
      <c r="Z3105">
        <v>0</v>
      </c>
      <c r="AA3105" t="s">
        <v>49</v>
      </c>
      <c r="AB3105">
        <v>0</v>
      </c>
      <c r="AC3105" t="s">
        <v>49</v>
      </c>
      <c r="AD3105">
        <v>0</v>
      </c>
      <c r="AE3105">
        <v>-1</v>
      </c>
      <c r="AF3105" t="s">
        <v>50</v>
      </c>
      <c r="AG3105" t="s">
        <v>6364</v>
      </c>
    </row>
    <row r="3106" spans="1:33" x14ac:dyDescent="0.35">
      <c r="A3106" s="1">
        <v>44760.680555555555</v>
      </c>
      <c r="B3106">
        <v>6636015</v>
      </c>
      <c r="C3106" t="s">
        <v>6360</v>
      </c>
      <c r="D3106" t="s">
        <v>71</v>
      </c>
      <c r="E3106" s="2">
        <v>44328</v>
      </c>
      <c r="F3106" t="str">
        <f>"9789811234101"</f>
        <v>9789811234101</v>
      </c>
      <c r="G3106" t="str">
        <f>"9789811234095"</f>
        <v>9789811234095</v>
      </c>
      <c r="H3106" t="s">
        <v>801</v>
      </c>
      <c r="I3106" t="s">
        <v>6361</v>
      </c>
      <c r="J3106" t="s">
        <v>6362</v>
      </c>
      <c r="K3106" t="s">
        <v>55</v>
      </c>
      <c r="N3106" t="s">
        <v>79</v>
      </c>
      <c r="P3106" t="s">
        <v>80</v>
      </c>
      <c r="Q3106" t="s">
        <v>47</v>
      </c>
      <c r="R3106" t="s">
        <v>44</v>
      </c>
      <c r="S3106">
        <v>0</v>
      </c>
      <c r="W3106" s="3">
        <v>2.0474537037037038E-2</v>
      </c>
      <c r="X3106" t="s">
        <v>6397</v>
      </c>
      <c r="Y3106">
        <v>49</v>
      </c>
      <c r="Z3106">
        <v>9</v>
      </c>
      <c r="AA3106" t="s">
        <v>6398</v>
      </c>
      <c r="AB3106">
        <v>155</v>
      </c>
      <c r="AC3106" t="s">
        <v>49</v>
      </c>
      <c r="AD3106">
        <v>0</v>
      </c>
      <c r="AE3106">
        <v>-1</v>
      </c>
      <c r="AF3106" t="s">
        <v>50</v>
      </c>
      <c r="AG3106" t="s">
        <v>5049</v>
      </c>
    </row>
    <row r="3107" spans="1:33" x14ac:dyDescent="0.35">
      <c r="A3107" s="1">
        <v>44760.65625</v>
      </c>
      <c r="B3107">
        <v>6793684</v>
      </c>
      <c r="C3107" t="s">
        <v>6381</v>
      </c>
      <c r="D3107" t="s">
        <v>65</v>
      </c>
      <c r="E3107" s="2">
        <v>44496</v>
      </c>
      <c r="F3107" t="str">
        <f>"9780323900034"</f>
        <v>9780323900034</v>
      </c>
      <c r="G3107" t="str">
        <f>"9780323909914"</f>
        <v>9780323909914</v>
      </c>
      <c r="H3107" t="s">
        <v>261</v>
      </c>
      <c r="I3107">
        <v>628.16200000000003</v>
      </c>
      <c r="J3107" t="s">
        <v>6382</v>
      </c>
      <c r="K3107" t="s">
        <v>55</v>
      </c>
      <c r="N3107" t="s">
        <v>79</v>
      </c>
      <c r="P3107" t="s">
        <v>80</v>
      </c>
      <c r="Q3107" t="s">
        <v>47</v>
      </c>
      <c r="R3107" t="s">
        <v>44</v>
      </c>
      <c r="S3107">
        <v>0</v>
      </c>
      <c r="W3107" s="3">
        <v>4.6296296296296294E-5</v>
      </c>
      <c r="X3107" t="s">
        <v>6399</v>
      </c>
      <c r="Y3107">
        <v>1</v>
      </c>
      <c r="Z3107">
        <v>0</v>
      </c>
      <c r="AA3107" t="s">
        <v>49</v>
      </c>
      <c r="AB3107">
        <v>0</v>
      </c>
      <c r="AC3107" t="s">
        <v>49</v>
      </c>
      <c r="AD3107">
        <v>0</v>
      </c>
      <c r="AE3107">
        <v>-1</v>
      </c>
      <c r="AF3107" t="s">
        <v>50</v>
      </c>
      <c r="AG3107" t="s">
        <v>5049</v>
      </c>
    </row>
    <row r="3108" spans="1:33" x14ac:dyDescent="0.35">
      <c r="A3108" s="1">
        <v>44760.584722222222</v>
      </c>
      <c r="B3108">
        <v>6793684</v>
      </c>
      <c r="C3108" t="s">
        <v>6381</v>
      </c>
      <c r="D3108" t="s">
        <v>65</v>
      </c>
      <c r="E3108" s="2">
        <v>44496</v>
      </c>
      <c r="F3108" t="str">
        <f>"9780323900034"</f>
        <v>9780323900034</v>
      </c>
      <c r="G3108" t="str">
        <f>"9780323909914"</f>
        <v>9780323909914</v>
      </c>
      <c r="H3108" t="s">
        <v>261</v>
      </c>
      <c r="I3108">
        <v>628.16200000000003</v>
      </c>
      <c r="J3108" t="s">
        <v>6382</v>
      </c>
      <c r="K3108" t="s">
        <v>55</v>
      </c>
      <c r="N3108" t="s">
        <v>79</v>
      </c>
      <c r="P3108" t="s">
        <v>80</v>
      </c>
      <c r="Q3108" t="s">
        <v>47</v>
      </c>
      <c r="R3108" t="s">
        <v>44</v>
      </c>
      <c r="S3108">
        <v>0</v>
      </c>
      <c r="W3108" s="3">
        <v>3.1481481481481482E-3</v>
      </c>
      <c r="X3108" t="s">
        <v>6400</v>
      </c>
      <c r="Y3108">
        <v>6</v>
      </c>
      <c r="Z3108">
        <v>0</v>
      </c>
      <c r="AA3108" t="s">
        <v>49</v>
      </c>
      <c r="AB3108">
        <v>0</v>
      </c>
      <c r="AC3108" t="s">
        <v>49</v>
      </c>
      <c r="AD3108">
        <v>0</v>
      </c>
      <c r="AE3108">
        <v>-1</v>
      </c>
      <c r="AF3108" t="s">
        <v>50</v>
      </c>
      <c r="AG3108" t="s">
        <v>5049</v>
      </c>
    </row>
    <row r="3109" spans="1:33" x14ac:dyDescent="0.35">
      <c r="A3109" s="1">
        <v>44760.559027777781</v>
      </c>
      <c r="B3109">
        <v>6793684</v>
      </c>
      <c r="C3109" t="s">
        <v>6381</v>
      </c>
      <c r="D3109" t="s">
        <v>65</v>
      </c>
      <c r="E3109" s="2">
        <v>44496</v>
      </c>
      <c r="F3109" t="str">
        <f>"9780323900034"</f>
        <v>9780323900034</v>
      </c>
      <c r="G3109" t="str">
        <f>"9780323909914"</f>
        <v>9780323909914</v>
      </c>
      <c r="H3109" t="s">
        <v>261</v>
      </c>
      <c r="I3109">
        <v>628.16200000000003</v>
      </c>
      <c r="J3109" t="s">
        <v>6382</v>
      </c>
      <c r="K3109" t="s">
        <v>55</v>
      </c>
      <c r="N3109" t="s">
        <v>79</v>
      </c>
      <c r="P3109" t="s">
        <v>80</v>
      </c>
      <c r="Q3109" t="s">
        <v>47</v>
      </c>
      <c r="R3109" t="s">
        <v>44</v>
      </c>
      <c r="S3109">
        <v>3</v>
      </c>
      <c r="T3109">
        <v>2</v>
      </c>
      <c r="U3109" s="1">
        <v>44760.559027777781</v>
      </c>
      <c r="V3109" s="1">
        <v>44762.559027777781</v>
      </c>
      <c r="W3109" s="3">
        <v>0</v>
      </c>
      <c r="X3109" t="s">
        <v>49</v>
      </c>
      <c r="Y3109">
        <v>0</v>
      </c>
      <c r="Z3109">
        <v>0</v>
      </c>
      <c r="AA3109" t="s">
        <v>49</v>
      </c>
      <c r="AB3109">
        <v>0</v>
      </c>
      <c r="AC3109" t="s">
        <v>49</v>
      </c>
      <c r="AD3109">
        <v>0</v>
      </c>
      <c r="AE3109">
        <v>-1</v>
      </c>
      <c r="AF3109" t="s">
        <v>63</v>
      </c>
      <c r="AG3109" t="s">
        <v>5049</v>
      </c>
    </row>
    <row r="3110" spans="1:33" x14ac:dyDescent="0.35">
      <c r="A3110" s="1">
        <v>44760.556944444441</v>
      </c>
      <c r="B3110">
        <v>6793684</v>
      </c>
      <c r="C3110" t="s">
        <v>6381</v>
      </c>
      <c r="D3110" t="s">
        <v>65</v>
      </c>
      <c r="E3110" s="2">
        <v>44496</v>
      </c>
      <c r="F3110" t="str">
        <f>"9780323900034"</f>
        <v>9780323900034</v>
      </c>
      <c r="G3110" t="str">
        <f>"9780323909914"</f>
        <v>9780323909914</v>
      </c>
      <c r="H3110" t="s">
        <v>261</v>
      </c>
      <c r="I3110">
        <v>628.16200000000003</v>
      </c>
      <c r="J3110" t="s">
        <v>6382</v>
      </c>
      <c r="K3110" t="s">
        <v>55</v>
      </c>
      <c r="N3110" t="s">
        <v>79</v>
      </c>
      <c r="P3110" t="s">
        <v>80</v>
      </c>
      <c r="Q3110" t="s">
        <v>47</v>
      </c>
      <c r="R3110" t="s">
        <v>44</v>
      </c>
      <c r="S3110">
        <v>0</v>
      </c>
      <c r="W3110" s="3">
        <v>2.0370370370370373E-3</v>
      </c>
      <c r="X3110" t="s">
        <v>6401</v>
      </c>
      <c r="Y3110">
        <v>7</v>
      </c>
      <c r="Z3110">
        <v>0</v>
      </c>
      <c r="AA3110" t="s">
        <v>49</v>
      </c>
      <c r="AB3110">
        <v>0</v>
      </c>
      <c r="AC3110" t="s">
        <v>49</v>
      </c>
      <c r="AD3110">
        <v>0</v>
      </c>
      <c r="AE3110">
        <v>-1</v>
      </c>
      <c r="AF3110" t="s">
        <v>63</v>
      </c>
      <c r="AG3110" t="s">
        <v>5049</v>
      </c>
    </row>
    <row r="3111" spans="1:33" x14ac:dyDescent="0.35">
      <c r="A3111" s="1">
        <v>44760.456250000003</v>
      </c>
      <c r="B3111">
        <v>6637762</v>
      </c>
      <c r="C3111" t="s">
        <v>6373</v>
      </c>
      <c r="D3111" t="s">
        <v>59</v>
      </c>
      <c r="E3111" s="2">
        <v>44384</v>
      </c>
      <c r="F3111" t="str">
        <f>"9781119741435"</f>
        <v>9781119741435</v>
      </c>
      <c r="G3111" t="str">
        <f>"9781119741480"</f>
        <v>9781119741480</v>
      </c>
      <c r="H3111" t="s">
        <v>60</v>
      </c>
      <c r="I3111">
        <v>658.15499999999997</v>
      </c>
      <c r="J3111" t="s">
        <v>6374</v>
      </c>
      <c r="K3111" t="s">
        <v>55</v>
      </c>
      <c r="Q3111" t="s">
        <v>47</v>
      </c>
      <c r="R3111" t="s">
        <v>44</v>
      </c>
      <c r="S3111">
        <v>0</v>
      </c>
      <c r="W3111" s="3">
        <v>1.0185185185185184E-2</v>
      </c>
      <c r="X3111" t="s">
        <v>6402</v>
      </c>
      <c r="Y3111">
        <v>15</v>
      </c>
      <c r="Z3111">
        <v>0</v>
      </c>
      <c r="AA3111" t="s">
        <v>49</v>
      </c>
      <c r="AB3111">
        <v>0</v>
      </c>
      <c r="AC3111" t="s">
        <v>49</v>
      </c>
      <c r="AD3111">
        <v>0</v>
      </c>
      <c r="AE3111">
        <v>-1</v>
      </c>
      <c r="AF3111" t="s">
        <v>50</v>
      </c>
      <c r="AG3111" t="s">
        <v>6364</v>
      </c>
    </row>
    <row r="3112" spans="1:33" x14ac:dyDescent="0.35">
      <c r="A3112" s="1">
        <v>44759.962500000001</v>
      </c>
      <c r="B3112">
        <v>1724963</v>
      </c>
      <c r="C3112" t="s">
        <v>6403</v>
      </c>
      <c r="D3112" t="s">
        <v>2022</v>
      </c>
      <c r="E3112" s="2">
        <v>41673</v>
      </c>
      <c r="F3112" t="str">
        <f>"9781443862455"</f>
        <v>9781443862455</v>
      </c>
      <c r="G3112" t="str">
        <f>"9781443853910"</f>
        <v>9781443853910</v>
      </c>
      <c r="H3112" t="s">
        <v>1069</v>
      </c>
      <c r="I3112">
        <v>848.91408999999999</v>
      </c>
      <c r="J3112" t="s">
        <v>6404</v>
      </c>
      <c r="K3112" t="s">
        <v>44</v>
      </c>
      <c r="N3112" t="s">
        <v>45</v>
      </c>
      <c r="O3112" t="s">
        <v>46</v>
      </c>
      <c r="P3112" t="s">
        <v>45</v>
      </c>
      <c r="Q3112" t="s">
        <v>47</v>
      </c>
      <c r="R3112" t="s">
        <v>44</v>
      </c>
      <c r="S3112">
        <v>0</v>
      </c>
      <c r="W3112" s="3">
        <v>1.7361111111111112E-4</v>
      </c>
      <c r="X3112" t="s">
        <v>6405</v>
      </c>
      <c r="Y3112">
        <v>4</v>
      </c>
      <c r="Z3112">
        <v>0</v>
      </c>
      <c r="AA3112" t="s">
        <v>49</v>
      </c>
      <c r="AB3112">
        <v>0</v>
      </c>
      <c r="AC3112" t="s">
        <v>49</v>
      </c>
      <c r="AD3112">
        <v>0</v>
      </c>
      <c r="AE3112">
        <v>10898030</v>
      </c>
      <c r="AF3112" t="s">
        <v>50</v>
      </c>
      <c r="AG3112" t="s">
        <v>1451</v>
      </c>
    </row>
    <row r="3113" spans="1:33" x14ac:dyDescent="0.35">
      <c r="A3113" s="1">
        <v>44759.804166666669</v>
      </c>
      <c r="B3113">
        <v>3002063</v>
      </c>
      <c r="C3113" t="s">
        <v>6406</v>
      </c>
      <c r="D3113" t="s">
        <v>42</v>
      </c>
      <c r="E3113" s="2">
        <v>37408</v>
      </c>
      <c r="F3113" t="str">
        <f>"9780871208958"</f>
        <v>9780871208958</v>
      </c>
      <c r="G3113" t="str">
        <f>"9780871206756"</f>
        <v>9780871206756</v>
      </c>
      <c r="H3113" t="s">
        <v>6407</v>
      </c>
      <c r="I3113" t="s">
        <v>6408</v>
      </c>
      <c r="J3113" t="s">
        <v>6409</v>
      </c>
      <c r="K3113" t="s">
        <v>44</v>
      </c>
      <c r="N3113" t="s">
        <v>45</v>
      </c>
      <c r="O3113" t="s">
        <v>46</v>
      </c>
      <c r="P3113" t="s">
        <v>45</v>
      </c>
      <c r="Q3113" t="s">
        <v>47</v>
      </c>
      <c r="R3113" t="s">
        <v>44</v>
      </c>
      <c r="S3113">
        <v>0</v>
      </c>
      <c r="W3113" s="3">
        <v>5.4398148148148144E-4</v>
      </c>
      <c r="X3113" t="s">
        <v>1637</v>
      </c>
      <c r="Y3113">
        <v>8</v>
      </c>
      <c r="Z3113">
        <v>0</v>
      </c>
      <c r="AA3113" t="s">
        <v>49</v>
      </c>
      <c r="AB3113">
        <v>0</v>
      </c>
      <c r="AC3113" t="s">
        <v>49</v>
      </c>
      <c r="AD3113">
        <v>0</v>
      </c>
      <c r="AE3113">
        <v>10044803</v>
      </c>
      <c r="AF3113" t="s">
        <v>50</v>
      </c>
      <c r="AG3113" t="s">
        <v>676</v>
      </c>
    </row>
    <row r="3114" spans="1:33" x14ac:dyDescent="0.35">
      <c r="A3114" s="1">
        <v>44759.622916666667</v>
      </c>
      <c r="B3114">
        <v>3073657</v>
      </c>
      <c r="C3114" t="s">
        <v>5762</v>
      </c>
      <c r="D3114" t="s">
        <v>5763</v>
      </c>
      <c r="E3114" s="2">
        <v>37798</v>
      </c>
      <c r="F3114" t="str">
        <f>"9781461200390"</f>
        <v>9781461200390</v>
      </c>
      <c r="G3114" t="str">
        <f>"9781461265849"</f>
        <v>9781461265849</v>
      </c>
      <c r="H3114" t="s">
        <v>824</v>
      </c>
      <c r="J3114" t="s">
        <v>234</v>
      </c>
      <c r="K3114" t="s">
        <v>55</v>
      </c>
      <c r="N3114" t="s">
        <v>79</v>
      </c>
      <c r="P3114" t="s">
        <v>80</v>
      </c>
      <c r="Q3114" t="s">
        <v>47</v>
      </c>
      <c r="R3114" t="s">
        <v>44</v>
      </c>
      <c r="S3114">
        <v>0</v>
      </c>
      <c r="W3114" s="3">
        <v>5.7870370370370366E-5</v>
      </c>
      <c r="X3114" t="s">
        <v>121</v>
      </c>
      <c r="Y3114">
        <v>1</v>
      </c>
      <c r="Z3114">
        <v>0</v>
      </c>
      <c r="AA3114" t="s">
        <v>49</v>
      </c>
      <c r="AB3114">
        <v>0</v>
      </c>
      <c r="AC3114" t="s">
        <v>49</v>
      </c>
      <c r="AD3114">
        <v>0</v>
      </c>
      <c r="AE3114">
        <v>10916826</v>
      </c>
      <c r="AF3114" t="s">
        <v>50</v>
      </c>
      <c r="AG3114" t="s">
        <v>5049</v>
      </c>
    </row>
    <row r="3115" spans="1:33" x14ac:dyDescent="0.35">
      <c r="A3115" s="1">
        <v>44758.871527777781</v>
      </c>
      <c r="B3115">
        <v>1042470</v>
      </c>
      <c r="C3115" t="s">
        <v>6173</v>
      </c>
      <c r="D3115" t="s">
        <v>502</v>
      </c>
      <c r="E3115" s="2">
        <v>41316</v>
      </c>
      <c r="F3115" t="str">
        <f>"9781139782401"</f>
        <v>9781139782401</v>
      </c>
      <c r="G3115" t="str">
        <f>"9781107009097"</f>
        <v>9781107009097</v>
      </c>
      <c r="H3115" t="s">
        <v>1914</v>
      </c>
      <c r="I3115" t="s">
        <v>6174</v>
      </c>
      <c r="J3115" t="s">
        <v>6175</v>
      </c>
      <c r="K3115" t="s">
        <v>44</v>
      </c>
      <c r="N3115" t="s">
        <v>45</v>
      </c>
      <c r="O3115" t="s">
        <v>46</v>
      </c>
      <c r="P3115" t="s">
        <v>45</v>
      </c>
      <c r="Q3115" t="s">
        <v>47</v>
      </c>
      <c r="R3115" t="s">
        <v>44</v>
      </c>
      <c r="S3115">
        <v>0</v>
      </c>
      <c r="W3115" s="3">
        <v>6.3310185185185197E-3</v>
      </c>
      <c r="X3115" t="s">
        <v>6410</v>
      </c>
      <c r="Y3115">
        <v>19</v>
      </c>
      <c r="Z3115">
        <v>0</v>
      </c>
      <c r="AA3115" t="s">
        <v>49</v>
      </c>
      <c r="AB3115">
        <v>0</v>
      </c>
      <c r="AC3115" t="s">
        <v>49</v>
      </c>
      <c r="AD3115">
        <v>0</v>
      </c>
      <c r="AE3115">
        <v>10752968</v>
      </c>
      <c r="AF3115" t="s">
        <v>50</v>
      </c>
      <c r="AG3115" t="s">
        <v>5049</v>
      </c>
    </row>
    <row r="3116" spans="1:33" x14ac:dyDescent="0.35">
      <c r="A3116" s="1">
        <v>44758.761805555558</v>
      </c>
      <c r="B3116">
        <v>6636015</v>
      </c>
      <c r="C3116" t="s">
        <v>6360</v>
      </c>
      <c r="D3116" t="s">
        <v>71</v>
      </c>
      <c r="E3116" s="2">
        <v>44328</v>
      </c>
      <c r="F3116" t="str">
        <f>"9789811234101"</f>
        <v>9789811234101</v>
      </c>
      <c r="G3116" t="str">
        <f>"9789811234095"</f>
        <v>9789811234095</v>
      </c>
      <c r="H3116" t="s">
        <v>801</v>
      </c>
      <c r="I3116" t="s">
        <v>6361</v>
      </c>
      <c r="J3116" t="s">
        <v>6362</v>
      </c>
      <c r="K3116" t="s">
        <v>55</v>
      </c>
      <c r="N3116" t="s">
        <v>79</v>
      </c>
      <c r="P3116" t="s">
        <v>80</v>
      </c>
      <c r="Q3116" t="s">
        <v>47</v>
      </c>
      <c r="R3116" t="s">
        <v>44</v>
      </c>
      <c r="S3116">
        <v>0</v>
      </c>
      <c r="W3116" s="3">
        <v>3.0092592592592595E-4</v>
      </c>
      <c r="X3116" t="s">
        <v>6411</v>
      </c>
      <c r="Y3116">
        <v>5</v>
      </c>
      <c r="Z3116">
        <v>0</v>
      </c>
      <c r="AA3116" t="s">
        <v>49</v>
      </c>
      <c r="AB3116">
        <v>0</v>
      </c>
      <c r="AC3116" t="s">
        <v>49</v>
      </c>
      <c r="AD3116">
        <v>0</v>
      </c>
      <c r="AE3116">
        <v>-1</v>
      </c>
      <c r="AF3116" t="s">
        <v>50</v>
      </c>
      <c r="AG3116" t="s">
        <v>5049</v>
      </c>
    </row>
    <row r="3117" spans="1:33" x14ac:dyDescent="0.35">
      <c r="A3117" s="1">
        <v>44758.734722222223</v>
      </c>
      <c r="B3117">
        <v>535109</v>
      </c>
      <c r="C3117" t="s">
        <v>6412</v>
      </c>
      <c r="D3117" t="s">
        <v>76</v>
      </c>
      <c r="E3117" s="2">
        <v>39848</v>
      </c>
      <c r="F3117" t="str">
        <f>"9780080915241"</f>
        <v>9780080915241</v>
      </c>
      <c r="G3117" t="str">
        <f>"9780080557434"</f>
        <v>9780080557434</v>
      </c>
      <c r="H3117" t="s">
        <v>60</v>
      </c>
      <c r="I3117">
        <v>658</v>
      </c>
      <c r="J3117" t="s">
        <v>6413</v>
      </c>
      <c r="K3117" t="s">
        <v>44</v>
      </c>
      <c r="N3117" t="s">
        <v>45</v>
      </c>
      <c r="O3117" t="s">
        <v>46</v>
      </c>
      <c r="P3117" t="s">
        <v>45</v>
      </c>
      <c r="Q3117" t="s">
        <v>47</v>
      </c>
      <c r="R3117" t="s">
        <v>44</v>
      </c>
      <c r="S3117">
        <v>0</v>
      </c>
      <c r="W3117" s="3">
        <v>1.8518518518518518E-4</v>
      </c>
      <c r="X3117" t="s">
        <v>6414</v>
      </c>
      <c r="Y3117">
        <v>3</v>
      </c>
      <c r="Z3117">
        <v>0</v>
      </c>
      <c r="AA3117" t="s">
        <v>49</v>
      </c>
      <c r="AB3117">
        <v>0</v>
      </c>
      <c r="AC3117" t="s">
        <v>49</v>
      </c>
      <c r="AD3117">
        <v>0</v>
      </c>
      <c r="AE3117">
        <v>10344507</v>
      </c>
      <c r="AF3117" t="s">
        <v>50</v>
      </c>
      <c r="AG3117" t="s">
        <v>6415</v>
      </c>
    </row>
    <row r="3118" spans="1:33" x14ac:dyDescent="0.35">
      <c r="A3118" s="1">
        <v>44758.722222222219</v>
      </c>
      <c r="B3118">
        <v>4083334</v>
      </c>
      <c r="C3118" t="s">
        <v>6416</v>
      </c>
      <c r="D3118" t="s">
        <v>125</v>
      </c>
      <c r="E3118" s="2">
        <v>42373</v>
      </c>
      <c r="F3118" t="str">
        <f>"9780191063725"</f>
        <v>9780191063725</v>
      </c>
      <c r="G3118" t="str">
        <f>"9780198746850"</f>
        <v>9780198746850</v>
      </c>
      <c r="H3118" t="s">
        <v>585</v>
      </c>
      <c r="I3118">
        <v>530.09</v>
      </c>
      <c r="J3118" t="s">
        <v>6417</v>
      </c>
      <c r="K3118" t="s">
        <v>44</v>
      </c>
      <c r="N3118" t="s">
        <v>45</v>
      </c>
      <c r="O3118" t="s">
        <v>46</v>
      </c>
      <c r="P3118" t="s">
        <v>45</v>
      </c>
      <c r="Q3118" t="s">
        <v>47</v>
      </c>
      <c r="R3118" t="s">
        <v>44</v>
      </c>
      <c r="S3118">
        <v>0</v>
      </c>
      <c r="W3118" s="3">
        <v>1.6203703703703703E-4</v>
      </c>
      <c r="X3118" t="s">
        <v>593</v>
      </c>
      <c r="Y3118">
        <v>2</v>
      </c>
      <c r="Z3118">
        <v>0</v>
      </c>
      <c r="AA3118" t="s">
        <v>49</v>
      </c>
      <c r="AB3118">
        <v>0</v>
      </c>
      <c r="AC3118" t="s">
        <v>49</v>
      </c>
      <c r="AD3118">
        <v>0</v>
      </c>
      <c r="AE3118">
        <v>11118528</v>
      </c>
      <c r="AF3118" t="s">
        <v>50</v>
      </c>
      <c r="AG3118" t="s">
        <v>5049</v>
      </c>
    </row>
    <row r="3119" spans="1:33" x14ac:dyDescent="0.35">
      <c r="A3119" s="1">
        <v>44758.640972222223</v>
      </c>
      <c r="B3119">
        <v>6793684</v>
      </c>
      <c r="C3119" t="s">
        <v>6381</v>
      </c>
      <c r="D3119" t="s">
        <v>65</v>
      </c>
      <c r="E3119" s="2">
        <v>44496</v>
      </c>
      <c r="F3119" t="str">
        <f>"9780323900034"</f>
        <v>9780323900034</v>
      </c>
      <c r="G3119" t="str">
        <f>"9780323909914"</f>
        <v>9780323909914</v>
      </c>
      <c r="H3119" t="s">
        <v>261</v>
      </c>
      <c r="I3119">
        <v>628.16200000000003</v>
      </c>
      <c r="J3119" t="s">
        <v>6382</v>
      </c>
      <c r="K3119" t="s">
        <v>55</v>
      </c>
      <c r="N3119" t="s">
        <v>79</v>
      </c>
      <c r="P3119" t="s">
        <v>80</v>
      </c>
      <c r="Q3119" t="s">
        <v>47</v>
      </c>
      <c r="R3119" t="s">
        <v>44</v>
      </c>
      <c r="S3119">
        <v>0</v>
      </c>
      <c r="W3119" s="3">
        <v>1.4722222222222222E-2</v>
      </c>
      <c r="X3119" t="s">
        <v>6418</v>
      </c>
      <c r="Y3119">
        <v>62</v>
      </c>
      <c r="Z3119">
        <v>0</v>
      </c>
      <c r="AA3119" t="s">
        <v>49</v>
      </c>
      <c r="AB3119">
        <v>0</v>
      </c>
      <c r="AC3119" t="s">
        <v>49</v>
      </c>
      <c r="AD3119">
        <v>0</v>
      </c>
      <c r="AE3119">
        <v>-1</v>
      </c>
      <c r="AF3119" t="s">
        <v>50</v>
      </c>
      <c r="AG3119" t="s">
        <v>5049</v>
      </c>
    </row>
    <row r="3120" spans="1:33" x14ac:dyDescent="0.35">
      <c r="A3120" s="1">
        <v>44758.549305555556</v>
      </c>
      <c r="B3120">
        <v>6793684</v>
      </c>
      <c r="C3120" t="s">
        <v>6381</v>
      </c>
      <c r="D3120" t="s">
        <v>65</v>
      </c>
      <c r="E3120" s="2">
        <v>44496</v>
      </c>
      <c r="F3120" t="str">
        <f>"9780323900034"</f>
        <v>9780323900034</v>
      </c>
      <c r="G3120" t="str">
        <f>"9780323909914"</f>
        <v>9780323909914</v>
      </c>
      <c r="H3120" t="s">
        <v>261</v>
      </c>
      <c r="I3120">
        <v>628.16200000000003</v>
      </c>
      <c r="J3120" t="s">
        <v>6382</v>
      </c>
      <c r="K3120" t="s">
        <v>55</v>
      </c>
      <c r="N3120" t="s">
        <v>79</v>
      </c>
      <c r="P3120" t="s">
        <v>80</v>
      </c>
      <c r="Q3120" t="s">
        <v>47</v>
      </c>
      <c r="R3120" t="s">
        <v>44</v>
      </c>
      <c r="S3120">
        <v>0</v>
      </c>
      <c r="W3120" s="3">
        <v>2.2928240740740739E-2</v>
      </c>
      <c r="X3120" t="s">
        <v>6419</v>
      </c>
      <c r="Y3120">
        <v>12</v>
      </c>
      <c r="Z3120">
        <v>0</v>
      </c>
      <c r="AA3120" t="s">
        <v>49</v>
      </c>
      <c r="AB3120">
        <v>0</v>
      </c>
      <c r="AC3120" t="s">
        <v>49</v>
      </c>
      <c r="AD3120">
        <v>0</v>
      </c>
      <c r="AE3120">
        <v>-1</v>
      </c>
      <c r="AF3120" t="s">
        <v>50</v>
      </c>
      <c r="AG3120" t="s">
        <v>5049</v>
      </c>
    </row>
    <row r="3121" spans="1:33" x14ac:dyDescent="0.35">
      <c r="A3121" s="1">
        <v>44758.404861111114</v>
      </c>
      <c r="B3121">
        <v>535109</v>
      </c>
      <c r="C3121" t="s">
        <v>6412</v>
      </c>
      <c r="D3121" t="s">
        <v>76</v>
      </c>
      <c r="E3121" s="2">
        <v>39848</v>
      </c>
      <c r="F3121" t="str">
        <f>"9780080915241"</f>
        <v>9780080915241</v>
      </c>
      <c r="G3121" t="str">
        <f>"9780080557434"</f>
        <v>9780080557434</v>
      </c>
      <c r="H3121" t="s">
        <v>60</v>
      </c>
      <c r="I3121">
        <v>658</v>
      </c>
      <c r="J3121" t="s">
        <v>6413</v>
      </c>
      <c r="K3121" t="s">
        <v>44</v>
      </c>
      <c r="N3121" t="s">
        <v>45</v>
      </c>
      <c r="O3121" t="s">
        <v>46</v>
      </c>
      <c r="P3121" t="s">
        <v>45</v>
      </c>
      <c r="Q3121" t="s">
        <v>47</v>
      </c>
      <c r="R3121" t="s">
        <v>44</v>
      </c>
      <c r="S3121">
        <v>0</v>
      </c>
      <c r="W3121" s="3">
        <v>3.0381944444444444E-2</v>
      </c>
      <c r="X3121" t="s">
        <v>6420</v>
      </c>
      <c r="Y3121">
        <v>53</v>
      </c>
      <c r="Z3121">
        <v>0</v>
      </c>
      <c r="AA3121" t="s">
        <v>49</v>
      </c>
      <c r="AB3121">
        <v>0</v>
      </c>
      <c r="AC3121" t="s">
        <v>6421</v>
      </c>
      <c r="AD3121">
        <v>4</v>
      </c>
      <c r="AE3121">
        <v>10344507</v>
      </c>
      <c r="AF3121" t="s">
        <v>50</v>
      </c>
      <c r="AG3121" t="s">
        <v>5049</v>
      </c>
    </row>
    <row r="3122" spans="1:33" x14ac:dyDescent="0.35">
      <c r="A3122" s="1">
        <v>44758.292361111111</v>
      </c>
      <c r="B3122">
        <v>535109</v>
      </c>
      <c r="C3122" t="s">
        <v>6412</v>
      </c>
      <c r="D3122" t="s">
        <v>76</v>
      </c>
      <c r="E3122" s="2">
        <v>39848</v>
      </c>
      <c r="F3122" t="str">
        <f>"9780080915241"</f>
        <v>9780080915241</v>
      </c>
      <c r="G3122" t="str">
        <f>"9780080557434"</f>
        <v>9780080557434</v>
      </c>
      <c r="H3122" t="s">
        <v>60</v>
      </c>
      <c r="I3122">
        <v>658</v>
      </c>
      <c r="J3122" t="s">
        <v>6413</v>
      </c>
      <c r="K3122" t="s">
        <v>44</v>
      </c>
      <c r="N3122" t="s">
        <v>45</v>
      </c>
      <c r="O3122" t="s">
        <v>46</v>
      </c>
      <c r="P3122" t="s">
        <v>45</v>
      </c>
      <c r="Q3122" t="s">
        <v>47</v>
      </c>
      <c r="R3122" t="s">
        <v>44</v>
      </c>
      <c r="S3122">
        <v>0</v>
      </c>
      <c r="W3122" s="3">
        <v>6.2048611111111117E-2</v>
      </c>
      <c r="X3122" t="s">
        <v>6422</v>
      </c>
      <c r="Y3122">
        <v>52</v>
      </c>
      <c r="Z3122">
        <v>0</v>
      </c>
      <c r="AA3122" t="s">
        <v>49</v>
      </c>
      <c r="AB3122">
        <v>0</v>
      </c>
      <c r="AC3122" t="s">
        <v>6423</v>
      </c>
      <c r="AD3122">
        <v>4</v>
      </c>
      <c r="AE3122">
        <v>10344507</v>
      </c>
      <c r="AF3122" t="s">
        <v>50</v>
      </c>
      <c r="AG3122" t="s">
        <v>5049</v>
      </c>
    </row>
    <row r="3123" spans="1:33" x14ac:dyDescent="0.35">
      <c r="A3123" s="1">
        <v>44757.840277777781</v>
      </c>
      <c r="B3123">
        <v>6231689</v>
      </c>
      <c r="C3123" t="s">
        <v>6378</v>
      </c>
      <c r="D3123" t="s">
        <v>213</v>
      </c>
      <c r="E3123" s="2">
        <v>44001</v>
      </c>
      <c r="F3123" t="str">
        <f>"9780128184769"</f>
        <v>9780128184769</v>
      </c>
      <c r="G3123" t="str">
        <f>"9780128184752"</f>
        <v>9780128184752</v>
      </c>
      <c r="H3123" t="s">
        <v>513</v>
      </c>
      <c r="I3123">
        <v>620.11500000000001</v>
      </c>
      <c r="J3123" t="s">
        <v>6379</v>
      </c>
      <c r="K3123" t="s">
        <v>55</v>
      </c>
      <c r="Q3123" t="s">
        <v>47</v>
      </c>
      <c r="R3123" t="s">
        <v>44</v>
      </c>
      <c r="S3123">
        <v>0</v>
      </c>
      <c r="W3123" s="3">
        <v>3.3333333333333335E-3</v>
      </c>
      <c r="X3123" t="s">
        <v>6424</v>
      </c>
      <c r="Y3123">
        <v>18</v>
      </c>
      <c r="Z3123">
        <v>0</v>
      </c>
      <c r="AA3123" t="s">
        <v>49</v>
      </c>
      <c r="AB3123">
        <v>0</v>
      </c>
      <c r="AC3123" t="s">
        <v>49</v>
      </c>
      <c r="AD3123">
        <v>0</v>
      </c>
      <c r="AE3123">
        <v>-1</v>
      </c>
      <c r="AF3123" t="s">
        <v>50</v>
      </c>
      <c r="AG3123" t="s">
        <v>5767</v>
      </c>
    </row>
    <row r="3124" spans="1:33" x14ac:dyDescent="0.35">
      <c r="A3124" s="1">
        <v>44757.831944444442</v>
      </c>
      <c r="B3124">
        <v>1477522</v>
      </c>
      <c r="C3124" t="s">
        <v>3625</v>
      </c>
      <c r="D3124" t="s">
        <v>2022</v>
      </c>
      <c r="E3124" s="2">
        <v>41542</v>
      </c>
      <c r="F3124" t="str">
        <f>"9781443852760"</f>
        <v>9781443852760</v>
      </c>
      <c r="G3124" t="str">
        <f>"9781443848275"</f>
        <v>9781443848275</v>
      </c>
      <c r="H3124" t="s">
        <v>474</v>
      </c>
      <c r="I3124">
        <v>197</v>
      </c>
      <c r="J3124" t="s">
        <v>3626</v>
      </c>
      <c r="K3124" t="s">
        <v>44</v>
      </c>
      <c r="N3124" t="s">
        <v>45</v>
      </c>
      <c r="O3124" t="s">
        <v>46</v>
      </c>
      <c r="P3124" t="s">
        <v>45</v>
      </c>
      <c r="Q3124" t="s">
        <v>47</v>
      </c>
      <c r="R3124" t="s">
        <v>44</v>
      </c>
      <c r="S3124">
        <v>0</v>
      </c>
      <c r="W3124" s="3">
        <v>6.9444444444444444E-5</v>
      </c>
      <c r="X3124" t="s">
        <v>121</v>
      </c>
      <c r="Y3124">
        <v>1</v>
      </c>
      <c r="Z3124">
        <v>0</v>
      </c>
      <c r="AA3124" t="s">
        <v>49</v>
      </c>
      <c r="AB3124">
        <v>0</v>
      </c>
      <c r="AC3124" t="s">
        <v>49</v>
      </c>
      <c r="AD3124">
        <v>0</v>
      </c>
      <c r="AE3124">
        <v>10778085</v>
      </c>
      <c r="AF3124" t="s">
        <v>50</v>
      </c>
      <c r="AG3124" t="s">
        <v>5049</v>
      </c>
    </row>
    <row r="3125" spans="1:33" x14ac:dyDescent="0.35">
      <c r="A3125" s="1">
        <v>44757.762499999997</v>
      </c>
      <c r="B3125">
        <v>535109</v>
      </c>
      <c r="C3125" t="s">
        <v>6412</v>
      </c>
      <c r="D3125" t="s">
        <v>76</v>
      </c>
      <c r="E3125" s="2">
        <v>39848</v>
      </c>
      <c r="F3125" t="str">
        <f>"9780080915241"</f>
        <v>9780080915241</v>
      </c>
      <c r="G3125" t="str">
        <f>"9780080557434"</f>
        <v>9780080557434</v>
      </c>
      <c r="H3125" t="s">
        <v>60</v>
      </c>
      <c r="I3125">
        <v>658</v>
      </c>
      <c r="J3125" t="s">
        <v>6413</v>
      </c>
      <c r="K3125" t="s">
        <v>44</v>
      </c>
      <c r="N3125" t="s">
        <v>45</v>
      </c>
      <c r="O3125" t="s">
        <v>46</v>
      </c>
      <c r="P3125" t="s">
        <v>45</v>
      </c>
      <c r="Q3125" t="s">
        <v>47</v>
      </c>
      <c r="R3125" t="s">
        <v>44</v>
      </c>
      <c r="S3125">
        <v>0</v>
      </c>
      <c r="W3125" s="3">
        <v>1.3715277777777778E-2</v>
      </c>
      <c r="X3125" t="s">
        <v>6425</v>
      </c>
      <c r="Y3125">
        <v>14</v>
      </c>
      <c r="Z3125">
        <v>0</v>
      </c>
      <c r="AA3125" t="s">
        <v>49</v>
      </c>
      <c r="AB3125">
        <v>0</v>
      </c>
      <c r="AC3125" t="s">
        <v>49</v>
      </c>
      <c r="AD3125">
        <v>0</v>
      </c>
      <c r="AE3125">
        <v>10344507</v>
      </c>
      <c r="AF3125" t="s">
        <v>50</v>
      </c>
      <c r="AG3125" t="s">
        <v>5049</v>
      </c>
    </row>
    <row r="3126" spans="1:33" x14ac:dyDescent="0.35">
      <c r="A3126" s="1">
        <v>44757.6875</v>
      </c>
      <c r="B3126">
        <v>6636015</v>
      </c>
      <c r="C3126" t="s">
        <v>6360</v>
      </c>
      <c r="D3126" t="s">
        <v>71</v>
      </c>
      <c r="E3126" s="2">
        <v>44328</v>
      </c>
      <c r="F3126" t="str">
        <f>"9789811234101"</f>
        <v>9789811234101</v>
      </c>
      <c r="G3126" t="str">
        <f>"9789811234095"</f>
        <v>9789811234095</v>
      </c>
      <c r="H3126" t="s">
        <v>801</v>
      </c>
      <c r="I3126" t="s">
        <v>6361</v>
      </c>
      <c r="J3126" t="s">
        <v>6362</v>
      </c>
      <c r="K3126" t="s">
        <v>55</v>
      </c>
      <c r="N3126" t="s">
        <v>79</v>
      </c>
      <c r="P3126" t="s">
        <v>80</v>
      </c>
      <c r="Q3126" t="s">
        <v>47</v>
      </c>
      <c r="R3126" t="s">
        <v>44</v>
      </c>
      <c r="S3126">
        <v>0</v>
      </c>
      <c r="W3126" s="3">
        <v>6.9444444444444444E-5</v>
      </c>
      <c r="X3126" t="s">
        <v>121</v>
      </c>
      <c r="Y3126">
        <v>1</v>
      </c>
      <c r="Z3126">
        <v>0</v>
      </c>
      <c r="AA3126" t="s">
        <v>49</v>
      </c>
      <c r="AB3126">
        <v>0</v>
      </c>
      <c r="AC3126" t="s">
        <v>49</v>
      </c>
      <c r="AD3126">
        <v>0</v>
      </c>
      <c r="AE3126">
        <v>-1</v>
      </c>
      <c r="AF3126" t="s">
        <v>50</v>
      </c>
      <c r="AG3126" t="s">
        <v>5049</v>
      </c>
    </row>
    <row r="3127" spans="1:33" x14ac:dyDescent="0.35">
      <c r="A3127" s="1">
        <v>44757.479166666664</v>
      </c>
      <c r="B3127">
        <v>4939408</v>
      </c>
      <c r="C3127" t="s">
        <v>6426</v>
      </c>
      <c r="D3127" t="s">
        <v>59</v>
      </c>
      <c r="E3127" s="2">
        <v>43073</v>
      </c>
      <c r="F3127" t="str">
        <f>"9783527340002"</f>
        <v>9783527340002</v>
      </c>
      <c r="G3127" t="str">
        <f>"9783527339990"</f>
        <v>9783527339990</v>
      </c>
      <c r="H3127" t="s">
        <v>1040</v>
      </c>
      <c r="I3127">
        <v>541.37199999999996</v>
      </c>
      <c r="J3127" t="s">
        <v>6427</v>
      </c>
      <c r="K3127" t="s">
        <v>44</v>
      </c>
      <c r="N3127" t="s">
        <v>45</v>
      </c>
      <c r="O3127" t="s">
        <v>46</v>
      </c>
      <c r="P3127" t="s">
        <v>45</v>
      </c>
      <c r="Q3127" t="s">
        <v>47</v>
      </c>
      <c r="R3127" t="s">
        <v>44</v>
      </c>
      <c r="S3127">
        <v>0</v>
      </c>
      <c r="W3127" s="3">
        <v>1.6782407407407406E-3</v>
      </c>
      <c r="X3127" t="s">
        <v>6428</v>
      </c>
      <c r="Y3127">
        <v>10</v>
      </c>
      <c r="Z3127">
        <v>1</v>
      </c>
      <c r="AA3127" t="s">
        <v>6429</v>
      </c>
      <c r="AB3127">
        <v>28</v>
      </c>
      <c r="AC3127" t="s">
        <v>49</v>
      </c>
      <c r="AD3127">
        <v>0</v>
      </c>
      <c r="AE3127">
        <v>11421654</v>
      </c>
      <c r="AF3127" t="s">
        <v>50</v>
      </c>
      <c r="AG3127" t="s">
        <v>5049</v>
      </c>
    </row>
    <row r="3128" spans="1:33" x14ac:dyDescent="0.35">
      <c r="A3128" s="1">
        <v>44757.418749999997</v>
      </c>
      <c r="B3128">
        <v>487786</v>
      </c>
      <c r="C3128" t="s">
        <v>6430</v>
      </c>
      <c r="D3128" t="s">
        <v>146</v>
      </c>
      <c r="E3128" s="2">
        <v>40118</v>
      </c>
      <c r="F3128" t="str">
        <f>"9780335239900"</f>
        <v>9780335239900</v>
      </c>
      <c r="G3128" t="str">
        <f>"9780335237272"</f>
        <v>9780335237272</v>
      </c>
      <c r="H3128" t="s">
        <v>1069</v>
      </c>
      <c r="I3128">
        <v>808.06600000000003</v>
      </c>
      <c r="K3128" t="s">
        <v>44</v>
      </c>
      <c r="N3128" t="s">
        <v>45</v>
      </c>
      <c r="O3128" t="s">
        <v>46</v>
      </c>
      <c r="P3128" t="s">
        <v>45</v>
      </c>
      <c r="Q3128" t="s">
        <v>47</v>
      </c>
      <c r="R3128" t="s">
        <v>44</v>
      </c>
      <c r="S3128">
        <v>0</v>
      </c>
      <c r="W3128" s="3">
        <v>0</v>
      </c>
      <c r="X3128" t="s">
        <v>49</v>
      </c>
      <c r="Y3128">
        <v>0</v>
      </c>
      <c r="Z3128">
        <v>0</v>
      </c>
      <c r="AA3128" t="s">
        <v>49</v>
      </c>
      <c r="AB3128">
        <v>0</v>
      </c>
      <c r="AC3128" t="s">
        <v>49</v>
      </c>
      <c r="AD3128">
        <v>0</v>
      </c>
      <c r="AE3128">
        <v>10394839</v>
      </c>
      <c r="AF3128" t="s">
        <v>50</v>
      </c>
      <c r="AG3128" t="s">
        <v>5049</v>
      </c>
    </row>
    <row r="3129" spans="1:33" x14ac:dyDescent="0.35">
      <c r="A3129" s="1">
        <v>44757.418749999997</v>
      </c>
      <c r="B3129">
        <v>4710217</v>
      </c>
      <c r="C3129" t="s">
        <v>6431</v>
      </c>
      <c r="D3129" t="s">
        <v>424</v>
      </c>
      <c r="E3129" s="2">
        <v>42636</v>
      </c>
      <c r="F3129" t="str">
        <f>"9781475824803"</f>
        <v>9781475824803</v>
      </c>
      <c r="G3129" t="str">
        <f>"9781475824797"</f>
        <v>9781475824797</v>
      </c>
      <c r="H3129" t="s">
        <v>3476</v>
      </c>
      <c r="I3129">
        <v>808.04207120000001</v>
      </c>
      <c r="J3129" t="s">
        <v>6432</v>
      </c>
      <c r="K3129" t="s">
        <v>44</v>
      </c>
      <c r="N3129" t="s">
        <v>45</v>
      </c>
      <c r="O3129" t="s">
        <v>46</v>
      </c>
      <c r="P3129" t="s">
        <v>45</v>
      </c>
      <c r="Q3129" t="s">
        <v>47</v>
      </c>
      <c r="R3129" t="s">
        <v>44</v>
      </c>
      <c r="S3129">
        <v>0</v>
      </c>
      <c r="W3129" s="3">
        <v>0</v>
      </c>
      <c r="X3129" t="s">
        <v>49</v>
      </c>
      <c r="Y3129">
        <v>0</v>
      </c>
      <c r="Z3129">
        <v>0</v>
      </c>
      <c r="AA3129" t="s">
        <v>49</v>
      </c>
      <c r="AB3129">
        <v>0</v>
      </c>
      <c r="AC3129" t="s">
        <v>49</v>
      </c>
      <c r="AD3129">
        <v>0</v>
      </c>
      <c r="AE3129">
        <v>11276344</v>
      </c>
      <c r="AF3129" t="s">
        <v>50</v>
      </c>
      <c r="AG3129" t="s">
        <v>5049</v>
      </c>
    </row>
    <row r="3130" spans="1:33" x14ac:dyDescent="0.35">
      <c r="A3130" s="1">
        <v>44756.645138888889</v>
      </c>
      <c r="B3130">
        <v>1360805</v>
      </c>
      <c r="C3130" t="s">
        <v>6433</v>
      </c>
      <c r="D3130" t="s">
        <v>59</v>
      </c>
      <c r="E3130" s="2">
        <v>41575</v>
      </c>
      <c r="F3130" t="str">
        <f>"9781118654378"</f>
        <v>9781118654378</v>
      </c>
      <c r="G3130" t="str">
        <f>"9780470655931"</f>
        <v>9780470655931</v>
      </c>
      <c r="H3130" t="s">
        <v>712</v>
      </c>
      <c r="I3130">
        <v>343.73078623999999</v>
      </c>
      <c r="J3130" t="s">
        <v>6434</v>
      </c>
      <c r="K3130" t="s">
        <v>44</v>
      </c>
      <c r="N3130" t="s">
        <v>45</v>
      </c>
      <c r="O3130" t="s">
        <v>46</v>
      </c>
      <c r="P3130" t="s">
        <v>45</v>
      </c>
      <c r="Q3130" t="s">
        <v>47</v>
      </c>
      <c r="R3130" t="s">
        <v>44</v>
      </c>
      <c r="S3130">
        <v>0</v>
      </c>
      <c r="W3130" s="3">
        <v>1.1111111111111111E-3</v>
      </c>
      <c r="X3130" t="s">
        <v>6435</v>
      </c>
      <c r="Y3130">
        <v>6</v>
      </c>
      <c r="Z3130">
        <v>0</v>
      </c>
      <c r="AA3130" t="s">
        <v>49</v>
      </c>
      <c r="AB3130">
        <v>0</v>
      </c>
      <c r="AC3130" t="s">
        <v>49</v>
      </c>
      <c r="AD3130">
        <v>0</v>
      </c>
      <c r="AE3130">
        <v>10753413</v>
      </c>
      <c r="AF3130" t="s">
        <v>50</v>
      </c>
      <c r="AG3130" t="s">
        <v>6436</v>
      </c>
    </row>
    <row r="3131" spans="1:33" x14ac:dyDescent="0.35">
      <c r="A3131" s="1">
        <v>44756.624305555553</v>
      </c>
      <c r="B3131">
        <v>4710217</v>
      </c>
      <c r="C3131" t="s">
        <v>6431</v>
      </c>
      <c r="D3131" t="s">
        <v>424</v>
      </c>
      <c r="E3131" s="2">
        <v>42636</v>
      </c>
      <c r="F3131" t="str">
        <f>"9781475824803"</f>
        <v>9781475824803</v>
      </c>
      <c r="G3131" t="str">
        <f>"9781475824797"</f>
        <v>9781475824797</v>
      </c>
      <c r="H3131" t="s">
        <v>3476</v>
      </c>
      <c r="I3131">
        <v>808.04207120000001</v>
      </c>
      <c r="J3131" t="s">
        <v>6432</v>
      </c>
      <c r="K3131" t="s">
        <v>44</v>
      </c>
      <c r="N3131" t="s">
        <v>45</v>
      </c>
      <c r="O3131" t="s">
        <v>46</v>
      </c>
      <c r="P3131" t="s">
        <v>45</v>
      </c>
      <c r="Q3131" t="s">
        <v>47</v>
      </c>
      <c r="R3131" t="s">
        <v>44</v>
      </c>
      <c r="S3131">
        <v>0</v>
      </c>
      <c r="W3131" s="3">
        <v>9.4675925925925917E-3</v>
      </c>
      <c r="X3131" t="s">
        <v>6437</v>
      </c>
      <c r="Y3131">
        <v>9</v>
      </c>
      <c r="Z3131">
        <v>0</v>
      </c>
      <c r="AA3131" t="s">
        <v>49</v>
      </c>
      <c r="AB3131">
        <v>0</v>
      </c>
      <c r="AC3131" t="s">
        <v>49</v>
      </c>
      <c r="AD3131">
        <v>0</v>
      </c>
      <c r="AE3131">
        <v>11276344</v>
      </c>
      <c r="AF3131" t="s">
        <v>50</v>
      </c>
      <c r="AG3131" t="s">
        <v>5049</v>
      </c>
    </row>
    <row r="3132" spans="1:33" x14ac:dyDescent="0.35">
      <c r="A3132" s="1">
        <v>44756.623611111114</v>
      </c>
      <c r="B3132">
        <v>487786</v>
      </c>
      <c r="C3132" t="s">
        <v>6430</v>
      </c>
      <c r="D3132" t="s">
        <v>146</v>
      </c>
      <c r="E3132" s="2">
        <v>40118</v>
      </c>
      <c r="F3132" t="str">
        <f>"9780335239900"</f>
        <v>9780335239900</v>
      </c>
      <c r="G3132" t="str">
        <f>"9780335237272"</f>
        <v>9780335237272</v>
      </c>
      <c r="H3132" t="s">
        <v>1069</v>
      </c>
      <c r="I3132">
        <v>808.06600000000003</v>
      </c>
      <c r="K3132" t="s">
        <v>44</v>
      </c>
      <c r="N3132" t="s">
        <v>45</v>
      </c>
      <c r="O3132" t="s">
        <v>46</v>
      </c>
      <c r="P3132" t="s">
        <v>45</v>
      </c>
      <c r="Q3132" t="s">
        <v>47</v>
      </c>
      <c r="R3132" t="s">
        <v>44</v>
      </c>
      <c r="S3132">
        <v>0</v>
      </c>
      <c r="W3132" s="3">
        <v>1.0081018518518519E-2</v>
      </c>
      <c r="X3132" t="s">
        <v>6438</v>
      </c>
      <c r="Y3132">
        <v>19</v>
      </c>
      <c r="Z3132">
        <v>0</v>
      </c>
      <c r="AA3132" t="s">
        <v>49</v>
      </c>
      <c r="AB3132">
        <v>0</v>
      </c>
      <c r="AC3132" t="s">
        <v>49</v>
      </c>
      <c r="AD3132">
        <v>0</v>
      </c>
      <c r="AE3132">
        <v>10394839</v>
      </c>
      <c r="AF3132" t="s">
        <v>50</v>
      </c>
      <c r="AG3132" t="s">
        <v>5049</v>
      </c>
    </row>
    <row r="3133" spans="1:33" x14ac:dyDescent="0.35">
      <c r="A3133" s="1">
        <v>44756.609027777777</v>
      </c>
      <c r="B3133">
        <v>6793684</v>
      </c>
      <c r="C3133" t="s">
        <v>6381</v>
      </c>
      <c r="D3133" t="s">
        <v>65</v>
      </c>
      <c r="E3133" s="2">
        <v>44496</v>
      </c>
      <c r="F3133" t="str">
        <f>"9780323900034"</f>
        <v>9780323900034</v>
      </c>
      <c r="G3133" t="str">
        <f>"9780323909914"</f>
        <v>9780323909914</v>
      </c>
      <c r="H3133" t="s">
        <v>261</v>
      </c>
      <c r="I3133">
        <v>628.16200000000003</v>
      </c>
      <c r="J3133" t="s">
        <v>6382</v>
      </c>
      <c r="K3133" t="s">
        <v>55</v>
      </c>
      <c r="N3133" t="s">
        <v>79</v>
      </c>
      <c r="P3133" t="s">
        <v>80</v>
      </c>
      <c r="Q3133" t="s">
        <v>47</v>
      </c>
      <c r="R3133" t="s">
        <v>44</v>
      </c>
      <c r="S3133">
        <v>0</v>
      </c>
      <c r="W3133" s="3">
        <v>3.4722222222222222E-5</v>
      </c>
      <c r="X3133" t="s">
        <v>121</v>
      </c>
      <c r="Y3133">
        <v>1</v>
      </c>
      <c r="Z3133">
        <v>0</v>
      </c>
      <c r="AA3133" t="s">
        <v>49</v>
      </c>
      <c r="AB3133">
        <v>0</v>
      </c>
      <c r="AC3133" t="s">
        <v>49</v>
      </c>
      <c r="AD3133">
        <v>0</v>
      </c>
      <c r="AE3133">
        <v>-1</v>
      </c>
      <c r="AF3133" t="s">
        <v>50</v>
      </c>
      <c r="AG3133" t="s">
        <v>6439</v>
      </c>
    </row>
    <row r="3134" spans="1:33" x14ac:dyDescent="0.35">
      <c r="A3134" s="1">
        <v>44756.578472222223</v>
      </c>
      <c r="B3134">
        <v>6793684</v>
      </c>
      <c r="C3134" t="s">
        <v>6381</v>
      </c>
      <c r="D3134" t="s">
        <v>65</v>
      </c>
      <c r="E3134" s="2">
        <v>44496</v>
      </c>
      <c r="F3134" t="str">
        <f>"9780323900034"</f>
        <v>9780323900034</v>
      </c>
      <c r="G3134" t="str">
        <f>"9780323909914"</f>
        <v>9780323909914</v>
      </c>
      <c r="H3134" t="s">
        <v>261</v>
      </c>
      <c r="I3134">
        <v>628.16200000000003</v>
      </c>
      <c r="J3134" t="s">
        <v>6382</v>
      </c>
      <c r="K3134" t="s">
        <v>55</v>
      </c>
      <c r="N3134" t="s">
        <v>79</v>
      </c>
      <c r="P3134" t="s">
        <v>80</v>
      </c>
      <c r="Q3134" t="s">
        <v>47</v>
      </c>
      <c r="R3134" t="s">
        <v>44</v>
      </c>
      <c r="S3134">
        <v>0</v>
      </c>
      <c r="W3134" s="3">
        <v>9.8379629629629642E-4</v>
      </c>
      <c r="X3134" t="s">
        <v>1693</v>
      </c>
      <c r="Y3134">
        <v>10</v>
      </c>
      <c r="Z3134">
        <v>0</v>
      </c>
      <c r="AA3134" t="s">
        <v>49</v>
      </c>
      <c r="AB3134">
        <v>0</v>
      </c>
      <c r="AC3134" t="s">
        <v>49</v>
      </c>
      <c r="AD3134">
        <v>0</v>
      </c>
      <c r="AE3134">
        <v>-1</v>
      </c>
      <c r="AF3134" t="s">
        <v>50</v>
      </c>
      <c r="AG3134" t="s">
        <v>6440</v>
      </c>
    </row>
    <row r="3135" spans="1:33" x14ac:dyDescent="0.35">
      <c r="A3135" s="1">
        <v>44756.563194444447</v>
      </c>
      <c r="B3135">
        <v>6793684</v>
      </c>
      <c r="C3135" t="s">
        <v>6381</v>
      </c>
      <c r="D3135" t="s">
        <v>65</v>
      </c>
      <c r="E3135" s="2">
        <v>44496</v>
      </c>
      <c r="F3135" t="str">
        <f>"9780323900034"</f>
        <v>9780323900034</v>
      </c>
      <c r="G3135" t="str">
        <f>"9780323909914"</f>
        <v>9780323909914</v>
      </c>
      <c r="H3135" t="s">
        <v>261</v>
      </c>
      <c r="I3135">
        <v>628.16200000000003</v>
      </c>
      <c r="J3135" t="s">
        <v>6382</v>
      </c>
      <c r="K3135" t="s">
        <v>55</v>
      </c>
      <c r="N3135" t="s">
        <v>79</v>
      </c>
      <c r="P3135" t="s">
        <v>80</v>
      </c>
      <c r="Q3135" t="s">
        <v>47</v>
      </c>
      <c r="R3135" t="s">
        <v>44</v>
      </c>
      <c r="S3135">
        <v>0</v>
      </c>
      <c r="W3135" s="3">
        <v>1.4560185185185183E-2</v>
      </c>
      <c r="X3135" t="s">
        <v>6441</v>
      </c>
      <c r="Y3135">
        <v>109</v>
      </c>
      <c r="Z3135">
        <v>0</v>
      </c>
      <c r="AA3135" t="s">
        <v>49</v>
      </c>
      <c r="AB3135">
        <v>0</v>
      </c>
      <c r="AC3135" t="s">
        <v>49</v>
      </c>
      <c r="AD3135">
        <v>0</v>
      </c>
      <c r="AE3135">
        <v>-1</v>
      </c>
      <c r="AF3135" t="s">
        <v>50</v>
      </c>
      <c r="AG3135" t="s">
        <v>5049</v>
      </c>
    </row>
    <row r="3136" spans="1:33" x14ac:dyDescent="0.35">
      <c r="A3136" s="1">
        <v>44756.53125</v>
      </c>
      <c r="B3136">
        <v>6793684</v>
      </c>
      <c r="C3136" t="s">
        <v>6381</v>
      </c>
      <c r="D3136" t="s">
        <v>65</v>
      </c>
      <c r="E3136" s="2">
        <v>44496</v>
      </c>
      <c r="F3136" t="str">
        <f>"9780323900034"</f>
        <v>9780323900034</v>
      </c>
      <c r="G3136" t="str">
        <f>"9780323909914"</f>
        <v>9780323909914</v>
      </c>
      <c r="H3136" t="s">
        <v>261</v>
      </c>
      <c r="I3136">
        <v>628.16200000000003</v>
      </c>
      <c r="J3136" t="s">
        <v>6382</v>
      </c>
      <c r="K3136" t="s">
        <v>55</v>
      </c>
      <c r="N3136" t="s">
        <v>79</v>
      </c>
      <c r="P3136" t="s">
        <v>80</v>
      </c>
      <c r="Q3136" t="s">
        <v>47</v>
      </c>
      <c r="R3136" t="s">
        <v>44</v>
      </c>
      <c r="S3136">
        <v>0</v>
      </c>
      <c r="W3136" s="3">
        <v>5.9143518518518521E-3</v>
      </c>
      <c r="X3136" t="s">
        <v>6442</v>
      </c>
      <c r="Y3136">
        <v>19</v>
      </c>
      <c r="Z3136">
        <v>0</v>
      </c>
      <c r="AA3136" t="s">
        <v>49</v>
      </c>
      <c r="AB3136">
        <v>0</v>
      </c>
      <c r="AC3136" t="s">
        <v>49</v>
      </c>
      <c r="AD3136">
        <v>0</v>
      </c>
      <c r="AE3136">
        <v>-1</v>
      </c>
      <c r="AF3136" t="s">
        <v>50</v>
      </c>
      <c r="AG3136" t="s">
        <v>5049</v>
      </c>
    </row>
    <row r="3137" spans="1:33" x14ac:dyDescent="0.35">
      <c r="A3137" s="1">
        <v>44756.509722222225</v>
      </c>
      <c r="B3137">
        <v>1042470</v>
      </c>
      <c r="C3137" t="s">
        <v>6173</v>
      </c>
      <c r="D3137" t="s">
        <v>502</v>
      </c>
      <c r="E3137" s="2">
        <v>41316</v>
      </c>
      <c r="F3137" t="str">
        <f>"9781139782401"</f>
        <v>9781139782401</v>
      </c>
      <c r="G3137" t="str">
        <f>"9781107009097"</f>
        <v>9781107009097</v>
      </c>
      <c r="H3137" t="s">
        <v>1914</v>
      </c>
      <c r="I3137" t="s">
        <v>6174</v>
      </c>
      <c r="J3137" t="s">
        <v>6175</v>
      </c>
      <c r="K3137" t="s">
        <v>44</v>
      </c>
      <c r="N3137" t="s">
        <v>45</v>
      </c>
      <c r="O3137" t="s">
        <v>46</v>
      </c>
      <c r="P3137" t="s">
        <v>45</v>
      </c>
      <c r="Q3137" t="s">
        <v>47</v>
      </c>
      <c r="R3137" t="s">
        <v>44</v>
      </c>
      <c r="S3137">
        <v>0</v>
      </c>
      <c r="W3137" s="3">
        <v>6.8171296296296287E-3</v>
      </c>
      <c r="X3137" t="s">
        <v>6443</v>
      </c>
      <c r="Y3137">
        <v>39</v>
      </c>
      <c r="Z3137">
        <v>0</v>
      </c>
      <c r="AA3137" t="s">
        <v>49</v>
      </c>
      <c r="AB3137">
        <v>0</v>
      </c>
      <c r="AC3137" t="s">
        <v>49</v>
      </c>
      <c r="AD3137">
        <v>0</v>
      </c>
      <c r="AE3137">
        <v>10752968</v>
      </c>
      <c r="AF3137" t="s">
        <v>50</v>
      </c>
      <c r="AG3137" t="s">
        <v>6444</v>
      </c>
    </row>
    <row r="3138" spans="1:33" x14ac:dyDescent="0.35">
      <c r="A3138" s="1">
        <v>44756.488888888889</v>
      </c>
      <c r="B3138">
        <v>6793684</v>
      </c>
      <c r="C3138" t="s">
        <v>6381</v>
      </c>
      <c r="D3138" t="s">
        <v>65</v>
      </c>
      <c r="E3138" s="2">
        <v>44496</v>
      </c>
      <c r="F3138" t="str">
        <f>"9780323900034"</f>
        <v>9780323900034</v>
      </c>
      <c r="G3138" t="str">
        <f>"9780323909914"</f>
        <v>9780323909914</v>
      </c>
      <c r="H3138" t="s">
        <v>261</v>
      </c>
      <c r="I3138">
        <v>628.16200000000003</v>
      </c>
      <c r="J3138" t="s">
        <v>6382</v>
      </c>
      <c r="K3138" t="s">
        <v>55</v>
      </c>
      <c r="N3138" t="s">
        <v>79</v>
      </c>
      <c r="P3138" t="s">
        <v>80</v>
      </c>
      <c r="Q3138" t="s">
        <v>47</v>
      </c>
      <c r="R3138" t="s">
        <v>44</v>
      </c>
      <c r="S3138">
        <v>0</v>
      </c>
      <c r="W3138" s="3">
        <v>2.199074074074074E-4</v>
      </c>
      <c r="X3138" t="s">
        <v>6445</v>
      </c>
      <c r="Y3138">
        <v>2</v>
      </c>
      <c r="Z3138">
        <v>0</v>
      </c>
      <c r="AA3138" t="s">
        <v>49</v>
      </c>
      <c r="AB3138">
        <v>0</v>
      </c>
      <c r="AC3138" t="s">
        <v>49</v>
      </c>
      <c r="AD3138">
        <v>0</v>
      </c>
      <c r="AE3138">
        <v>-1</v>
      </c>
      <c r="AF3138" t="s">
        <v>50</v>
      </c>
      <c r="AG3138" t="s">
        <v>6439</v>
      </c>
    </row>
    <row r="3139" spans="1:33" x14ac:dyDescent="0.35">
      <c r="A3139" s="1">
        <v>44756.436111111114</v>
      </c>
      <c r="B3139">
        <v>6793684</v>
      </c>
      <c r="C3139" t="s">
        <v>6381</v>
      </c>
      <c r="D3139" t="s">
        <v>65</v>
      </c>
      <c r="E3139" s="2">
        <v>44496</v>
      </c>
      <c r="F3139" t="str">
        <f>"9780323900034"</f>
        <v>9780323900034</v>
      </c>
      <c r="G3139" t="str">
        <f>"9780323909914"</f>
        <v>9780323909914</v>
      </c>
      <c r="H3139" t="s">
        <v>261</v>
      </c>
      <c r="I3139">
        <v>628.16200000000003</v>
      </c>
      <c r="J3139" t="s">
        <v>6382</v>
      </c>
      <c r="K3139" t="s">
        <v>55</v>
      </c>
      <c r="N3139" t="s">
        <v>79</v>
      </c>
      <c r="P3139" t="s">
        <v>80</v>
      </c>
      <c r="Q3139" t="s">
        <v>47</v>
      </c>
      <c r="R3139" t="s">
        <v>44</v>
      </c>
      <c r="S3139">
        <v>0</v>
      </c>
      <c r="W3139" s="3">
        <v>6.0509259259259263E-2</v>
      </c>
      <c r="X3139" t="s">
        <v>6446</v>
      </c>
      <c r="Y3139">
        <v>65</v>
      </c>
      <c r="Z3139">
        <v>0</v>
      </c>
      <c r="AA3139" t="s">
        <v>49</v>
      </c>
      <c r="AB3139">
        <v>0</v>
      </c>
      <c r="AC3139" t="s">
        <v>49</v>
      </c>
      <c r="AD3139">
        <v>0</v>
      </c>
      <c r="AE3139">
        <v>-1</v>
      </c>
      <c r="AF3139" t="s">
        <v>50</v>
      </c>
      <c r="AG3139" t="s">
        <v>5049</v>
      </c>
    </row>
    <row r="3140" spans="1:33" x14ac:dyDescent="0.35">
      <c r="A3140" s="1">
        <v>44755.880555555559</v>
      </c>
      <c r="B3140">
        <v>535109</v>
      </c>
      <c r="C3140" t="s">
        <v>6412</v>
      </c>
      <c r="D3140" t="s">
        <v>76</v>
      </c>
      <c r="E3140" s="2">
        <v>39848</v>
      </c>
      <c r="F3140" t="str">
        <f>"9780080915241"</f>
        <v>9780080915241</v>
      </c>
      <c r="G3140" t="str">
        <f>"9780080557434"</f>
        <v>9780080557434</v>
      </c>
      <c r="H3140" t="s">
        <v>60</v>
      </c>
      <c r="I3140">
        <v>658</v>
      </c>
      <c r="J3140" t="s">
        <v>6413</v>
      </c>
      <c r="K3140" t="s">
        <v>44</v>
      </c>
      <c r="N3140" t="s">
        <v>45</v>
      </c>
      <c r="O3140" t="s">
        <v>46</v>
      </c>
      <c r="P3140" t="s">
        <v>45</v>
      </c>
      <c r="Q3140" t="s">
        <v>47</v>
      </c>
      <c r="R3140" t="s">
        <v>44</v>
      </c>
      <c r="S3140">
        <v>0</v>
      </c>
      <c r="W3140" s="3">
        <v>1.5277777777777779E-3</v>
      </c>
      <c r="X3140" t="s">
        <v>6447</v>
      </c>
      <c r="Y3140">
        <v>12</v>
      </c>
      <c r="Z3140">
        <v>0</v>
      </c>
      <c r="AA3140" t="s">
        <v>49</v>
      </c>
      <c r="AB3140">
        <v>0</v>
      </c>
      <c r="AC3140" t="s">
        <v>49</v>
      </c>
      <c r="AD3140">
        <v>0</v>
      </c>
      <c r="AE3140">
        <v>10344507</v>
      </c>
      <c r="AF3140" t="s">
        <v>50</v>
      </c>
      <c r="AG3140" t="s">
        <v>5049</v>
      </c>
    </row>
    <row r="3141" spans="1:33" x14ac:dyDescent="0.35">
      <c r="A3141" s="1">
        <v>44755.592361111114</v>
      </c>
      <c r="B3141">
        <v>5764314</v>
      </c>
      <c r="C3141" t="s">
        <v>6448</v>
      </c>
      <c r="D3141" t="s">
        <v>65</v>
      </c>
      <c r="E3141" s="2">
        <v>43587</v>
      </c>
      <c r="F3141" t="str">
        <f>"9780128149478"</f>
        <v>9780128149478</v>
      </c>
      <c r="G3141" t="str">
        <f>"9780128149461"</f>
        <v>9780128149461</v>
      </c>
      <c r="H3141" t="s">
        <v>6449</v>
      </c>
      <c r="I3141">
        <v>621.44000000000005</v>
      </c>
      <c r="J3141" t="s">
        <v>6450</v>
      </c>
      <c r="K3141" t="s">
        <v>55</v>
      </c>
      <c r="Q3141" t="s">
        <v>47</v>
      </c>
      <c r="R3141" t="s">
        <v>44</v>
      </c>
      <c r="S3141">
        <v>0</v>
      </c>
      <c r="W3141" s="3">
        <v>1.1921296296296296E-3</v>
      </c>
      <c r="X3141" t="s">
        <v>6451</v>
      </c>
      <c r="Y3141">
        <v>15</v>
      </c>
      <c r="Z3141">
        <v>0</v>
      </c>
      <c r="AA3141" t="s">
        <v>49</v>
      </c>
      <c r="AB3141">
        <v>0</v>
      </c>
      <c r="AC3141" t="s">
        <v>49</v>
      </c>
      <c r="AD3141">
        <v>0</v>
      </c>
      <c r="AE3141">
        <v>-1</v>
      </c>
      <c r="AF3141" t="s">
        <v>50</v>
      </c>
      <c r="AG3141" t="s">
        <v>6436</v>
      </c>
    </row>
    <row r="3142" spans="1:33" x14ac:dyDescent="0.35">
      <c r="A3142" s="1">
        <v>44754.928472222222</v>
      </c>
      <c r="B3142">
        <v>1042470</v>
      </c>
      <c r="C3142" t="s">
        <v>6173</v>
      </c>
      <c r="D3142" t="s">
        <v>502</v>
      </c>
      <c r="E3142" s="2">
        <v>41316</v>
      </c>
      <c r="F3142" t="str">
        <f>"9781139782401"</f>
        <v>9781139782401</v>
      </c>
      <c r="G3142" t="str">
        <f>"9781107009097"</f>
        <v>9781107009097</v>
      </c>
      <c r="H3142" t="s">
        <v>1914</v>
      </c>
      <c r="I3142" t="s">
        <v>6174</v>
      </c>
      <c r="J3142" t="s">
        <v>6175</v>
      </c>
      <c r="K3142" t="s">
        <v>44</v>
      </c>
      <c r="N3142" t="s">
        <v>45</v>
      </c>
      <c r="O3142" t="s">
        <v>46</v>
      </c>
      <c r="P3142" t="s">
        <v>45</v>
      </c>
      <c r="Q3142" t="s">
        <v>47</v>
      </c>
      <c r="R3142" t="s">
        <v>44</v>
      </c>
      <c r="S3142">
        <v>0</v>
      </c>
      <c r="W3142" s="3">
        <v>0</v>
      </c>
      <c r="X3142" t="s">
        <v>49</v>
      </c>
      <c r="Y3142">
        <v>0</v>
      </c>
      <c r="Z3142">
        <v>1</v>
      </c>
      <c r="AA3142" t="s">
        <v>6452</v>
      </c>
      <c r="AB3142">
        <v>14</v>
      </c>
      <c r="AC3142" t="s">
        <v>49</v>
      </c>
      <c r="AD3142">
        <v>0</v>
      </c>
      <c r="AE3142">
        <v>10752968</v>
      </c>
      <c r="AF3142" t="s">
        <v>50</v>
      </c>
      <c r="AG3142" t="s">
        <v>2289</v>
      </c>
    </row>
    <row r="3143" spans="1:33" x14ac:dyDescent="0.35">
      <c r="A3143" s="1">
        <v>44754.667361111111</v>
      </c>
      <c r="B3143">
        <v>698854</v>
      </c>
      <c r="C3143" t="s">
        <v>6453</v>
      </c>
      <c r="D3143" t="s">
        <v>59</v>
      </c>
      <c r="E3143" s="2">
        <v>40505</v>
      </c>
      <c r="F3143" t="str">
        <f>"9781118004715"</f>
        <v>9781118004715</v>
      </c>
      <c r="G3143" t="str">
        <f>"9780470496626"</f>
        <v>9780470496626</v>
      </c>
      <c r="H3143" t="s">
        <v>538</v>
      </c>
      <c r="I3143">
        <v>621.40250000000003</v>
      </c>
      <c r="J3143" t="s">
        <v>6454</v>
      </c>
      <c r="K3143" t="s">
        <v>44</v>
      </c>
      <c r="N3143" t="s">
        <v>45</v>
      </c>
      <c r="O3143" t="s">
        <v>46</v>
      </c>
      <c r="P3143" t="s">
        <v>45</v>
      </c>
      <c r="Q3143" t="s">
        <v>47</v>
      </c>
      <c r="R3143" t="s">
        <v>44</v>
      </c>
      <c r="S3143">
        <v>0</v>
      </c>
      <c r="W3143" s="3">
        <v>1.9791666666666668E-3</v>
      </c>
      <c r="X3143" t="s">
        <v>6455</v>
      </c>
      <c r="Y3143">
        <v>21</v>
      </c>
      <c r="Z3143">
        <v>0</v>
      </c>
      <c r="AA3143" t="s">
        <v>6456</v>
      </c>
      <c r="AB3143">
        <v>93</v>
      </c>
      <c r="AC3143" t="s">
        <v>49</v>
      </c>
      <c r="AD3143">
        <v>0</v>
      </c>
      <c r="AE3143">
        <v>10469651</v>
      </c>
      <c r="AF3143" t="s">
        <v>50</v>
      </c>
      <c r="AG3143" t="s">
        <v>6457</v>
      </c>
    </row>
    <row r="3144" spans="1:33" x14ac:dyDescent="0.35">
      <c r="A3144" s="1">
        <v>44754.606249999997</v>
      </c>
      <c r="B3144">
        <v>547817</v>
      </c>
      <c r="C3144" t="s">
        <v>6458</v>
      </c>
      <c r="D3144" t="s">
        <v>6459</v>
      </c>
      <c r="E3144" s="2">
        <v>39417</v>
      </c>
      <c r="F3144" t="str">
        <f>"9781589014633"</f>
        <v>9781589014633</v>
      </c>
      <c r="G3144" t="str">
        <f>"9781589011847"</f>
        <v>9781589011847</v>
      </c>
      <c r="H3144" t="s">
        <v>162</v>
      </c>
      <c r="I3144" t="s">
        <v>2910</v>
      </c>
      <c r="J3144" t="s">
        <v>6460</v>
      </c>
      <c r="K3144" t="s">
        <v>44</v>
      </c>
      <c r="N3144" t="s">
        <v>45</v>
      </c>
      <c r="O3144" t="s">
        <v>46</v>
      </c>
      <c r="P3144" t="s">
        <v>45</v>
      </c>
      <c r="Q3144" t="s">
        <v>47</v>
      </c>
      <c r="R3144" t="s">
        <v>44</v>
      </c>
      <c r="S3144">
        <v>0</v>
      </c>
      <c r="W3144" s="3">
        <v>4.0115740740740737E-2</v>
      </c>
      <c r="X3144" t="s">
        <v>6461</v>
      </c>
      <c r="Y3144">
        <v>12</v>
      </c>
      <c r="Z3144">
        <v>0</v>
      </c>
      <c r="AA3144" t="s">
        <v>49</v>
      </c>
      <c r="AB3144">
        <v>0</v>
      </c>
      <c r="AC3144" t="s">
        <v>4680</v>
      </c>
      <c r="AD3144">
        <v>1</v>
      </c>
      <c r="AE3144">
        <v>10236729</v>
      </c>
      <c r="AF3144" t="s">
        <v>63</v>
      </c>
      <c r="AG3144" t="s">
        <v>493</v>
      </c>
    </row>
    <row r="3145" spans="1:33" x14ac:dyDescent="0.35">
      <c r="A3145" s="1">
        <v>44754.509027777778</v>
      </c>
      <c r="B3145">
        <v>547817</v>
      </c>
      <c r="C3145" t="s">
        <v>6458</v>
      </c>
      <c r="D3145" t="s">
        <v>6459</v>
      </c>
      <c r="E3145" s="2">
        <v>39417</v>
      </c>
      <c r="F3145" t="str">
        <f>"9781589014633"</f>
        <v>9781589014633</v>
      </c>
      <c r="G3145" t="str">
        <f>"9781589011847"</f>
        <v>9781589011847</v>
      </c>
      <c r="H3145" t="s">
        <v>162</v>
      </c>
      <c r="I3145" t="s">
        <v>2910</v>
      </c>
      <c r="J3145" t="s">
        <v>6460</v>
      </c>
      <c r="K3145" t="s">
        <v>44</v>
      </c>
      <c r="N3145" t="s">
        <v>45</v>
      </c>
      <c r="O3145" t="s">
        <v>46</v>
      </c>
      <c r="P3145" t="s">
        <v>45</v>
      </c>
      <c r="Q3145" t="s">
        <v>47</v>
      </c>
      <c r="R3145" t="s">
        <v>44</v>
      </c>
      <c r="S3145">
        <v>0</v>
      </c>
      <c r="W3145" s="3">
        <v>3.3888888888888885E-2</v>
      </c>
      <c r="X3145" t="s">
        <v>6462</v>
      </c>
      <c r="Y3145">
        <v>12</v>
      </c>
      <c r="Z3145">
        <v>0</v>
      </c>
      <c r="AA3145" t="s">
        <v>49</v>
      </c>
      <c r="AB3145">
        <v>0</v>
      </c>
      <c r="AC3145" t="s">
        <v>6463</v>
      </c>
      <c r="AD3145">
        <v>7</v>
      </c>
      <c r="AE3145">
        <v>10236729</v>
      </c>
      <c r="AF3145" t="s">
        <v>63</v>
      </c>
      <c r="AG3145" t="s">
        <v>493</v>
      </c>
    </row>
    <row r="3146" spans="1:33" x14ac:dyDescent="0.35">
      <c r="A3146" s="1">
        <v>44754.40902777778</v>
      </c>
      <c r="B3146">
        <v>547817</v>
      </c>
      <c r="C3146" t="s">
        <v>6458</v>
      </c>
      <c r="D3146" t="s">
        <v>6459</v>
      </c>
      <c r="E3146" s="2">
        <v>39417</v>
      </c>
      <c r="F3146" t="str">
        <f>"9781589014633"</f>
        <v>9781589014633</v>
      </c>
      <c r="G3146" t="str">
        <f>"9781589011847"</f>
        <v>9781589011847</v>
      </c>
      <c r="H3146" t="s">
        <v>162</v>
      </c>
      <c r="I3146" t="s">
        <v>2910</v>
      </c>
      <c r="J3146" t="s">
        <v>6460</v>
      </c>
      <c r="K3146" t="s">
        <v>44</v>
      </c>
      <c r="N3146" t="s">
        <v>45</v>
      </c>
      <c r="O3146" t="s">
        <v>46</v>
      </c>
      <c r="P3146" t="s">
        <v>45</v>
      </c>
      <c r="Q3146" t="s">
        <v>47</v>
      </c>
      <c r="R3146" t="s">
        <v>44</v>
      </c>
      <c r="S3146">
        <v>0</v>
      </c>
      <c r="W3146" s="3">
        <v>3.4722222222222222E-5</v>
      </c>
      <c r="X3146" t="s">
        <v>121</v>
      </c>
      <c r="Y3146">
        <v>1</v>
      </c>
      <c r="Z3146">
        <v>0</v>
      </c>
      <c r="AA3146" t="s">
        <v>49</v>
      </c>
      <c r="AB3146">
        <v>0</v>
      </c>
      <c r="AC3146" t="s">
        <v>49</v>
      </c>
      <c r="AD3146">
        <v>0</v>
      </c>
      <c r="AE3146">
        <v>10236729</v>
      </c>
      <c r="AF3146" t="s">
        <v>50</v>
      </c>
      <c r="AG3146" t="s">
        <v>3543</v>
      </c>
    </row>
    <row r="3147" spans="1:33" x14ac:dyDescent="0.35">
      <c r="A3147" s="1">
        <v>44754.095833333333</v>
      </c>
      <c r="B3147">
        <v>835416</v>
      </c>
      <c r="C3147" t="s">
        <v>6464</v>
      </c>
      <c r="D3147" t="s">
        <v>1224</v>
      </c>
      <c r="E3147" s="2">
        <v>40900</v>
      </c>
      <c r="F3147" t="str">
        <f>"9783110224016"</f>
        <v>9783110224016</v>
      </c>
      <c r="G3147" t="str">
        <f>"9783110224009"</f>
        <v>9783110224009</v>
      </c>
      <c r="H3147" t="s">
        <v>43</v>
      </c>
      <c r="I3147">
        <v>515.35699999999997</v>
      </c>
      <c r="J3147" t="s">
        <v>6465</v>
      </c>
      <c r="K3147" t="s">
        <v>44</v>
      </c>
      <c r="N3147" t="s">
        <v>45</v>
      </c>
      <c r="O3147" t="s">
        <v>46</v>
      </c>
      <c r="P3147" t="s">
        <v>45</v>
      </c>
      <c r="Q3147" t="s">
        <v>47</v>
      </c>
      <c r="R3147" t="s">
        <v>44</v>
      </c>
      <c r="S3147">
        <v>0</v>
      </c>
      <c r="W3147" s="3">
        <v>2.1539351851851851E-2</v>
      </c>
      <c r="X3147" t="s">
        <v>6466</v>
      </c>
      <c r="Y3147">
        <v>10</v>
      </c>
      <c r="Z3147">
        <v>0</v>
      </c>
      <c r="AA3147" t="s">
        <v>49</v>
      </c>
      <c r="AB3147">
        <v>0</v>
      </c>
      <c r="AC3147" t="s">
        <v>49</v>
      </c>
      <c r="AD3147">
        <v>0</v>
      </c>
      <c r="AE3147">
        <v>10527901</v>
      </c>
      <c r="AF3147" t="s">
        <v>50</v>
      </c>
      <c r="AG3147" t="s">
        <v>6444</v>
      </c>
    </row>
    <row r="3148" spans="1:33" x14ac:dyDescent="0.35">
      <c r="A3148" s="1">
        <v>44754.038888888892</v>
      </c>
      <c r="B3148">
        <v>547817</v>
      </c>
      <c r="C3148" t="s">
        <v>6458</v>
      </c>
      <c r="D3148" t="s">
        <v>6459</v>
      </c>
      <c r="E3148" s="2">
        <v>39417</v>
      </c>
      <c r="F3148" t="str">
        <f>"9781589014633"</f>
        <v>9781589014633</v>
      </c>
      <c r="G3148" t="str">
        <f>"9781589011847"</f>
        <v>9781589011847</v>
      </c>
      <c r="H3148" t="s">
        <v>162</v>
      </c>
      <c r="I3148" t="s">
        <v>2910</v>
      </c>
      <c r="J3148" t="s">
        <v>6460</v>
      </c>
      <c r="K3148" t="s">
        <v>44</v>
      </c>
      <c r="N3148" t="s">
        <v>45</v>
      </c>
      <c r="O3148" t="s">
        <v>46</v>
      </c>
      <c r="P3148" t="s">
        <v>45</v>
      </c>
      <c r="Q3148" t="s">
        <v>47</v>
      </c>
      <c r="R3148" t="s">
        <v>44</v>
      </c>
      <c r="S3148">
        <v>0</v>
      </c>
      <c r="W3148" s="3">
        <v>2.8645833333333332E-2</v>
      </c>
      <c r="X3148" t="s">
        <v>6467</v>
      </c>
      <c r="Y3148">
        <v>17</v>
      </c>
      <c r="Z3148">
        <v>0</v>
      </c>
      <c r="AA3148" t="s">
        <v>49</v>
      </c>
      <c r="AB3148">
        <v>0</v>
      </c>
      <c r="AC3148" t="s">
        <v>6468</v>
      </c>
      <c r="AD3148">
        <v>6</v>
      </c>
      <c r="AE3148">
        <v>10236729</v>
      </c>
      <c r="AF3148" t="s">
        <v>63</v>
      </c>
      <c r="AG3148" t="s">
        <v>493</v>
      </c>
    </row>
    <row r="3149" spans="1:33" x14ac:dyDescent="0.35">
      <c r="A3149" s="1">
        <v>44754.020138888889</v>
      </c>
      <c r="B3149">
        <v>547817</v>
      </c>
      <c r="C3149" t="s">
        <v>6458</v>
      </c>
      <c r="D3149" t="s">
        <v>6459</v>
      </c>
      <c r="E3149" s="2">
        <v>39417</v>
      </c>
      <c r="F3149" t="str">
        <f>"9781589014633"</f>
        <v>9781589014633</v>
      </c>
      <c r="G3149" t="str">
        <f>"9781589011847"</f>
        <v>9781589011847</v>
      </c>
      <c r="H3149" t="s">
        <v>162</v>
      </c>
      <c r="I3149" t="s">
        <v>2910</v>
      </c>
      <c r="J3149" t="s">
        <v>6460</v>
      </c>
      <c r="K3149" t="s">
        <v>44</v>
      </c>
      <c r="N3149" t="s">
        <v>45</v>
      </c>
      <c r="O3149" t="s">
        <v>46</v>
      </c>
      <c r="P3149" t="s">
        <v>45</v>
      </c>
      <c r="Q3149" t="s">
        <v>47</v>
      </c>
      <c r="R3149" t="s">
        <v>44</v>
      </c>
      <c r="S3149">
        <v>0</v>
      </c>
      <c r="W3149" s="3">
        <v>3.4490740740740745E-3</v>
      </c>
      <c r="X3149" t="s">
        <v>6469</v>
      </c>
      <c r="Y3149">
        <v>11</v>
      </c>
      <c r="Z3149">
        <v>0</v>
      </c>
      <c r="AA3149" t="s">
        <v>49</v>
      </c>
      <c r="AB3149">
        <v>0</v>
      </c>
      <c r="AC3149" t="s">
        <v>49</v>
      </c>
      <c r="AD3149">
        <v>0</v>
      </c>
      <c r="AE3149">
        <v>10236729</v>
      </c>
      <c r="AF3149" t="s">
        <v>50</v>
      </c>
      <c r="AG3149" t="s">
        <v>3543</v>
      </c>
    </row>
    <row r="3150" spans="1:33" x14ac:dyDescent="0.35">
      <c r="A3150" s="1">
        <v>44753.938194444447</v>
      </c>
      <c r="B3150">
        <v>487343</v>
      </c>
      <c r="C3150" t="s">
        <v>6470</v>
      </c>
      <c r="D3150" t="s">
        <v>502</v>
      </c>
      <c r="E3150" s="2">
        <v>40189</v>
      </c>
      <c r="F3150" t="str">
        <f>"9780511672392"</f>
        <v>9780511672392</v>
      </c>
      <c r="G3150" t="str">
        <f>"9780521884891"</f>
        <v>9780521884891</v>
      </c>
      <c r="H3150" t="s">
        <v>1112</v>
      </c>
      <c r="I3150" t="s">
        <v>6471</v>
      </c>
      <c r="J3150" t="s">
        <v>6472</v>
      </c>
      <c r="K3150" t="s">
        <v>44</v>
      </c>
      <c r="N3150" t="s">
        <v>45</v>
      </c>
      <c r="O3150" t="s">
        <v>46</v>
      </c>
      <c r="P3150" t="s">
        <v>45</v>
      </c>
      <c r="Q3150" t="s">
        <v>47</v>
      </c>
      <c r="R3150" t="s">
        <v>44</v>
      </c>
      <c r="S3150">
        <v>1</v>
      </c>
      <c r="W3150" s="3">
        <v>0</v>
      </c>
      <c r="X3150" t="s">
        <v>49</v>
      </c>
      <c r="Y3150">
        <v>0</v>
      </c>
      <c r="Z3150">
        <v>0</v>
      </c>
      <c r="AA3150" t="s">
        <v>49</v>
      </c>
      <c r="AB3150">
        <v>0</v>
      </c>
      <c r="AC3150" t="s">
        <v>49</v>
      </c>
      <c r="AD3150">
        <v>0</v>
      </c>
      <c r="AE3150">
        <v>10367194</v>
      </c>
      <c r="AF3150" t="s">
        <v>63</v>
      </c>
      <c r="AG3150" t="s">
        <v>5049</v>
      </c>
    </row>
    <row r="3151" spans="1:33" x14ac:dyDescent="0.35">
      <c r="A3151" s="1">
        <v>44753.925694444442</v>
      </c>
      <c r="B3151">
        <v>535109</v>
      </c>
      <c r="C3151" t="s">
        <v>6412</v>
      </c>
      <c r="D3151" t="s">
        <v>76</v>
      </c>
      <c r="E3151" s="2">
        <v>39848</v>
      </c>
      <c r="F3151" t="str">
        <f>"9780080915241"</f>
        <v>9780080915241</v>
      </c>
      <c r="G3151" t="str">
        <f>"9780080557434"</f>
        <v>9780080557434</v>
      </c>
      <c r="H3151" t="s">
        <v>60</v>
      </c>
      <c r="I3151">
        <v>658</v>
      </c>
      <c r="J3151" t="s">
        <v>6413</v>
      </c>
      <c r="K3151" t="s">
        <v>44</v>
      </c>
      <c r="N3151" t="s">
        <v>45</v>
      </c>
      <c r="O3151" t="s">
        <v>46</v>
      </c>
      <c r="P3151" t="s">
        <v>45</v>
      </c>
      <c r="Q3151" t="s">
        <v>47</v>
      </c>
      <c r="R3151" t="s">
        <v>44</v>
      </c>
      <c r="S3151">
        <v>0</v>
      </c>
      <c r="W3151" s="3">
        <v>3.9351851851851852E-4</v>
      </c>
      <c r="X3151" t="s">
        <v>6473</v>
      </c>
      <c r="Y3151">
        <v>3</v>
      </c>
      <c r="Z3151">
        <v>0</v>
      </c>
      <c r="AA3151" t="s">
        <v>49</v>
      </c>
      <c r="AB3151">
        <v>0</v>
      </c>
      <c r="AC3151" t="s">
        <v>6474</v>
      </c>
      <c r="AD3151">
        <v>1</v>
      </c>
      <c r="AE3151">
        <v>10344507</v>
      </c>
      <c r="AF3151" t="s">
        <v>50</v>
      </c>
      <c r="AG3151" t="s">
        <v>5049</v>
      </c>
    </row>
    <row r="3152" spans="1:33" x14ac:dyDescent="0.35">
      <c r="A3152" s="1">
        <v>44753.893750000003</v>
      </c>
      <c r="B3152">
        <v>945533</v>
      </c>
      <c r="C3152" t="s">
        <v>6475</v>
      </c>
      <c r="D3152" t="s">
        <v>1922</v>
      </c>
      <c r="E3152" s="2">
        <v>40935</v>
      </c>
      <c r="F3152" t="str">
        <f>"9780857721464"</f>
        <v>9780857721464</v>
      </c>
      <c r="G3152" t="str">
        <f>"9781780761312"</f>
        <v>9781780761312</v>
      </c>
      <c r="H3152" t="s">
        <v>162</v>
      </c>
      <c r="I3152">
        <v>297.27999999999997</v>
      </c>
      <c r="J3152" t="s">
        <v>6476</v>
      </c>
      <c r="K3152" t="s">
        <v>55</v>
      </c>
      <c r="N3152" t="s">
        <v>79</v>
      </c>
      <c r="P3152" t="s">
        <v>80</v>
      </c>
      <c r="Q3152" t="s">
        <v>47</v>
      </c>
      <c r="R3152" t="s">
        <v>44</v>
      </c>
      <c r="S3152">
        <v>0</v>
      </c>
      <c r="W3152" s="3">
        <v>8.8541666666666664E-3</v>
      </c>
      <c r="X3152" t="s">
        <v>6477</v>
      </c>
      <c r="Y3152">
        <v>7</v>
      </c>
      <c r="Z3152">
        <v>0</v>
      </c>
      <c r="AA3152" t="s">
        <v>49</v>
      </c>
      <c r="AB3152">
        <v>0</v>
      </c>
      <c r="AC3152" t="s">
        <v>49</v>
      </c>
      <c r="AD3152">
        <v>0</v>
      </c>
      <c r="AE3152">
        <v>10572542</v>
      </c>
      <c r="AF3152" t="s">
        <v>50</v>
      </c>
      <c r="AG3152" t="s">
        <v>5698</v>
      </c>
    </row>
    <row r="3153" spans="1:33" x14ac:dyDescent="0.35">
      <c r="A3153" s="1">
        <v>44753.635416666664</v>
      </c>
      <c r="B3153">
        <v>197723</v>
      </c>
      <c r="C3153" t="s">
        <v>6478</v>
      </c>
      <c r="D3153" t="s">
        <v>1139</v>
      </c>
      <c r="E3153" s="2">
        <v>35430</v>
      </c>
      <c r="F3153" t="str">
        <f>"9780306481000"</f>
        <v>9780306481000</v>
      </c>
      <c r="G3153" t="str">
        <f>"9780792342113"</f>
        <v>9780792342113</v>
      </c>
      <c r="H3153" t="s">
        <v>1454</v>
      </c>
      <c r="I3153" t="s">
        <v>6479</v>
      </c>
      <c r="J3153" t="s">
        <v>5816</v>
      </c>
      <c r="K3153" t="s">
        <v>44</v>
      </c>
      <c r="N3153" t="s">
        <v>45</v>
      </c>
      <c r="O3153" t="s">
        <v>46</v>
      </c>
      <c r="P3153" t="s">
        <v>45</v>
      </c>
      <c r="Q3153" t="s">
        <v>47</v>
      </c>
      <c r="R3153" t="s">
        <v>44</v>
      </c>
      <c r="S3153">
        <v>0</v>
      </c>
      <c r="W3153" s="3">
        <v>2.0254629629629629E-3</v>
      </c>
      <c r="X3153" t="s">
        <v>6480</v>
      </c>
      <c r="Y3153">
        <v>25</v>
      </c>
      <c r="Z3153">
        <v>0</v>
      </c>
      <c r="AA3153" t="s">
        <v>49</v>
      </c>
      <c r="AB3153">
        <v>0</v>
      </c>
      <c r="AC3153" t="s">
        <v>49</v>
      </c>
      <c r="AD3153">
        <v>0</v>
      </c>
      <c r="AE3153">
        <v>10067306</v>
      </c>
      <c r="AF3153" t="s">
        <v>50</v>
      </c>
      <c r="AG3153" t="s">
        <v>5049</v>
      </c>
    </row>
    <row r="3154" spans="1:33" x14ac:dyDescent="0.35">
      <c r="A3154" s="1">
        <v>44753.552083333336</v>
      </c>
      <c r="B3154">
        <v>3408517</v>
      </c>
      <c r="C3154" t="s">
        <v>6481</v>
      </c>
      <c r="D3154" t="s">
        <v>645</v>
      </c>
      <c r="E3154" s="2">
        <v>38201</v>
      </c>
      <c r="F3154" t="str">
        <f>"9780791485040"</f>
        <v>9780791485040</v>
      </c>
      <c r="G3154" t="str">
        <f>"9780791460955"</f>
        <v>9780791460955</v>
      </c>
      <c r="H3154" t="s">
        <v>162</v>
      </c>
      <c r="I3154" t="s">
        <v>6482</v>
      </c>
      <c r="J3154" t="s">
        <v>6483</v>
      </c>
      <c r="K3154" t="s">
        <v>44</v>
      </c>
      <c r="N3154" t="s">
        <v>45</v>
      </c>
      <c r="O3154" t="s">
        <v>46</v>
      </c>
      <c r="P3154" t="s">
        <v>45</v>
      </c>
      <c r="Q3154" t="s">
        <v>47</v>
      </c>
      <c r="R3154" t="s">
        <v>44</v>
      </c>
      <c r="S3154">
        <v>0</v>
      </c>
      <c r="W3154" s="3">
        <v>4.6874999999999998E-3</v>
      </c>
      <c r="X3154" t="s">
        <v>6484</v>
      </c>
      <c r="Y3154">
        <v>28</v>
      </c>
      <c r="Z3154">
        <v>0</v>
      </c>
      <c r="AA3154" t="s">
        <v>49</v>
      </c>
      <c r="AB3154">
        <v>0</v>
      </c>
      <c r="AC3154" t="s">
        <v>49</v>
      </c>
      <c r="AD3154">
        <v>0</v>
      </c>
      <c r="AE3154">
        <v>10594845</v>
      </c>
      <c r="AF3154" t="s">
        <v>50</v>
      </c>
      <c r="AG3154" t="s">
        <v>996</v>
      </c>
    </row>
    <row r="3155" spans="1:33" x14ac:dyDescent="0.35">
      <c r="A3155" s="1">
        <v>44753.099305555559</v>
      </c>
      <c r="B3155">
        <v>3544770</v>
      </c>
      <c r="C3155" t="s">
        <v>6485</v>
      </c>
      <c r="D3155" t="s">
        <v>6486</v>
      </c>
      <c r="E3155" s="2">
        <v>40909</v>
      </c>
      <c r="F3155" t="str">
        <f>"9781869222130"</f>
        <v>9781869222130</v>
      </c>
      <c r="G3155" t="str">
        <f>"9781869221812"</f>
        <v>9781869221812</v>
      </c>
      <c r="H3155" t="s">
        <v>60</v>
      </c>
      <c r="J3155" t="s">
        <v>6487</v>
      </c>
      <c r="K3155" t="s">
        <v>44</v>
      </c>
      <c r="N3155" t="s">
        <v>45</v>
      </c>
      <c r="O3155" t="s">
        <v>46</v>
      </c>
      <c r="P3155" t="s">
        <v>45</v>
      </c>
      <c r="Q3155" t="s">
        <v>47</v>
      </c>
      <c r="R3155" t="s">
        <v>44</v>
      </c>
      <c r="S3155">
        <v>0</v>
      </c>
      <c r="W3155" s="3">
        <v>2.3148148148148146E-4</v>
      </c>
      <c r="X3155" t="s">
        <v>6488</v>
      </c>
      <c r="Y3155">
        <v>4</v>
      </c>
      <c r="Z3155">
        <v>0</v>
      </c>
      <c r="AA3155" t="s">
        <v>49</v>
      </c>
      <c r="AB3155">
        <v>0</v>
      </c>
      <c r="AC3155" t="s">
        <v>49</v>
      </c>
      <c r="AD3155">
        <v>0</v>
      </c>
      <c r="AE3155">
        <v>11082466</v>
      </c>
      <c r="AF3155" t="s">
        <v>50</v>
      </c>
      <c r="AG3155" t="s">
        <v>5049</v>
      </c>
    </row>
    <row r="3156" spans="1:33" x14ac:dyDescent="0.35">
      <c r="A3156" s="1">
        <v>44753.097222222219</v>
      </c>
      <c r="B3156">
        <v>535109</v>
      </c>
      <c r="C3156" t="s">
        <v>6412</v>
      </c>
      <c r="D3156" t="s">
        <v>76</v>
      </c>
      <c r="E3156" s="2">
        <v>39848</v>
      </c>
      <c r="F3156" t="str">
        <f>"9780080915241"</f>
        <v>9780080915241</v>
      </c>
      <c r="G3156" t="str">
        <f>"9780080557434"</f>
        <v>9780080557434</v>
      </c>
      <c r="H3156" t="s">
        <v>60</v>
      </c>
      <c r="I3156">
        <v>658</v>
      </c>
      <c r="J3156" t="s">
        <v>6413</v>
      </c>
      <c r="K3156" t="s">
        <v>44</v>
      </c>
      <c r="N3156" t="s">
        <v>45</v>
      </c>
      <c r="O3156" t="s">
        <v>46</v>
      </c>
      <c r="P3156" t="s">
        <v>45</v>
      </c>
      <c r="Q3156" t="s">
        <v>47</v>
      </c>
      <c r="R3156" t="s">
        <v>44</v>
      </c>
      <c r="S3156">
        <v>0</v>
      </c>
      <c r="W3156" s="3">
        <v>1.6203703703703703E-4</v>
      </c>
      <c r="X3156" t="s">
        <v>6489</v>
      </c>
      <c r="Y3156">
        <v>2</v>
      </c>
      <c r="Z3156">
        <v>0</v>
      </c>
      <c r="AA3156" t="s">
        <v>49</v>
      </c>
      <c r="AB3156">
        <v>0</v>
      </c>
      <c r="AC3156" t="s">
        <v>49</v>
      </c>
      <c r="AD3156">
        <v>0</v>
      </c>
      <c r="AE3156">
        <v>10344507</v>
      </c>
      <c r="AF3156" t="s">
        <v>50</v>
      </c>
      <c r="AG3156" t="s">
        <v>5049</v>
      </c>
    </row>
    <row r="3157" spans="1:33" x14ac:dyDescent="0.35">
      <c r="A3157" s="1">
        <v>44752.845833333333</v>
      </c>
      <c r="B3157">
        <v>3544770</v>
      </c>
      <c r="C3157" t="s">
        <v>6485</v>
      </c>
      <c r="D3157" t="s">
        <v>6486</v>
      </c>
      <c r="E3157" s="2">
        <v>40909</v>
      </c>
      <c r="F3157" t="str">
        <f>"9781869222130"</f>
        <v>9781869222130</v>
      </c>
      <c r="G3157" t="str">
        <f>"9781869221812"</f>
        <v>9781869221812</v>
      </c>
      <c r="H3157" t="s">
        <v>60</v>
      </c>
      <c r="J3157" t="s">
        <v>6487</v>
      </c>
      <c r="K3157" t="s">
        <v>44</v>
      </c>
      <c r="N3157" t="s">
        <v>45</v>
      </c>
      <c r="O3157" t="s">
        <v>46</v>
      </c>
      <c r="P3157" t="s">
        <v>45</v>
      </c>
      <c r="Q3157" t="s">
        <v>47</v>
      </c>
      <c r="R3157" t="s">
        <v>44</v>
      </c>
      <c r="S3157">
        <v>0</v>
      </c>
      <c r="W3157" s="3">
        <v>0.12913194444444445</v>
      </c>
      <c r="X3157" t="s">
        <v>6490</v>
      </c>
      <c r="Y3157">
        <v>50</v>
      </c>
      <c r="Z3157">
        <v>0</v>
      </c>
      <c r="AA3157" t="s">
        <v>49</v>
      </c>
      <c r="AB3157">
        <v>0</v>
      </c>
      <c r="AC3157" t="s">
        <v>6491</v>
      </c>
      <c r="AD3157">
        <v>52</v>
      </c>
      <c r="AE3157">
        <v>11082466</v>
      </c>
      <c r="AF3157" t="s">
        <v>50</v>
      </c>
      <c r="AG3157" t="s">
        <v>5049</v>
      </c>
    </row>
    <row r="3158" spans="1:33" x14ac:dyDescent="0.35">
      <c r="A3158" s="1">
        <v>44752.845833333333</v>
      </c>
      <c r="B3158">
        <v>4860506</v>
      </c>
      <c r="C3158" t="s">
        <v>6492</v>
      </c>
      <c r="D3158" t="s">
        <v>59</v>
      </c>
      <c r="E3158" s="2">
        <v>42940</v>
      </c>
      <c r="F3158" t="str">
        <f>"9781118972687"</f>
        <v>9781118972687</v>
      </c>
      <c r="G3158" t="str">
        <f>"9781118972694"</f>
        <v>9781118972694</v>
      </c>
      <c r="H3158" t="s">
        <v>60</v>
      </c>
      <c r="I3158">
        <v>658.31019000000003</v>
      </c>
      <c r="J3158" t="s">
        <v>6493</v>
      </c>
      <c r="K3158" t="s">
        <v>44</v>
      </c>
      <c r="N3158" t="s">
        <v>45</v>
      </c>
      <c r="O3158" t="s">
        <v>46</v>
      </c>
      <c r="P3158" t="s">
        <v>45</v>
      </c>
      <c r="Q3158" t="s">
        <v>47</v>
      </c>
      <c r="R3158" t="s">
        <v>44</v>
      </c>
      <c r="S3158">
        <v>0</v>
      </c>
      <c r="W3158" s="3">
        <v>1.3888888888888889E-4</v>
      </c>
      <c r="X3158" t="s">
        <v>6494</v>
      </c>
      <c r="Y3158">
        <v>3</v>
      </c>
      <c r="Z3158">
        <v>0</v>
      </c>
      <c r="AA3158" t="s">
        <v>49</v>
      </c>
      <c r="AB3158">
        <v>0</v>
      </c>
      <c r="AC3158" t="s">
        <v>49</v>
      </c>
      <c r="AD3158">
        <v>0</v>
      </c>
      <c r="AE3158">
        <v>11385342</v>
      </c>
      <c r="AF3158" t="s">
        <v>50</v>
      </c>
      <c r="AG3158" t="s">
        <v>5049</v>
      </c>
    </row>
    <row r="3159" spans="1:33" x14ac:dyDescent="0.35">
      <c r="A3159" s="1">
        <v>44752.797222222223</v>
      </c>
      <c r="B3159">
        <v>535109</v>
      </c>
      <c r="C3159" t="s">
        <v>6412</v>
      </c>
      <c r="D3159" t="s">
        <v>76</v>
      </c>
      <c r="E3159" s="2">
        <v>39848</v>
      </c>
      <c r="F3159" t="str">
        <f>"9780080915241"</f>
        <v>9780080915241</v>
      </c>
      <c r="G3159" t="str">
        <f>"9780080557434"</f>
        <v>9780080557434</v>
      </c>
      <c r="H3159" t="s">
        <v>60</v>
      </c>
      <c r="I3159">
        <v>658</v>
      </c>
      <c r="J3159" t="s">
        <v>6413</v>
      </c>
      <c r="K3159" t="s">
        <v>44</v>
      </c>
      <c r="N3159" t="s">
        <v>45</v>
      </c>
      <c r="O3159" t="s">
        <v>46</v>
      </c>
      <c r="P3159" t="s">
        <v>45</v>
      </c>
      <c r="Q3159" t="s">
        <v>47</v>
      </c>
      <c r="R3159" t="s">
        <v>44</v>
      </c>
      <c r="S3159">
        <v>0</v>
      </c>
      <c r="W3159" s="3">
        <v>3.0254629629629631E-2</v>
      </c>
      <c r="X3159" t="s">
        <v>6495</v>
      </c>
      <c r="Y3159">
        <v>62</v>
      </c>
      <c r="Z3159">
        <v>0</v>
      </c>
      <c r="AA3159" t="s">
        <v>49</v>
      </c>
      <c r="AB3159">
        <v>0</v>
      </c>
      <c r="AC3159" t="s">
        <v>6496</v>
      </c>
      <c r="AD3159">
        <v>10</v>
      </c>
      <c r="AE3159">
        <v>10344507</v>
      </c>
      <c r="AF3159" t="s">
        <v>50</v>
      </c>
      <c r="AG3159" t="s">
        <v>5049</v>
      </c>
    </row>
    <row r="3160" spans="1:33" x14ac:dyDescent="0.35">
      <c r="A3160" s="1">
        <v>44752.75277777778</v>
      </c>
      <c r="B3160">
        <v>535109</v>
      </c>
      <c r="C3160" t="s">
        <v>6412</v>
      </c>
      <c r="D3160" t="s">
        <v>76</v>
      </c>
      <c r="E3160" s="2">
        <v>39848</v>
      </c>
      <c r="F3160" t="str">
        <f>"9780080915241"</f>
        <v>9780080915241</v>
      </c>
      <c r="G3160" t="str">
        <f>"9780080557434"</f>
        <v>9780080557434</v>
      </c>
      <c r="H3160" t="s">
        <v>60</v>
      </c>
      <c r="I3160">
        <v>658</v>
      </c>
      <c r="J3160" t="s">
        <v>6413</v>
      </c>
      <c r="K3160" t="s">
        <v>44</v>
      </c>
      <c r="N3160" t="s">
        <v>45</v>
      </c>
      <c r="O3160" t="s">
        <v>46</v>
      </c>
      <c r="P3160" t="s">
        <v>45</v>
      </c>
      <c r="Q3160" t="s">
        <v>47</v>
      </c>
      <c r="R3160" t="s">
        <v>44</v>
      </c>
      <c r="S3160">
        <v>0</v>
      </c>
      <c r="W3160" s="3">
        <v>1.3622685185185184E-2</v>
      </c>
      <c r="X3160" t="s">
        <v>6497</v>
      </c>
      <c r="Y3160">
        <v>7</v>
      </c>
      <c r="Z3160">
        <v>0</v>
      </c>
      <c r="AA3160" t="s">
        <v>49</v>
      </c>
      <c r="AB3160">
        <v>0</v>
      </c>
      <c r="AC3160" t="s">
        <v>49</v>
      </c>
      <c r="AD3160">
        <v>0</v>
      </c>
      <c r="AE3160">
        <v>10344507</v>
      </c>
      <c r="AF3160" t="s">
        <v>50</v>
      </c>
      <c r="AG3160" t="s">
        <v>5049</v>
      </c>
    </row>
    <row r="3161" spans="1:33" x14ac:dyDescent="0.35">
      <c r="A3161" s="1">
        <v>44752.724999999999</v>
      </c>
      <c r="B3161">
        <v>535109</v>
      </c>
      <c r="C3161" t="s">
        <v>6412</v>
      </c>
      <c r="D3161" t="s">
        <v>76</v>
      </c>
      <c r="E3161" s="2">
        <v>39848</v>
      </c>
      <c r="F3161" t="str">
        <f>"9780080915241"</f>
        <v>9780080915241</v>
      </c>
      <c r="G3161" t="str">
        <f>"9780080557434"</f>
        <v>9780080557434</v>
      </c>
      <c r="H3161" t="s">
        <v>60</v>
      </c>
      <c r="I3161">
        <v>658</v>
      </c>
      <c r="J3161" t="s">
        <v>6413</v>
      </c>
      <c r="K3161" t="s">
        <v>44</v>
      </c>
      <c r="N3161" t="s">
        <v>45</v>
      </c>
      <c r="O3161" t="s">
        <v>46</v>
      </c>
      <c r="P3161" t="s">
        <v>45</v>
      </c>
      <c r="Q3161" t="s">
        <v>47</v>
      </c>
      <c r="R3161" t="s">
        <v>44</v>
      </c>
      <c r="S3161">
        <v>0</v>
      </c>
      <c r="W3161" s="3">
        <v>2.1180555555555553E-3</v>
      </c>
      <c r="X3161" t="s">
        <v>6498</v>
      </c>
      <c r="Y3161">
        <v>11</v>
      </c>
      <c r="Z3161">
        <v>0</v>
      </c>
      <c r="AA3161" t="s">
        <v>49</v>
      </c>
      <c r="AB3161">
        <v>0</v>
      </c>
      <c r="AC3161" t="s">
        <v>49</v>
      </c>
      <c r="AD3161">
        <v>0</v>
      </c>
      <c r="AE3161">
        <v>10344507</v>
      </c>
      <c r="AF3161" t="s">
        <v>50</v>
      </c>
      <c r="AG3161" t="s">
        <v>5049</v>
      </c>
    </row>
    <row r="3162" spans="1:33" x14ac:dyDescent="0.35">
      <c r="A3162" s="1">
        <v>44752.52847222222</v>
      </c>
      <c r="B3162">
        <v>1042470</v>
      </c>
      <c r="C3162" t="s">
        <v>6173</v>
      </c>
      <c r="D3162" t="s">
        <v>502</v>
      </c>
      <c r="E3162" s="2">
        <v>41316</v>
      </c>
      <c r="F3162" t="str">
        <f>"9781139782401"</f>
        <v>9781139782401</v>
      </c>
      <c r="G3162" t="str">
        <f>"9781107009097"</f>
        <v>9781107009097</v>
      </c>
      <c r="H3162" t="s">
        <v>1914</v>
      </c>
      <c r="I3162" t="s">
        <v>6174</v>
      </c>
      <c r="J3162" t="s">
        <v>6175</v>
      </c>
      <c r="K3162" t="s">
        <v>44</v>
      </c>
      <c r="N3162" t="s">
        <v>45</v>
      </c>
      <c r="O3162" t="s">
        <v>46</v>
      </c>
      <c r="P3162" t="s">
        <v>45</v>
      </c>
      <c r="Q3162" t="s">
        <v>47</v>
      </c>
      <c r="R3162" t="s">
        <v>44</v>
      </c>
      <c r="S3162">
        <v>0</v>
      </c>
      <c r="W3162" s="3">
        <v>8.0208333333333329E-3</v>
      </c>
      <c r="X3162" t="s">
        <v>6499</v>
      </c>
      <c r="Y3162">
        <v>3</v>
      </c>
      <c r="Z3162">
        <v>0</v>
      </c>
      <c r="AA3162" t="s">
        <v>49</v>
      </c>
      <c r="AB3162">
        <v>0</v>
      </c>
      <c r="AC3162" t="s">
        <v>6500</v>
      </c>
      <c r="AD3162">
        <v>2</v>
      </c>
      <c r="AE3162">
        <v>10752968</v>
      </c>
      <c r="AF3162" t="s">
        <v>50</v>
      </c>
      <c r="AG3162" t="s">
        <v>493</v>
      </c>
    </row>
    <row r="3163" spans="1:33" x14ac:dyDescent="0.35">
      <c r="A3163" s="1">
        <v>44752.525000000001</v>
      </c>
      <c r="B3163">
        <v>535109</v>
      </c>
      <c r="C3163" t="s">
        <v>6412</v>
      </c>
      <c r="D3163" t="s">
        <v>76</v>
      </c>
      <c r="E3163" s="2">
        <v>39848</v>
      </c>
      <c r="F3163" t="str">
        <f>"9780080915241"</f>
        <v>9780080915241</v>
      </c>
      <c r="G3163" t="str">
        <f>"9780080557434"</f>
        <v>9780080557434</v>
      </c>
      <c r="H3163" t="s">
        <v>60</v>
      </c>
      <c r="I3163">
        <v>658</v>
      </c>
      <c r="J3163" t="s">
        <v>6413</v>
      </c>
      <c r="K3163" t="s">
        <v>44</v>
      </c>
      <c r="N3163" t="s">
        <v>45</v>
      </c>
      <c r="O3163" t="s">
        <v>46</v>
      </c>
      <c r="P3163" t="s">
        <v>45</v>
      </c>
      <c r="Q3163" t="s">
        <v>47</v>
      </c>
      <c r="R3163" t="s">
        <v>44</v>
      </c>
      <c r="S3163">
        <v>0</v>
      </c>
      <c r="W3163" s="3">
        <v>6.6898148148148142E-3</v>
      </c>
      <c r="X3163" t="s">
        <v>6501</v>
      </c>
      <c r="Y3163">
        <v>33</v>
      </c>
      <c r="Z3163">
        <v>0</v>
      </c>
      <c r="AA3163" t="s">
        <v>49</v>
      </c>
      <c r="AB3163">
        <v>0</v>
      </c>
      <c r="AC3163" t="s">
        <v>49</v>
      </c>
      <c r="AD3163">
        <v>0</v>
      </c>
      <c r="AE3163">
        <v>10344507</v>
      </c>
      <c r="AF3163" t="s">
        <v>50</v>
      </c>
      <c r="AG3163" t="s">
        <v>5049</v>
      </c>
    </row>
    <row r="3164" spans="1:33" x14ac:dyDescent="0.35">
      <c r="A3164" s="1">
        <v>44752.473611111112</v>
      </c>
      <c r="B3164">
        <v>1042470</v>
      </c>
      <c r="C3164" t="s">
        <v>6173</v>
      </c>
      <c r="D3164" t="s">
        <v>502</v>
      </c>
      <c r="E3164" s="2">
        <v>41316</v>
      </c>
      <c r="F3164" t="str">
        <f>"9781139782401"</f>
        <v>9781139782401</v>
      </c>
      <c r="G3164" t="str">
        <f>"9781107009097"</f>
        <v>9781107009097</v>
      </c>
      <c r="H3164" t="s">
        <v>1914</v>
      </c>
      <c r="I3164" t="s">
        <v>6174</v>
      </c>
      <c r="J3164" t="s">
        <v>6175</v>
      </c>
      <c r="K3164" t="s">
        <v>44</v>
      </c>
      <c r="N3164" t="s">
        <v>45</v>
      </c>
      <c r="O3164" t="s">
        <v>46</v>
      </c>
      <c r="P3164" t="s">
        <v>45</v>
      </c>
      <c r="Q3164" t="s">
        <v>47</v>
      </c>
      <c r="R3164" t="s">
        <v>44</v>
      </c>
      <c r="S3164">
        <v>0</v>
      </c>
      <c r="W3164" s="3">
        <v>9.8379629629629642E-4</v>
      </c>
      <c r="X3164" t="s">
        <v>6502</v>
      </c>
      <c r="Y3164">
        <v>9</v>
      </c>
      <c r="Z3164">
        <v>0</v>
      </c>
      <c r="AA3164" t="s">
        <v>49</v>
      </c>
      <c r="AB3164">
        <v>0</v>
      </c>
      <c r="AC3164" t="s">
        <v>49</v>
      </c>
      <c r="AD3164">
        <v>0</v>
      </c>
      <c r="AE3164">
        <v>10752968</v>
      </c>
      <c r="AF3164" t="s">
        <v>50</v>
      </c>
      <c r="AG3164" t="s">
        <v>493</v>
      </c>
    </row>
    <row r="3165" spans="1:33" x14ac:dyDescent="0.35">
      <c r="A3165" s="1">
        <v>44752.367361111108</v>
      </c>
      <c r="B3165">
        <v>535109</v>
      </c>
      <c r="C3165" t="s">
        <v>6412</v>
      </c>
      <c r="D3165" t="s">
        <v>76</v>
      </c>
      <c r="E3165" s="2">
        <v>39848</v>
      </c>
      <c r="F3165" t="str">
        <f>"9780080915241"</f>
        <v>9780080915241</v>
      </c>
      <c r="G3165" t="str">
        <f>"9780080557434"</f>
        <v>9780080557434</v>
      </c>
      <c r="H3165" t="s">
        <v>60</v>
      </c>
      <c r="I3165">
        <v>658</v>
      </c>
      <c r="J3165" t="s">
        <v>6413</v>
      </c>
      <c r="K3165" t="s">
        <v>44</v>
      </c>
      <c r="N3165" t="s">
        <v>45</v>
      </c>
      <c r="O3165" t="s">
        <v>46</v>
      </c>
      <c r="P3165" t="s">
        <v>45</v>
      </c>
      <c r="Q3165" t="s">
        <v>47</v>
      </c>
      <c r="R3165" t="s">
        <v>44</v>
      </c>
      <c r="S3165">
        <v>0</v>
      </c>
      <c r="W3165" s="3">
        <v>0.11773148148148148</v>
      </c>
      <c r="X3165" t="s">
        <v>6503</v>
      </c>
      <c r="Y3165">
        <v>21</v>
      </c>
      <c r="Z3165">
        <v>0</v>
      </c>
      <c r="AA3165" t="s">
        <v>49</v>
      </c>
      <c r="AB3165">
        <v>0</v>
      </c>
      <c r="AC3165" t="s">
        <v>6504</v>
      </c>
      <c r="AD3165">
        <v>27</v>
      </c>
      <c r="AE3165">
        <v>10344507</v>
      </c>
      <c r="AF3165" t="s">
        <v>50</v>
      </c>
      <c r="AG3165" t="s">
        <v>5049</v>
      </c>
    </row>
    <row r="3166" spans="1:33" x14ac:dyDescent="0.35">
      <c r="A3166" s="1">
        <v>44751.725694444445</v>
      </c>
      <c r="B3166">
        <v>5904710</v>
      </c>
      <c r="C3166" t="s">
        <v>6505</v>
      </c>
      <c r="D3166" t="s">
        <v>76</v>
      </c>
      <c r="E3166" s="2">
        <v>43739</v>
      </c>
      <c r="F3166" t="str">
        <f>"9780429873799"</f>
        <v>9780429873799</v>
      </c>
      <c r="G3166" t="str">
        <f>"9781138614895"</f>
        <v>9781138614895</v>
      </c>
      <c r="H3166" t="s">
        <v>90</v>
      </c>
      <c r="I3166" t="s">
        <v>6506</v>
      </c>
      <c r="J3166" t="s">
        <v>6507</v>
      </c>
      <c r="K3166" t="s">
        <v>55</v>
      </c>
      <c r="Q3166" t="s">
        <v>47</v>
      </c>
      <c r="R3166" t="s">
        <v>44</v>
      </c>
      <c r="S3166">
        <v>0</v>
      </c>
      <c r="W3166" s="3">
        <v>1.3425925925925925E-3</v>
      </c>
      <c r="X3166" t="s">
        <v>6508</v>
      </c>
      <c r="Y3166">
        <v>14</v>
      </c>
      <c r="Z3166">
        <v>0</v>
      </c>
      <c r="AA3166" t="s">
        <v>49</v>
      </c>
      <c r="AB3166">
        <v>0</v>
      </c>
      <c r="AC3166" t="s">
        <v>49</v>
      </c>
      <c r="AD3166">
        <v>0</v>
      </c>
      <c r="AE3166">
        <v>-1</v>
      </c>
      <c r="AF3166" t="s">
        <v>50</v>
      </c>
      <c r="AG3166" t="s">
        <v>5049</v>
      </c>
    </row>
    <row r="3167" spans="1:33" x14ac:dyDescent="0.35">
      <c r="A3167" s="1">
        <v>44751.702777777777</v>
      </c>
      <c r="B3167">
        <v>168643</v>
      </c>
      <c r="C3167" t="s">
        <v>6509</v>
      </c>
      <c r="D3167" t="s">
        <v>76</v>
      </c>
      <c r="E3167" s="2">
        <v>36832</v>
      </c>
      <c r="F3167" t="str">
        <f>"9780203195635"</f>
        <v>9780203195635</v>
      </c>
      <c r="G3167" t="str">
        <f>"9780415152945"</f>
        <v>9780415152945</v>
      </c>
      <c r="H3167" t="s">
        <v>498</v>
      </c>
      <c r="I3167" t="s">
        <v>6510</v>
      </c>
      <c r="J3167" t="s">
        <v>6511</v>
      </c>
      <c r="K3167" t="s">
        <v>44</v>
      </c>
      <c r="N3167" t="s">
        <v>45</v>
      </c>
      <c r="O3167" t="s">
        <v>46</v>
      </c>
      <c r="P3167" t="s">
        <v>45</v>
      </c>
      <c r="Q3167" t="s">
        <v>47</v>
      </c>
      <c r="R3167" t="s">
        <v>44</v>
      </c>
      <c r="S3167">
        <v>0</v>
      </c>
      <c r="W3167" s="3">
        <v>4.0972222222222226E-3</v>
      </c>
      <c r="X3167" t="s">
        <v>6512</v>
      </c>
      <c r="Y3167">
        <v>7</v>
      </c>
      <c r="Z3167">
        <v>0</v>
      </c>
      <c r="AA3167" t="s">
        <v>49</v>
      </c>
      <c r="AB3167">
        <v>0</v>
      </c>
      <c r="AC3167" t="s">
        <v>49</v>
      </c>
      <c r="AD3167">
        <v>0</v>
      </c>
      <c r="AE3167">
        <v>2002361</v>
      </c>
      <c r="AF3167" t="s">
        <v>50</v>
      </c>
      <c r="AG3167" t="s">
        <v>5709</v>
      </c>
    </row>
    <row r="3168" spans="1:33" x14ac:dyDescent="0.35">
      <c r="A3168" s="1">
        <v>44751.694444444445</v>
      </c>
      <c r="B3168">
        <v>3414576</v>
      </c>
      <c r="C3168" t="s">
        <v>6513</v>
      </c>
      <c r="D3168" t="s">
        <v>3510</v>
      </c>
      <c r="E3168" s="2">
        <v>38518</v>
      </c>
      <c r="F3168" t="str">
        <f>"9780472024964"</f>
        <v>9780472024964</v>
      </c>
      <c r="G3168" t="str">
        <f>"9780472030590"</f>
        <v>9780472030590</v>
      </c>
      <c r="H3168" t="s">
        <v>6514</v>
      </c>
      <c r="I3168">
        <v>501</v>
      </c>
      <c r="J3168" t="s">
        <v>6515</v>
      </c>
      <c r="K3168" t="s">
        <v>44</v>
      </c>
      <c r="N3168" t="s">
        <v>45</v>
      </c>
      <c r="O3168" t="s">
        <v>46</v>
      </c>
      <c r="P3168" t="s">
        <v>177</v>
      </c>
      <c r="Q3168" t="s">
        <v>47</v>
      </c>
      <c r="R3168" t="s">
        <v>55</v>
      </c>
      <c r="S3168">
        <v>0</v>
      </c>
      <c r="W3168" s="3">
        <v>5.4050925925925924E-3</v>
      </c>
      <c r="X3168" t="s">
        <v>6516</v>
      </c>
      <c r="Y3168">
        <v>7</v>
      </c>
      <c r="Z3168">
        <v>0</v>
      </c>
      <c r="AA3168" t="s">
        <v>49</v>
      </c>
      <c r="AB3168">
        <v>0</v>
      </c>
      <c r="AC3168" t="s">
        <v>49</v>
      </c>
      <c r="AD3168">
        <v>0</v>
      </c>
      <c r="AE3168">
        <v>10356827</v>
      </c>
      <c r="AF3168" t="s">
        <v>50</v>
      </c>
      <c r="AG3168" t="s">
        <v>5709</v>
      </c>
    </row>
    <row r="3169" spans="1:33" x14ac:dyDescent="0.35">
      <c r="A3169" s="1">
        <v>44751.621527777781</v>
      </c>
      <c r="B3169">
        <v>6193053</v>
      </c>
      <c r="C3169" t="s">
        <v>6517</v>
      </c>
      <c r="D3169" t="s">
        <v>65</v>
      </c>
      <c r="E3169" s="2">
        <v>43959</v>
      </c>
      <c r="F3169" t="str">
        <f>"9780128189191"</f>
        <v>9780128189191</v>
      </c>
      <c r="G3169" t="str">
        <f>"9780128189184"</f>
        <v>9780128189184</v>
      </c>
      <c r="H3169" t="s">
        <v>252</v>
      </c>
      <c r="I3169">
        <v>620.00420284999905</v>
      </c>
      <c r="J3169" t="s">
        <v>6518</v>
      </c>
      <c r="K3169" t="s">
        <v>55</v>
      </c>
      <c r="Q3169" t="s">
        <v>47</v>
      </c>
      <c r="R3169" t="s">
        <v>44</v>
      </c>
      <c r="S3169">
        <v>0</v>
      </c>
      <c r="W3169" s="3">
        <v>6.2847222222222228E-3</v>
      </c>
      <c r="X3169" t="s">
        <v>6519</v>
      </c>
      <c r="Y3169">
        <v>53</v>
      </c>
      <c r="Z3169">
        <v>0</v>
      </c>
      <c r="AA3169" t="s">
        <v>49</v>
      </c>
      <c r="AB3169">
        <v>0</v>
      </c>
      <c r="AC3169" t="s">
        <v>49</v>
      </c>
      <c r="AD3169">
        <v>0</v>
      </c>
      <c r="AE3169">
        <v>-1</v>
      </c>
      <c r="AF3169" t="s">
        <v>63</v>
      </c>
      <c r="AG3169" t="s">
        <v>6436</v>
      </c>
    </row>
    <row r="3170" spans="1:33" x14ac:dyDescent="0.35">
      <c r="A3170" s="1">
        <v>44751.036111111112</v>
      </c>
      <c r="B3170">
        <v>6546221</v>
      </c>
      <c r="C3170" t="s">
        <v>6371</v>
      </c>
      <c r="D3170" t="s">
        <v>65</v>
      </c>
      <c r="E3170" s="2">
        <v>44299</v>
      </c>
      <c r="F3170" t="str">
        <f>"9780128219300"</f>
        <v>9780128219300</v>
      </c>
      <c r="G3170" t="str">
        <f>"9780128219294"</f>
        <v>9780128219294</v>
      </c>
      <c r="H3170" t="s">
        <v>297</v>
      </c>
      <c r="I3170">
        <v>622.33802856310001</v>
      </c>
      <c r="J3170" t="s">
        <v>6372</v>
      </c>
      <c r="K3170" t="s">
        <v>55</v>
      </c>
      <c r="N3170" t="s">
        <v>79</v>
      </c>
      <c r="P3170" t="s">
        <v>80</v>
      </c>
      <c r="Q3170" t="s">
        <v>47</v>
      </c>
      <c r="R3170" t="s">
        <v>44</v>
      </c>
      <c r="S3170">
        <v>0</v>
      </c>
      <c r="W3170" s="3">
        <v>8.1018518518518516E-5</v>
      </c>
      <c r="X3170" t="s">
        <v>121</v>
      </c>
      <c r="Y3170">
        <v>1</v>
      </c>
      <c r="Z3170">
        <v>0</v>
      </c>
      <c r="AA3170" t="s">
        <v>49</v>
      </c>
      <c r="AB3170">
        <v>0</v>
      </c>
      <c r="AC3170" t="s">
        <v>49</v>
      </c>
      <c r="AD3170">
        <v>0</v>
      </c>
      <c r="AE3170">
        <v>-1</v>
      </c>
      <c r="AF3170" t="s">
        <v>50</v>
      </c>
      <c r="AG3170" t="s">
        <v>5049</v>
      </c>
    </row>
    <row r="3171" spans="1:33" x14ac:dyDescent="0.35">
      <c r="A3171" s="1">
        <v>44750.842361111114</v>
      </c>
      <c r="B3171">
        <v>1132603</v>
      </c>
      <c r="C3171" t="s">
        <v>6520</v>
      </c>
      <c r="D3171" t="s">
        <v>1403</v>
      </c>
      <c r="E3171" s="2">
        <v>41363</v>
      </c>
      <c r="F3171" t="str">
        <f>"9781606496510"</f>
        <v>9781606496510</v>
      </c>
      <c r="G3171" t="str">
        <f>"9781606496503"</f>
        <v>9781606496503</v>
      </c>
      <c r="H3171" t="s">
        <v>60</v>
      </c>
      <c r="I3171">
        <v>658.40120000000002</v>
      </c>
      <c r="J3171" t="s">
        <v>6521</v>
      </c>
      <c r="K3171" t="s">
        <v>44</v>
      </c>
      <c r="N3171" t="s">
        <v>45</v>
      </c>
      <c r="O3171" t="s">
        <v>46</v>
      </c>
      <c r="P3171" t="s">
        <v>45</v>
      </c>
      <c r="Q3171" t="s">
        <v>47</v>
      </c>
      <c r="R3171" t="s">
        <v>44</v>
      </c>
      <c r="S3171">
        <v>0</v>
      </c>
      <c r="W3171" s="3">
        <v>1.6412037037037037E-2</v>
      </c>
      <c r="X3171" t="s">
        <v>6522</v>
      </c>
      <c r="Y3171">
        <v>9</v>
      </c>
      <c r="Z3171">
        <v>0</v>
      </c>
      <c r="AA3171" t="s">
        <v>49</v>
      </c>
      <c r="AB3171">
        <v>0</v>
      </c>
      <c r="AC3171" t="s">
        <v>6523</v>
      </c>
      <c r="AD3171">
        <v>7</v>
      </c>
      <c r="AE3171">
        <v>10678410</v>
      </c>
      <c r="AF3171" t="s">
        <v>50</v>
      </c>
      <c r="AG3171" t="s">
        <v>699</v>
      </c>
    </row>
    <row r="3172" spans="1:33" x14ac:dyDescent="0.35">
      <c r="A3172" s="1">
        <v>44750.834027777775</v>
      </c>
      <c r="B3172">
        <v>535109</v>
      </c>
      <c r="C3172" t="s">
        <v>6412</v>
      </c>
      <c r="D3172" t="s">
        <v>76</v>
      </c>
      <c r="E3172" s="2">
        <v>39848</v>
      </c>
      <c r="F3172" t="str">
        <f>"9780080915241"</f>
        <v>9780080915241</v>
      </c>
      <c r="G3172" t="str">
        <f>"9780080557434"</f>
        <v>9780080557434</v>
      </c>
      <c r="H3172" t="s">
        <v>60</v>
      </c>
      <c r="I3172">
        <v>658</v>
      </c>
      <c r="J3172" t="s">
        <v>6413</v>
      </c>
      <c r="K3172" t="s">
        <v>44</v>
      </c>
      <c r="N3172" t="s">
        <v>45</v>
      </c>
      <c r="O3172" t="s">
        <v>46</v>
      </c>
      <c r="P3172" t="s">
        <v>45</v>
      </c>
      <c r="Q3172" t="s">
        <v>47</v>
      </c>
      <c r="R3172" t="s">
        <v>44</v>
      </c>
      <c r="S3172">
        <v>0</v>
      </c>
      <c r="W3172" s="3">
        <v>8.8865740740740731E-2</v>
      </c>
      <c r="X3172" t="s">
        <v>6524</v>
      </c>
      <c r="Y3172">
        <v>149</v>
      </c>
      <c r="Z3172">
        <v>0</v>
      </c>
      <c r="AA3172" t="s">
        <v>49</v>
      </c>
      <c r="AB3172">
        <v>0</v>
      </c>
      <c r="AC3172" t="s">
        <v>6525</v>
      </c>
      <c r="AD3172">
        <v>24</v>
      </c>
      <c r="AE3172">
        <v>10344507</v>
      </c>
      <c r="AF3172" t="s">
        <v>50</v>
      </c>
      <c r="AG3172" t="s">
        <v>699</v>
      </c>
    </row>
    <row r="3173" spans="1:33" x14ac:dyDescent="0.35">
      <c r="A3173" s="1">
        <v>44750.833333333336</v>
      </c>
      <c r="B3173">
        <v>306238</v>
      </c>
      <c r="C3173" t="s">
        <v>6526</v>
      </c>
      <c r="D3173" t="s">
        <v>844</v>
      </c>
      <c r="E3173" s="2">
        <v>39173</v>
      </c>
      <c r="F3173" t="str">
        <f>"9781846634437"</f>
        <v>9781846634437</v>
      </c>
      <c r="G3173" t="str">
        <f>"9781846634420"</f>
        <v>9781846634420</v>
      </c>
      <c r="H3173" t="s">
        <v>60</v>
      </c>
      <c r="I3173" t="s">
        <v>6527</v>
      </c>
      <c r="J3173" t="s">
        <v>6528</v>
      </c>
      <c r="K3173" t="s">
        <v>44</v>
      </c>
      <c r="N3173" t="s">
        <v>45</v>
      </c>
      <c r="O3173" t="s">
        <v>46</v>
      </c>
      <c r="P3173" t="s">
        <v>45</v>
      </c>
      <c r="Q3173" t="s">
        <v>47</v>
      </c>
      <c r="R3173" t="s">
        <v>44</v>
      </c>
      <c r="S3173">
        <v>0</v>
      </c>
      <c r="W3173" s="3">
        <v>9.3750000000000007E-4</v>
      </c>
      <c r="X3173" t="s">
        <v>6529</v>
      </c>
      <c r="Y3173">
        <v>8</v>
      </c>
      <c r="Z3173">
        <v>0</v>
      </c>
      <c r="AA3173" t="s">
        <v>49</v>
      </c>
      <c r="AB3173">
        <v>0</v>
      </c>
      <c r="AC3173" t="s">
        <v>49</v>
      </c>
      <c r="AD3173">
        <v>0</v>
      </c>
      <c r="AE3173">
        <v>10185554</v>
      </c>
      <c r="AF3173" t="s">
        <v>50</v>
      </c>
      <c r="AG3173" t="s">
        <v>699</v>
      </c>
    </row>
    <row r="3174" spans="1:33" x14ac:dyDescent="0.35">
      <c r="A3174" s="1">
        <v>44750.831944444442</v>
      </c>
      <c r="B3174">
        <v>683416</v>
      </c>
      <c r="C3174" t="s">
        <v>6530</v>
      </c>
      <c r="D3174" t="s">
        <v>844</v>
      </c>
      <c r="E3174" s="2">
        <v>40550</v>
      </c>
      <c r="F3174" t="str">
        <f>"9780857247803"</f>
        <v>9780857247803</v>
      </c>
      <c r="G3174" t="str">
        <f>"9780857247797"</f>
        <v>9780857247797</v>
      </c>
      <c r="H3174" t="s">
        <v>691</v>
      </c>
      <c r="I3174" t="s">
        <v>6531</v>
      </c>
      <c r="J3174" t="s">
        <v>6532</v>
      </c>
      <c r="K3174" t="s">
        <v>44</v>
      </c>
      <c r="N3174" t="s">
        <v>45</v>
      </c>
      <c r="O3174" t="s">
        <v>46</v>
      </c>
      <c r="P3174" t="s">
        <v>45</v>
      </c>
      <c r="Q3174" t="s">
        <v>47</v>
      </c>
      <c r="R3174" t="s">
        <v>44</v>
      </c>
      <c r="S3174">
        <v>0</v>
      </c>
      <c r="W3174" s="3">
        <v>0</v>
      </c>
      <c r="X3174" t="s">
        <v>49</v>
      </c>
      <c r="Y3174">
        <v>0</v>
      </c>
      <c r="Z3174">
        <v>0</v>
      </c>
      <c r="AA3174" t="s">
        <v>49</v>
      </c>
      <c r="AB3174">
        <v>0</v>
      </c>
      <c r="AC3174" t="s">
        <v>49</v>
      </c>
      <c r="AD3174">
        <v>0</v>
      </c>
      <c r="AE3174">
        <v>10464518</v>
      </c>
      <c r="AF3174" t="s">
        <v>50</v>
      </c>
      <c r="AG3174" t="s">
        <v>699</v>
      </c>
    </row>
    <row r="3175" spans="1:33" x14ac:dyDescent="0.35">
      <c r="A3175" s="1">
        <v>44750.765972222223</v>
      </c>
      <c r="B3175">
        <v>535109</v>
      </c>
      <c r="C3175" t="s">
        <v>6412</v>
      </c>
      <c r="D3175" t="s">
        <v>76</v>
      </c>
      <c r="E3175" s="2">
        <v>39848</v>
      </c>
      <c r="F3175" t="str">
        <f>"9780080915241"</f>
        <v>9780080915241</v>
      </c>
      <c r="G3175" t="str">
        <f>"9780080557434"</f>
        <v>9780080557434</v>
      </c>
      <c r="H3175" t="s">
        <v>60</v>
      </c>
      <c r="I3175">
        <v>658</v>
      </c>
      <c r="J3175" t="s">
        <v>6413</v>
      </c>
      <c r="K3175" t="s">
        <v>44</v>
      </c>
      <c r="N3175" t="s">
        <v>45</v>
      </c>
      <c r="O3175" t="s">
        <v>46</v>
      </c>
      <c r="P3175" t="s">
        <v>45</v>
      </c>
      <c r="Q3175" t="s">
        <v>47</v>
      </c>
      <c r="R3175" t="s">
        <v>44</v>
      </c>
      <c r="S3175">
        <v>0</v>
      </c>
      <c r="W3175" s="3">
        <v>1.9629629629629629E-2</v>
      </c>
      <c r="X3175" t="s">
        <v>6533</v>
      </c>
      <c r="Y3175">
        <v>9</v>
      </c>
      <c r="Z3175">
        <v>0</v>
      </c>
      <c r="AA3175" t="s">
        <v>49</v>
      </c>
      <c r="AB3175">
        <v>0</v>
      </c>
      <c r="AC3175" t="s">
        <v>6534</v>
      </c>
      <c r="AD3175">
        <v>6</v>
      </c>
      <c r="AE3175">
        <v>10344507</v>
      </c>
      <c r="AF3175" t="s">
        <v>50</v>
      </c>
      <c r="AG3175" t="s">
        <v>5049</v>
      </c>
    </row>
    <row r="3176" spans="1:33" x14ac:dyDescent="0.35">
      <c r="A3176" s="1">
        <v>44750.749305555553</v>
      </c>
      <c r="B3176">
        <v>1132603</v>
      </c>
      <c r="C3176" t="s">
        <v>6520</v>
      </c>
      <c r="D3176" t="s">
        <v>1403</v>
      </c>
      <c r="E3176" s="2">
        <v>41363</v>
      </c>
      <c r="F3176" t="str">
        <f>"9781606496510"</f>
        <v>9781606496510</v>
      </c>
      <c r="G3176" t="str">
        <f>"9781606496503"</f>
        <v>9781606496503</v>
      </c>
      <c r="H3176" t="s">
        <v>60</v>
      </c>
      <c r="I3176">
        <v>658.40120000000002</v>
      </c>
      <c r="J3176" t="s">
        <v>6521</v>
      </c>
      <c r="K3176" t="s">
        <v>44</v>
      </c>
      <c r="N3176" t="s">
        <v>45</v>
      </c>
      <c r="O3176" t="s">
        <v>46</v>
      </c>
      <c r="P3176" t="s">
        <v>45</v>
      </c>
      <c r="Q3176" t="s">
        <v>47</v>
      </c>
      <c r="R3176" t="s">
        <v>44</v>
      </c>
      <c r="S3176">
        <v>0</v>
      </c>
      <c r="W3176" s="3">
        <v>4.5856481481481477E-2</v>
      </c>
      <c r="X3176" t="s">
        <v>6535</v>
      </c>
      <c r="Y3176">
        <v>21</v>
      </c>
      <c r="Z3176">
        <v>0</v>
      </c>
      <c r="AA3176" t="s">
        <v>49</v>
      </c>
      <c r="AB3176">
        <v>0</v>
      </c>
      <c r="AC3176" t="s">
        <v>6536</v>
      </c>
      <c r="AD3176">
        <v>16</v>
      </c>
      <c r="AE3176">
        <v>10678410</v>
      </c>
      <c r="AF3176" t="s">
        <v>50</v>
      </c>
      <c r="AG3176" t="s">
        <v>699</v>
      </c>
    </row>
    <row r="3177" spans="1:33" x14ac:dyDescent="0.35">
      <c r="A3177" s="1">
        <v>44750.679861111108</v>
      </c>
      <c r="B3177">
        <v>535109</v>
      </c>
      <c r="C3177" t="s">
        <v>6412</v>
      </c>
      <c r="D3177" t="s">
        <v>76</v>
      </c>
      <c r="E3177" s="2">
        <v>39848</v>
      </c>
      <c r="F3177" t="str">
        <f>"9780080915241"</f>
        <v>9780080915241</v>
      </c>
      <c r="G3177" t="str">
        <f>"9780080557434"</f>
        <v>9780080557434</v>
      </c>
      <c r="H3177" t="s">
        <v>60</v>
      </c>
      <c r="I3177">
        <v>658</v>
      </c>
      <c r="J3177" t="s">
        <v>6413</v>
      </c>
      <c r="K3177" t="s">
        <v>44</v>
      </c>
      <c r="N3177" t="s">
        <v>45</v>
      </c>
      <c r="O3177" t="s">
        <v>46</v>
      </c>
      <c r="P3177" t="s">
        <v>45</v>
      </c>
      <c r="Q3177" t="s">
        <v>47</v>
      </c>
      <c r="R3177" t="s">
        <v>44</v>
      </c>
      <c r="S3177">
        <v>0</v>
      </c>
      <c r="W3177" s="3">
        <v>2.2314814814814815E-2</v>
      </c>
      <c r="X3177" t="s">
        <v>6537</v>
      </c>
      <c r="Y3177">
        <v>4</v>
      </c>
      <c r="Z3177">
        <v>0</v>
      </c>
      <c r="AA3177" t="s">
        <v>49</v>
      </c>
      <c r="AB3177">
        <v>0</v>
      </c>
      <c r="AC3177" t="s">
        <v>6538</v>
      </c>
      <c r="AD3177">
        <v>3</v>
      </c>
      <c r="AE3177">
        <v>10344507</v>
      </c>
      <c r="AF3177" t="s">
        <v>50</v>
      </c>
      <c r="AG3177" t="s">
        <v>5049</v>
      </c>
    </row>
    <row r="3178" spans="1:33" x14ac:dyDescent="0.35">
      <c r="A3178" s="1">
        <v>44750.650694444441</v>
      </c>
      <c r="B3178">
        <v>535109</v>
      </c>
      <c r="C3178" t="s">
        <v>6412</v>
      </c>
      <c r="D3178" t="s">
        <v>76</v>
      </c>
      <c r="E3178" s="2">
        <v>39848</v>
      </c>
      <c r="F3178" t="str">
        <f>"9780080915241"</f>
        <v>9780080915241</v>
      </c>
      <c r="G3178" t="str">
        <f>"9780080557434"</f>
        <v>9780080557434</v>
      </c>
      <c r="H3178" t="s">
        <v>60</v>
      </c>
      <c r="I3178">
        <v>658</v>
      </c>
      <c r="J3178" t="s">
        <v>6413</v>
      </c>
      <c r="K3178" t="s">
        <v>44</v>
      </c>
      <c r="N3178" t="s">
        <v>45</v>
      </c>
      <c r="O3178" t="s">
        <v>46</v>
      </c>
      <c r="P3178" t="s">
        <v>45</v>
      </c>
      <c r="Q3178" t="s">
        <v>47</v>
      </c>
      <c r="R3178" t="s">
        <v>44</v>
      </c>
      <c r="S3178">
        <v>0</v>
      </c>
      <c r="W3178" s="3">
        <v>1.9097222222222222E-3</v>
      </c>
      <c r="X3178" t="s">
        <v>6539</v>
      </c>
      <c r="Y3178">
        <v>6</v>
      </c>
      <c r="Z3178">
        <v>0</v>
      </c>
      <c r="AA3178" t="s">
        <v>49</v>
      </c>
      <c r="AB3178">
        <v>0</v>
      </c>
      <c r="AC3178" t="s">
        <v>6538</v>
      </c>
      <c r="AD3178">
        <v>3</v>
      </c>
      <c r="AE3178">
        <v>10344507</v>
      </c>
      <c r="AF3178" t="s">
        <v>50</v>
      </c>
      <c r="AG3178" t="s">
        <v>5049</v>
      </c>
    </row>
    <row r="3179" spans="1:33" x14ac:dyDescent="0.35">
      <c r="A3179" s="1">
        <v>44750.555555555555</v>
      </c>
      <c r="B3179">
        <v>547817</v>
      </c>
      <c r="C3179" t="s">
        <v>6458</v>
      </c>
      <c r="D3179" t="s">
        <v>6459</v>
      </c>
      <c r="E3179" s="2">
        <v>39417</v>
      </c>
      <c r="F3179" t="str">
        <f>"9781589014633"</f>
        <v>9781589014633</v>
      </c>
      <c r="G3179" t="str">
        <f>"9781589011847"</f>
        <v>9781589011847</v>
      </c>
      <c r="H3179" t="s">
        <v>162</v>
      </c>
      <c r="I3179" t="s">
        <v>2910</v>
      </c>
      <c r="J3179" t="s">
        <v>6460</v>
      </c>
      <c r="K3179" t="s">
        <v>44</v>
      </c>
      <c r="N3179" t="s">
        <v>45</v>
      </c>
      <c r="O3179" t="s">
        <v>46</v>
      </c>
      <c r="P3179" t="s">
        <v>45</v>
      </c>
      <c r="Q3179" t="s">
        <v>47</v>
      </c>
      <c r="R3179" t="s">
        <v>44</v>
      </c>
      <c r="S3179">
        <v>0</v>
      </c>
      <c r="W3179" s="3">
        <v>6.2442129629629632E-2</v>
      </c>
      <c r="X3179" t="s">
        <v>6540</v>
      </c>
      <c r="Y3179">
        <v>65</v>
      </c>
      <c r="Z3179">
        <v>0</v>
      </c>
      <c r="AA3179" t="s">
        <v>49</v>
      </c>
      <c r="AB3179">
        <v>0</v>
      </c>
      <c r="AC3179" t="s">
        <v>6541</v>
      </c>
      <c r="AD3179">
        <v>10</v>
      </c>
      <c r="AE3179">
        <v>10236729</v>
      </c>
      <c r="AF3179" t="s">
        <v>50</v>
      </c>
      <c r="AG3179" t="s">
        <v>6542</v>
      </c>
    </row>
    <row r="3180" spans="1:33" x14ac:dyDescent="0.35">
      <c r="A3180" s="1">
        <v>44750.084722222222</v>
      </c>
      <c r="B3180">
        <v>945533</v>
      </c>
      <c r="C3180" t="s">
        <v>6475</v>
      </c>
      <c r="D3180" t="s">
        <v>1922</v>
      </c>
      <c r="E3180" s="2">
        <v>40935</v>
      </c>
      <c r="F3180" t="str">
        <f>"9780857721464"</f>
        <v>9780857721464</v>
      </c>
      <c r="G3180" t="str">
        <f>"9781780761312"</f>
        <v>9781780761312</v>
      </c>
      <c r="H3180" t="s">
        <v>162</v>
      </c>
      <c r="I3180">
        <v>297.27999999999997</v>
      </c>
      <c r="J3180" t="s">
        <v>6476</v>
      </c>
      <c r="K3180" t="s">
        <v>55</v>
      </c>
      <c r="N3180" t="s">
        <v>79</v>
      </c>
      <c r="P3180" t="s">
        <v>80</v>
      </c>
      <c r="Q3180" t="s">
        <v>47</v>
      </c>
      <c r="R3180" t="s">
        <v>44</v>
      </c>
      <c r="S3180">
        <v>0</v>
      </c>
      <c r="W3180" s="3">
        <v>1.9201388888888889E-2</v>
      </c>
      <c r="X3180" t="s">
        <v>6543</v>
      </c>
      <c r="Y3180">
        <v>21</v>
      </c>
      <c r="Z3180">
        <v>0</v>
      </c>
      <c r="AA3180" t="s">
        <v>49</v>
      </c>
      <c r="AB3180">
        <v>0</v>
      </c>
      <c r="AC3180" t="s">
        <v>49</v>
      </c>
      <c r="AD3180">
        <v>0</v>
      </c>
      <c r="AE3180">
        <v>10572542</v>
      </c>
      <c r="AF3180" t="s">
        <v>50</v>
      </c>
      <c r="AG3180" t="s">
        <v>5698</v>
      </c>
    </row>
    <row r="3181" spans="1:33" x14ac:dyDescent="0.35">
      <c r="A3181" s="1">
        <v>44749.99722222222</v>
      </c>
      <c r="B3181">
        <v>535109</v>
      </c>
      <c r="C3181" t="s">
        <v>6412</v>
      </c>
      <c r="D3181" t="s">
        <v>76</v>
      </c>
      <c r="E3181" s="2">
        <v>39848</v>
      </c>
      <c r="F3181" t="str">
        <f>"9780080915241"</f>
        <v>9780080915241</v>
      </c>
      <c r="G3181" t="str">
        <f>"9780080557434"</f>
        <v>9780080557434</v>
      </c>
      <c r="H3181" t="s">
        <v>60</v>
      </c>
      <c r="I3181">
        <v>658</v>
      </c>
      <c r="J3181" t="s">
        <v>6413</v>
      </c>
      <c r="K3181" t="s">
        <v>44</v>
      </c>
      <c r="N3181" t="s">
        <v>45</v>
      </c>
      <c r="O3181" t="s">
        <v>46</v>
      </c>
      <c r="P3181" t="s">
        <v>45</v>
      </c>
      <c r="Q3181" t="s">
        <v>47</v>
      </c>
      <c r="R3181" t="s">
        <v>44</v>
      </c>
      <c r="S3181">
        <v>0</v>
      </c>
      <c r="W3181" s="3">
        <v>4.0856481481481481E-3</v>
      </c>
      <c r="X3181" t="s">
        <v>6544</v>
      </c>
      <c r="Y3181">
        <v>5</v>
      </c>
      <c r="Z3181">
        <v>0</v>
      </c>
      <c r="AA3181" t="s">
        <v>49</v>
      </c>
      <c r="AB3181">
        <v>0</v>
      </c>
      <c r="AC3181" t="s">
        <v>246</v>
      </c>
      <c r="AD3181">
        <v>1</v>
      </c>
      <c r="AE3181">
        <v>10344507</v>
      </c>
      <c r="AF3181" t="s">
        <v>50</v>
      </c>
      <c r="AG3181" t="s">
        <v>5049</v>
      </c>
    </row>
    <row r="3182" spans="1:33" x14ac:dyDescent="0.35">
      <c r="A3182" s="1">
        <v>44749.90625</v>
      </c>
      <c r="B3182">
        <v>535109</v>
      </c>
      <c r="C3182" t="s">
        <v>6412</v>
      </c>
      <c r="D3182" t="s">
        <v>76</v>
      </c>
      <c r="E3182" s="2">
        <v>39848</v>
      </c>
      <c r="F3182" t="str">
        <f>"9780080915241"</f>
        <v>9780080915241</v>
      </c>
      <c r="G3182" t="str">
        <f>"9780080557434"</f>
        <v>9780080557434</v>
      </c>
      <c r="H3182" t="s">
        <v>60</v>
      </c>
      <c r="I3182">
        <v>658</v>
      </c>
      <c r="J3182" t="s">
        <v>6413</v>
      </c>
      <c r="K3182" t="s">
        <v>44</v>
      </c>
      <c r="N3182" t="s">
        <v>45</v>
      </c>
      <c r="O3182" t="s">
        <v>46</v>
      </c>
      <c r="P3182" t="s">
        <v>45</v>
      </c>
      <c r="Q3182" t="s">
        <v>47</v>
      </c>
      <c r="R3182" t="s">
        <v>44</v>
      </c>
      <c r="S3182">
        <v>0</v>
      </c>
      <c r="W3182" s="3">
        <v>2.1099537037037038E-2</v>
      </c>
      <c r="X3182" t="s">
        <v>6545</v>
      </c>
      <c r="Y3182">
        <v>9</v>
      </c>
      <c r="Z3182">
        <v>0</v>
      </c>
      <c r="AA3182" t="s">
        <v>49</v>
      </c>
      <c r="AB3182">
        <v>0</v>
      </c>
      <c r="AC3182" t="s">
        <v>6546</v>
      </c>
      <c r="AD3182">
        <v>3</v>
      </c>
      <c r="AE3182">
        <v>10344507</v>
      </c>
      <c r="AF3182" t="s">
        <v>50</v>
      </c>
      <c r="AG3182" t="s">
        <v>5049</v>
      </c>
    </row>
    <row r="3183" spans="1:33" x14ac:dyDescent="0.35">
      <c r="A3183" s="1">
        <v>44749.865277777775</v>
      </c>
      <c r="B3183">
        <v>535109</v>
      </c>
      <c r="C3183" t="s">
        <v>6412</v>
      </c>
      <c r="D3183" t="s">
        <v>76</v>
      </c>
      <c r="E3183" s="2">
        <v>39848</v>
      </c>
      <c r="F3183" t="str">
        <f>"9780080915241"</f>
        <v>9780080915241</v>
      </c>
      <c r="G3183" t="str">
        <f>"9780080557434"</f>
        <v>9780080557434</v>
      </c>
      <c r="H3183" t="s">
        <v>60</v>
      </c>
      <c r="I3183">
        <v>658</v>
      </c>
      <c r="J3183" t="s">
        <v>6413</v>
      </c>
      <c r="K3183" t="s">
        <v>44</v>
      </c>
      <c r="N3183" t="s">
        <v>45</v>
      </c>
      <c r="O3183" t="s">
        <v>46</v>
      </c>
      <c r="P3183" t="s">
        <v>45</v>
      </c>
      <c r="Q3183" t="s">
        <v>47</v>
      </c>
      <c r="R3183" t="s">
        <v>44</v>
      </c>
      <c r="S3183">
        <v>0</v>
      </c>
      <c r="W3183" s="3">
        <v>1.8634259259259261E-3</v>
      </c>
      <c r="X3183" t="s">
        <v>6547</v>
      </c>
      <c r="Y3183">
        <v>5</v>
      </c>
      <c r="Z3183">
        <v>0</v>
      </c>
      <c r="AA3183" t="s">
        <v>49</v>
      </c>
      <c r="AB3183">
        <v>0</v>
      </c>
      <c r="AC3183" t="s">
        <v>49</v>
      </c>
      <c r="AD3183">
        <v>0</v>
      </c>
      <c r="AE3183">
        <v>10344507</v>
      </c>
      <c r="AF3183" t="s">
        <v>50</v>
      </c>
      <c r="AG3183" t="s">
        <v>5049</v>
      </c>
    </row>
    <row r="3184" spans="1:33" x14ac:dyDescent="0.35">
      <c r="A3184" s="1">
        <v>44749.831250000003</v>
      </c>
      <c r="B3184">
        <v>3407326</v>
      </c>
      <c r="C3184" t="s">
        <v>649</v>
      </c>
      <c r="D3184" t="s">
        <v>645</v>
      </c>
      <c r="E3184" s="2">
        <v>40878</v>
      </c>
      <c r="F3184" t="str">
        <f>"9781438439563"</f>
        <v>9781438439563</v>
      </c>
      <c r="G3184" t="str">
        <f>"9781438439556"</f>
        <v>9781438439556</v>
      </c>
      <c r="H3184" t="s">
        <v>498</v>
      </c>
      <c r="I3184">
        <v>193</v>
      </c>
      <c r="J3184" t="s">
        <v>650</v>
      </c>
      <c r="K3184" t="s">
        <v>44</v>
      </c>
      <c r="N3184" t="s">
        <v>45</v>
      </c>
      <c r="O3184" t="s">
        <v>46</v>
      </c>
      <c r="P3184" t="s">
        <v>45</v>
      </c>
      <c r="Q3184" t="s">
        <v>47</v>
      </c>
      <c r="R3184" t="s">
        <v>44</v>
      </c>
      <c r="S3184">
        <v>0</v>
      </c>
      <c r="W3184" s="3">
        <v>7.407407407407407E-4</v>
      </c>
      <c r="X3184" t="s">
        <v>6548</v>
      </c>
      <c r="Y3184">
        <v>5</v>
      </c>
      <c r="Z3184">
        <v>0</v>
      </c>
      <c r="AA3184" t="s">
        <v>49</v>
      </c>
      <c r="AB3184">
        <v>0</v>
      </c>
      <c r="AC3184" t="s">
        <v>49</v>
      </c>
      <c r="AD3184">
        <v>0</v>
      </c>
      <c r="AE3184">
        <v>10574188</v>
      </c>
      <c r="AF3184" t="s">
        <v>50</v>
      </c>
      <c r="AG3184" t="s">
        <v>5709</v>
      </c>
    </row>
    <row r="3185" spans="1:33" x14ac:dyDescent="0.35">
      <c r="A3185" s="1">
        <v>44749.753472222219</v>
      </c>
      <c r="B3185">
        <v>535109</v>
      </c>
      <c r="C3185" t="s">
        <v>6412</v>
      </c>
      <c r="D3185" t="s">
        <v>76</v>
      </c>
      <c r="E3185" s="2">
        <v>39848</v>
      </c>
      <c r="F3185" t="str">
        <f>"9780080915241"</f>
        <v>9780080915241</v>
      </c>
      <c r="G3185" t="str">
        <f>"9780080557434"</f>
        <v>9780080557434</v>
      </c>
      <c r="H3185" t="s">
        <v>60</v>
      </c>
      <c r="I3185">
        <v>658</v>
      </c>
      <c r="J3185" t="s">
        <v>6413</v>
      </c>
      <c r="K3185" t="s">
        <v>44</v>
      </c>
      <c r="N3185" t="s">
        <v>45</v>
      </c>
      <c r="O3185" t="s">
        <v>46</v>
      </c>
      <c r="P3185" t="s">
        <v>45</v>
      </c>
      <c r="Q3185" t="s">
        <v>47</v>
      </c>
      <c r="R3185" t="s">
        <v>44</v>
      </c>
      <c r="S3185">
        <v>0</v>
      </c>
      <c r="W3185" s="3">
        <v>8.8310185185185176E-3</v>
      </c>
      <c r="X3185" t="s">
        <v>6549</v>
      </c>
      <c r="Y3185">
        <v>7</v>
      </c>
      <c r="Z3185">
        <v>0</v>
      </c>
      <c r="AA3185" t="s">
        <v>49</v>
      </c>
      <c r="AB3185">
        <v>0</v>
      </c>
      <c r="AC3185" t="s">
        <v>6550</v>
      </c>
      <c r="AD3185">
        <v>2</v>
      </c>
      <c r="AE3185">
        <v>10344507</v>
      </c>
      <c r="AF3185" t="s">
        <v>50</v>
      </c>
      <c r="AG3185" t="s">
        <v>5049</v>
      </c>
    </row>
    <row r="3186" spans="1:33" x14ac:dyDescent="0.35">
      <c r="A3186" s="1">
        <v>44749.745138888888</v>
      </c>
      <c r="B3186">
        <v>3544770</v>
      </c>
      <c r="C3186" t="s">
        <v>6485</v>
      </c>
      <c r="D3186" t="s">
        <v>6486</v>
      </c>
      <c r="E3186" s="2">
        <v>40909</v>
      </c>
      <c r="F3186" t="str">
        <f>"9781869222130"</f>
        <v>9781869222130</v>
      </c>
      <c r="G3186" t="str">
        <f>"9781869221812"</f>
        <v>9781869221812</v>
      </c>
      <c r="H3186" t="s">
        <v>60</v>
      </c>
      <c r="J3186" t="s">
        <v>6487</v>
      </c>
      <c r="K3186" t="s">
        <v>44</v>
      </c>
      <c r="N3186" t="s">
        <v>45</v>
      </c>
      <c r="O3186" t="s">
        <v>46</v>
      </c>
      <c r="P3186" t="s">
        <v>45</v>
      </c>
      <c r="Q3186" t="s">
        <v>47</v>
      </c>
      <c r="R3186" t="s">
        <v>44</v>
      </c>
      <c r="S3186">
        <v>0</v>
      </c>
      <c r="W3186" s="3">
        <v>0</v>
      </c>
      <c r="X3186" t="s">
        <v>49</v>
      </c>
      <c r="Y3186">
        <v>0</v>
      </c>
      <c r="Z3186">
        <v>0</v>
      </c>
      <c r="AA3186" t="s">
        <v>49</v>
      </c>
      <c r="AB3186">
        <v>0</v>
      </c>
      <c r="AC3186" t="s">
        <v>49</v>
      </c>
      <c r="AD3186">
        <v>0</v>
      </c>
      <c r="AE3186">
        <v>11082466</v>
      </c>
      <c r="AF3186" t="s">
        <v>50</v>
      </c>
      <c r="AG3186" t="s">
        <v>6551</v>
      </c>
    </row>
    <row r="3187" spans="1:33" x14ac:dyDescent="0.35">
      <c r="A3187" s="1">
        <v>44749.729861111111</v>
      </c>
      <c r="B3187">
        <v>535109</v>
      </c>
      <c r="C3187" t="s">
        <v>6412</v>
      </c>
      <c r="D3187" t="s">
        <v>76</v>
      </c>
      <c r="E3187" s="2">
        <v>39848</v>
      </c>
      <c r="F3187" t="str">
        <f>"9780080915241"</f>
        <v>9780080915241</v>
      </c>
      <c r="G3187" t="str">
        <f>"9780080557434"</f>
        <v>9780080557434</v>
      </c>
      <c r="H3187" t="s">
        <v>60</v>
      </c>
      <c r="I3187">
        <v>658</v>
      </c>
      <c r="J3187" t="s">
        <v>6413</v>
      </c>
      <c r="K3187" t="s">
        <v>44</v>
      </c>
      <c r="N3187" t="s">
        <v>45</v>
      </c>
      <c r="O3187" t="s">
        <v>46</v>
      </c>
      <c r="P3187" t="s">
        <v>45</v>
      </c>
      <c r="Q3187" t="s">
        <v>47</v>
      </c>
      <c r="R3187" t="s">
        <v>44</v>
      </c>
      <c r="S3187">
        <v>0</v>
      </c>
      <c r="W3187" s="3">
        <v>3.9814814814814817E-3</v>
      </c>
      <c r="X3187" t="s">
        <v>6552</v>
      </c>
      <c r="Y3187">
        <v>12</v>
      </c>
      <c r="Z3187">
        <v>0</v>
      </c>
      <c r="AA3187" t="s">
        <v>49</v>
      </c>
      <c r="AB3187">
        <v>0</v>
      </c>
      <c r="AC3187" t="s">
        <v>752</v>
      </c>
      <c r="AD3187">
        <v>1</v>
      </c>
      <c r="AE3187">
        <v>10344507</v>
      </c>
      <c r="AF3187" t="s">
        <v>50</v>
      </c>
      <c r="AG3187" t="s">
        <v>6551</v>
      </c>
    </row>
    <row r="3188" spans="1:33" x14ac:dyDescent="0.35">
      <c r="A3188" s="1">
        <v>44749.643055555556</v>
      </c>
      <c r="B3188">
        <v>535109</v>
      </c>
      <c r="C3188" t="s">
        <v>6412</v>
      </c>
      <c r="D3188" t="s">
        <v>76</v>
      </c>
      <c r="E3188" s="2">
        <v>39848</v>
      </c>
      <c r="F3188" t="str">
        <f>"9780080915241"</f>
        <v>9780080915241</v>
      </c>
      <c r="G3188" t="str">
        <f>"9780080557434"</f>
        <v>9780080557434</v>
      </c>
      <c r="H3188" t="s">
        <v>60</v>
      </c>
      <c r="I3188">
        <v>658</v>
      </c>
      <c r="J3188" t="s">
        <v>6413</v>
      </c>
      <c r="K3188" t="s">
        <v>44</v>
      </c>
      <c r="N3188" t="s">
        <v>45</v>
      </c>
      <c r="O3188" t="s">
        <v>46</v>
      </c>
      <c r="P3188" t="s">
        <v>45</v>
      </c>
      <c r="Q3188" t="s">
        <v>47</v>
      </c>
      <c r="R3188" t="s">
        <v>44</v>
      </c>
      <c r="S3188">
        <v>0</v>
      </c>
      <c r="W3188" s="3">
        <v>1.7777777777777778E-2</v>
      </c>
      <c r="X3188" t="s">
        <v>6553</v>
      </c>
      <c r="Y3188">
        <v>13</v>
      </c>
      <c r="Z3188">
        <v>0</v>
      </c>
      <c r="AA3188" t="s">
        <v>49</v>
      </c>
      <c r="AB3188">
        <v>0</v>
      </c>
      <c r="AC3188" t="s">
        <v>6550</v>
      </c>
      <c r="AD3188">
        <v>2</v>
      </c>
      <c r="AE3188">
        <v>10344507</v>
      </c>
      <c r="AF3188" t="s">
        <v>63</v>
      </c>
      <c r="AG3188" t="s">
        <v>6551</v>
      </c>
    </row>
    <row r="3189" spans="1:33" x14ac:dyDescent="0.35">
      <c r="A3189" s="1">
        <v>44749.56527777778</v>
      </c>
      <c r="B3189">
        <v>361914</v>
      </c>
      <c r="C3189" t="s">
        <v>6554</v>
      </c>
      <c r="D3189" t="s">
        <v>2825</v>
      </c>
      <c r="E3189" s="2">
        <v>38780</v>
      </c>
      <c r="F3189" t="str">
        <f>"9781593394929"</f>
        <v>9781593394929</v>
      </c>
      <c r="G3189" t="str">
        <f>"9781593392932"</f>
        <v>9781593392932</v>
      </c>
      <c r="H3189" t="s">
        <v>2717</v>
      </c>
      <c r="I3189">
        <v>31</v>
      </c>
      <c r="J3189" t="s">
        <v>6555</v>
      </c>
      <c r="K3189" t="s">
        <v>44</v>
      </c>
      <c r="N3189" t="s">
        <v>45</v>
      </c>
      <c r="O3189" t="s">
        <v>46</v>
      </c>
      <c r="P3189" t="s">
        <v>45</v>
      </c>
      <c r="Q3189" t="s">
        <v>47</v>
      </c>
      <c r="R3189" t="s">
        <v>44</v>
      </c>
      <c r="S3189">
        <v>0</v>
      </c>
      <c r="W3189" s="3">
        <v>1.7476851851851852E-3</v>
      </c>
      <c r="X3189" t="s">
        <v>6556</v>
      </c>
      <c r="Y3189">
        <v>22</v>
      </c>
      <c r="Z3189">
        <v>0</v>
      </c>
      <c r="AA3189" t="s">
        <v>49</v>
      </c>
      <c r="AB3189">
        <v>0</v>
      </c>
      <c r="AC3189" t="s">
        <v>49</v>
      </c>
      <c r="AD3189">
        <v>0</v>
      </c>
      <c r="AE3189">
        <v>10270935</v>
      </c>
      <c r="AF3189" t="s">
        <v>50</v>
      </c>
      <c r="AG3189" t="s">
        <v>5049</v>
      </c>
    </row>
    <row r="3190" spans="1:33" x14ac:dyDescent="0.35">
      <c r="A3190" s="1">
        <v>44749.009027777778</v>
      </c>
      <c r="B3190">
        <v>3544770</v>
      </c>
      <c r="C3190" t="s">
        <v>6485</v>
      </c>
      <c r="D3190" t="s">
        <v>6486</v>
      </c>
      <c r="E3190" s="2">
        <v>40909</v>
      </c>
      <c r="F3190" t="str">
        <f>"9781869222130"</f>
        <v>9781869222130</v>
      </c>
      <c r="G3190" t="str">
        <f>"9781869221812"</f>
        <v>9781869221812</v>
      </c>
      <c r="H3190" t="s">
        <v>60</v>
      </c>
      <c r="J3190" t="s">
        <v>6487</v>
      </c>
      <c r="K3190" t="s">
        <v>44</v>
      </c>
      <c r="N3190" t="s">
        <v>45</v>
      </c>
      <c r="O3190" t="s">
        <v>46</v>
      </c>
      <c r="P3190" t="s">
        <v>45</v>
      </c>
      <c r="Q3190" t="s">
        <v>47</v>
      </c>
      <c r="R3190" t="s">
        <v>44</v>
      </c>
      <c r="S3190">
        <v>0</v>
      </c>
      <c r="W3190" s="3">
        <v>6.5162037037037037E-3</v>
      </c>
      <c r="X3190" t="s">
        <v>6557</v>
      </c>
      <c r="Y3190">
        <v>29</v>
      </c>
      <c r="Z3190">
        <v>0</v>
      </c>
      <c r="AA3190" t="s">
        <v>49</v>
      </c>
      <c r="AB3190">
        <v>0</v>
      </c>
      <c r="AC3190" t="s">
        <v>6558</v>
      </c>
      <c r="AD3190">
        <v>2</v>
      </c>
      <c r="AE3190">
        <v>11082466</v>
      </c>
      <c r="AF3190" t="s">
        <v>63</v>
      </c>
      <c r="AG3190" t="s">
        <v>6551</v>
      </c>
    </row>
    <row r="3191" spans="1:33" x14ac:dyDescent="0.35">
      <c r="A3191" s="1">
        <v>44748.988888888889</v>
      </c>
      <c r="B3191">
        <v>535109</v>
      </c>
      <c r="C3191" t="s">
        <v>6412</v>
      </c>
      <c r="D3191" t="s">
        <v>76</v>
      </c>
      <c r="E3191" s="2">
        <v>39848</v>
      </c>
      <c r="F3191" t="str">
        <f>"9780080915241"</f>
        <v>9780080915241</v>
      </c>
      <c r="G3191" t="str">
        <f>"9780080557434"</f>
        <v>9780080557434</v>
      </c>
      <c r="H3191" t="s">
        <v>60</v>
      </c>
      <c r="I3191">
        <v>658</v>
      </c>
      <c r="J3191" t="s">
        <v>6413</v>
      </c>
      <c r="K3191" t="s">
        <v>44</v>
      </c>
      <c r="N3191" t="s">
        <v>45</v>
      </c>
      <c r="O3191" t="s">
        <v>46</v>
      </c>
      <c r="P3191" t="s">
        <v>45</v>
      </c>
      <c r="Q3191" t="s">
        <v>47</v>
      </c>
      <c r="R3191" t="s">
        <v>44</v>
      </c>
      <c r="S3191">
        <v>0</v>
      </c>
      <c r="W3191" s="3">
        <v>1.5520833333333333E-2</v>
      </c>
      <c r="X3191" t="s">
        <v>6559</v>
      </c>
      <c r="Y3191">
        <v>24</v>
      </c>
      <c r="Z3191">
        <v>0</v>
      </c>
      <c r="AA3191" t="s">
        <v>49</v>
      </c>
      <c r="AB3191">
        <v>0</v>
      </c>
      <c r="AC3191" t="s">
        <v>6560</v>
      </c>
      <c r="AD3191">
        <v>3</v>
      </c>
      <c r="AE3191">
        <v>10344507</v>
      </c>
      <c r="AF3191" t="s">
        <v>63</v>
      </c>
      <c r="AG3191" t="s">
        <v>6551</v>
      </c>
    </row>
    <row r="3192" spans="1:33" x14ac:dyDescent="0.35">
      <c r="A3192" s="1">
        <v>44748.879861111112</v>
      </c>
      <c r="B3192">
        <v>4860506</v>
      </c>
      <c r="C3192" t="s">
        <v>6492</v>
      </c>
      <c r="D3192" t="s">
        <v>59</v>
      </c>
      <c r="E3192" s="2">
        <v>42940</v>
      </c>
      <c r="F3192" t="str">
        <f>"9781118972687"</f>
        <v>9781118972687</v>
      </c>
      <c r="G3192" t="str">
        <f>"9781118972694"</f>
        <v>9781118972694</v>
      </c>
      <c r="H3192" t="s">
        <v>60</v>
      </c>
      <c r="I3192">
        <v>658.31019000000003</v>
      </c>
      <c r="J3192" t="s">
        <v>6493</v>
      </c>
      <c r="K3192" t="s">
        <v>44</v>
      </c>
      <c r="N3192" t="s">
        <v>45</v>
      </c>
      <c r="O3192" t="s">
        <v>46</v>
      </c>
      <c r="P3192" t="s">
        <v>45</v>
      </c>
      <c r="Q3192" t="s">
        <v>47</v>
      </c>
      <c r="R3192" t="s">
        <v>44</v>
      </c>
      <c r="S3192">
        <v>0</v>
      </c>
      <c r="W3192" s="3">
        <v>0.10380787037037037</v>
      </c>
      <c r="X3192" t="s">
        <v>6561</v>
      </c>
      <c r="Y3192">
        <v>95</v>
      </c>
      <c r="Z3192">
        <v>0</v>
      </c>
      <c r="AA3192" t="s">
        <v>49</v>
      </c>
      <c r="AB3192">
        <v>0</v>
      </c>
      <c r="AC3192" t="s">
        <v>6562</v>
      </c>
      <c r="AD3192">
        <v>8</v>
      </c>
      <c r="AE3192">
        <v>11385342</v>
      </c>
      <c r="AF3192" t="s">
        <v>63</v>
      </c>
      <c r="AG3192" t="s">
        <v>6551</v>
      </c>
    </row>
    <row r="3193" spans="1:33" x14ac:dyDescent="0.35">
      <c r="A3193" s="1">
        <v>44748.879166666666</v>
      </c>
      <c r="B3193">
        <v>4860506</v>
      </c>
      <c r="C3193" t="s">
        <v>6492</v>
      </c>
      <c r="D3193" t="s">
        <v>59</v>
      </c>
      <c r="E3193" s="2">
        <v>42940</v>
      </c>
      <c r="F3193" t="str">
        <f>"9781118972687"</f>
        <v>9781118972687</v>
      </c>
      <c r="G3193" t="str">
        <f>"9781118972694"</f>
        <v>9781118972694</v>
      </c>
      <c r="H3193" t="s">
        <v>60</v>
      </c>
      <c r="I3193">
        <v>658.31019000000003</v>
      </c>
      <c r="J3193" t="s">
        <v>6493</v>
      </c>
      <c r="K3193" t="s">
        <v>44</v>
      </c>
      <c r="N3193" t="s">
        <v>45</v>
      </c>
      <c r="O3193" t="s">
        <v>46</v>
      </c>
      <c r="P3193" t="s">
        <v>45</v>
      </c>
      <c r="Q3193" t="s">
        <v>47</v>
      </c>
      <c r="R3193" t="s">
        <v>44</v>
      </c>
      <c r="S3193">
        <v>0</v>
      </c>
      <c r="W3193" s="3">
        <v>6.2500000000000001E-4</v>
      </c>
      <c r="X3193" t="s">
        <v>6563</v>
      </c>
      <c r="Y3193">
        <v>3</v>
      </c>
      <c r="Z3193">
        <v>0</v>
      </c>
      <c r="AA3193" t="s">
        <v>49</v>
      </c>
      <c r="AB3193">
        <v>0</v>
      </c>
      <c r="AC3193" t="s">
        <v>49</v>
      </c>
      <c r="AD3193">
        <v>0</v>
      </c>
      <c r="AE3193">
        <v>11385342</v>
      </c>
      <c r="AF3193" t="s">
        <v>50</v>
      </c>
      <c r="AG3193" t="s">
        <v>6551</v>
      </c>
    </row>
    <row r="3194" spans="1:33" x14ac:dyDescent="0.35">
      <c r="A3194" s="1">
        <v>44748.71875</v>
      </c>
      <c r="B3194">
        <v>6636015</v>
      </c>
      <c r="C3194" t="s">
        <v>6360</v>
      </c>
      <c r="D3194" t="s">
        <v>71</v>
      </c>
      <c r="E3194" s="2">
        <v>44328</v>
      </c>
      <c r="F3194" t="str">
        <f>"9789811234101"</f>
        <v>9789811234101</v>
      </c>
      <c r="G3194" t="str">
        <f>"9789811234095"</f>
        <v>9789811234095</v>
      </c>
      <c r="H3194" t="s">
        <v>801</v>
      </c>
      <c r="I3194" t="s">
        <v>6361</v>
      </c>
      <c r="J3194" t="s">
        <v>6362</v>
      </c>
      <c r="K3194" t="s">
        <v>55</v>
      </c>
      <c r="N3194" t="s">
        <v>79</v>
      </c>
      <c r="P3194" t="s">
        <v>80</v>
      </c>
      <c r="Q3194" t="s">
        <v>47</v>
      </c>
      <c r="R3194" t="s">
        <v>44</v>
      </c>
      <c r="S3194">
        <v>2</v>
      </c>
      <c r="T3194">
        <v>90</v>
      </c>
      <c r="U3194" s="1">
        <v>44748.71875</v>
      </c>
      <c r="V3194" s="1">
        <v>44838.71875</v>
      </c>
      <c r="W3194" s="3">
        <v>1.8425925925925925E-2</v>
      </c>
      <c r="X3194" t="s">
        <v>6564</v>
      </c>
      <c r="Y3194">
        <v>35</v>
      </c>
      <c r="Z3194">
        <v>1</v>
      </c>
      <c r="AA3194" t="s">
        <v>6565</v>
      </c>
      <c r="AB3194">
        <v>153</v>
      </c>
      <c r="AC3194" t="s">
        <v>6566</v>
      </c>
      <c r="AD3194">
        <v>1</v>
      </c>
      <c r="AE3194">
        <v>-1</v>
      </c>
      <c r="AF3194" t="s">
        <v>63</v>
      </c>
      <c r="AG3194" t="s">
        <v>5049</v>
      </c>
    </row>
    <row r="3195" spans="1:33" x14ac:dyDescent="0.35">
      <c r="A3195" s="1">
        <v>44748.688888888886</v>
      </c>
      <c r="B3195">
        <v>6636015</v>
      </c>
      <c r="C3195" t="s">
        <v>6360</v>
      </c>
      <c r="D3195" t="s">
        <v>71</v>
      </c>
      <c r="E3195" s="2">
        <v>44328</v>
      </c>
      <c r="F3195" t="str">
        <f>"9789811234101"</f>
        <v>9789811234101</v>
      </c>
      <c r="G3195" t="str">
        <f>"9789811234095"</f>
        <v>9789811234095</v>
      </c>
      <c r="H3195" t="s">
        <v>801</v>
      </c>
      <c r="I3195" t="s">
        <v>6361</v>
      </c>
      <c r="J3195" t="s">
        <v>6362</v>
      </c>
      <c r="K3195" t="s">
        <v>55</v>
      </c>
      <c r="N3195" t="s">
        <v>79</v>
      </c>
      <c r="P3195" t="s">
        <v>80</v>
      </c>
      <c r="Q3195" t="s">
        <v>47</v>
      </c>
      <c r="R3195" t="s">
        <v>44</v>
      </c>
      <c r="S3195">
        <v>0</v>
      </c>
      <c r="W3195" s="3">
        <v>7.0601851851851847E-4</v>
      </c>
      <c r="X3195" t="s">
        <v>6567</v>
      </c>
      <c r="Y3195">
        <v>5</v>
      </c>
      <c r="Z3195">
        <v>0</v>
      </c>
      <c r="AA3195" t="s">
        <v>49</v>
      </c>
      <c r="AB3195">
        <v>0</v>
      </c>
      <c r="AC3195" t="s">
        <v>49</v>
      </c>
      <c r="AD3195">
        <v>0</v>
      </c>
      <c r="AE3195">
        <v>-1</v>
      </c>
      <c r="AF3195" t="s">
        <v>63</v>
      </c>
      <c r="AG3195" t="s">
        <v>6288</v>
      </c>
    </row>
    <row r="3196" spans="1:33" x14ac:dyDescent="0.35">
      <c r="A3196" s="1">
        <v>44748.495833333334</v>
      </c>
      <c r="B3196">
        <v>4860506</v>
      </c>
      <c r="C3196" t="s">
        <v>6492</v>
      </c>
      <c r="D3196" t="s">
        <v>59</v>
      </c>
      <c r="E3196" s="2">
        <v>42940</v>
      </c>
      <c r="F3196" t="str">
        <f>"9781118972687"</f>
        <v>9781118972687</v>
      </c>
      <c r="G3196" t="str">
        <f>"9781118972694"</f>
        <v>9781118972694</v>
      </c>
      <c r="H3196" t="s">
        <v>60</v>
      </c>
      <c r="I3196">
        <v>658.31019000000003</v>
      </c>
      <c r="J3196" t="s">
        <v>6493</v>
      </c>
      <c r="K3196" t="s">
        <v>44</v>
      </c>
      <c r="N3196" t="s">
        <v>45</v>
      </c>
      <c r="O3196" t="s">
        <v>46</v>
      </c>
      <c r="P3196" t="s">
        <v>45</v>
      </c>
      <c r="Q3196" t="s">
        <v>47</v>
      </c>
      <c r="R3196" t="s">
        <v>44</v>
      </c>
      <c r="S3196">
        <v>1</v>
      </c>
      <c r="W3196" s="3">
        <v>6.145833333333333E-3</v>
      </c>
      <c r="X3196" t="s">
        <v>6568</v>
      </c>
      <c r="Y3196">
        <v>33</v>
      </c>
      <c r="Z3196">
        <v>0</v>
      </c>
      <c r="AA3196" t="s">
        <v>49</v>
      </c>
      <c r="AB3196">
        <v>0</v>
      </c>
      <c r="AC3196" t="s">
        <v>6569</v>
      </c>
      <c r="AD3196">
        <v>4</v>
      </c>
      <c r="AE3196">
        <v>11385342</v>
      </c>
      <c r="AF3196" t="s">
        <v>63</v>
      </c>
      <c r="AG3196" t="s">
        <v>6551</v>
      </c>
    </row>
    <row r="3197" spans="1:33" x14ac:dyDescent="0.35">
      <c r="A3197" s="1">
        <v>44748.489583333336</v>
      </c>
      <c r="B3197">
        <v>4860506</v>
      </c>
      <c r="C3197" t="s">
        <v>6492</v>
      </c>
      <c r="D3197" t="s">
        <v>59</v>
      </c>
      <c r="E3197" s="2">
        <v>42940</v>
      </c>
      <c r="F3197" t="str">
        <f>"9781118972687"</f>
        <v>9781118972687</v>
      </c>
      <c r="G3197" t="str">
        <f>"9781118972694"</f>
        <v>9781118972694</v>
      </c>
      <c r="H3197" t="s">
        <v>60</v>
      </c>
      <c r="I3197">
        <v>658.31019000000003</v>
      </c>
      <c r="J3197" t="s">
        <v>6493</v>
      </c>
      <c r="K3197" t="s">
        <v>44</v>
      </c>
      <c r="N3197" t="s">
        <v>45</v>
      </c>
      <c r="O3197" t="s">
        <v>46</v>
      </c>
      <c r="P3197" t="s">
        <v>45</v>
      </c>
      <c r="Q3197" t="s">
        <v>47</v>
      </c>
      <c r="R3197" t="s">
        <v>44</v>
      </c>
      <c r="S3197">
        <v>0</v>
      </c>
      <c r="W3197" s="3">
        <v>5.6134259259259271E-3</v>
      </c>
      <c r="X3197" t="s">
        <v>6570</v>
      </c>
      <c r="Y3197">
        <v>7</v>
      </c>
      <c r="Z3197">
        <v>0</v>
      </c>
      <c r="AA3197" t="s">
        <v>49</v>
      </c>
      <c r="AB3197">
        <v>0</v>
      </c>
      <c r="AC3197" t="s">
        <v>49</v>
      </c>
      <c r="AD3197">
        <v>0</v>
      </c>
      <c r="AE3197">
        <v>11385342</v>
      </c>
      <c r="AF3197" t="s">
        <v>63</v>
      </c>
      <c r="AG3197" t="s">
        <v>6551</v>
      </c>
    </row>
    <row r="3198" spans="1:33" x14ac:dyDescent="0.35">
      <c r="A3198" s="1">
        <v>44748.436111111114</v>
      </c>
      <c r="B3198">
        <v>3317559</v>
      </c>
      <c r="C3198" t="s">
        <v>6571</v>
      </c>
      <c r="D3198" t="s">
        <v>760</v>
      </c>
      <c r="E3198" s="2">
        <v>37561</v>
      </c>
      <c r="F3198" t="str">
        <f>"9781597268622"</f>
        <v>9781597268622</v>
      </c>
      <c r="G3198" t="str">
        <f>"9781597264129"</f>
        <v>9781597264129</v>
      </c>
      <c r="H3198" t="s">
        <v>1046</v>
      </c>
      <c r="I3198" t="s">
        <v>6572</v>
      </c>
      <c r="J3198" t="s">
        <v>6573</v>
      </c>
      <c r="K3198" t="s">
        <v>44</v>
      </c>
      <c r="N3198" t="s">
        <v>45</v>
      </c>
      <c r="O3198" t="s">
        <v>46</v>
      </c>
      <c r="P3198" t="s">
        <v>45</v>
      </c>
      <c r="Q3198" t="s">
        <v>47</v>
      </c>
      <c r="R3198" t="s">
        <v>44</v>
      </c>
      <c r="S3198">
        <v>0</v>
      </c>
      <c r="W3198" s="3">
        <v>6.9444444444444444E-5</v>
      </c>
      <c r="X3198" t="s">
        <v>121</v>
      </c>
      <c r="Y3198">
        <v>1</v>
      </c>
      <c r="Z3198">
        <v>0</v>
      </c>
      <c r="AA3198" t="s">
        <v>49</v>
      </c>
      <c r="AB3198">
        <v>0</v>
      </c>
      <c r="AC3198" t="s">
        <v>49</v>
      </c>
      <c r="AD3198">
        <v>0</v>
      </c>
      <c r="AE3198">
        <v>10511998</v>
      </c>
      <c r="AF3198" t="s">
        <v>50</v>
      </c>
      <c r="AG3198" t="s">
        <v>5049</v>
      </c>
    </row>
    <row r="3199" spans="1:33" x14ac:dyDescent="0.35">
      <c r="A3199" s="1">
        <v>44748.404166666667</v>
      </c>
      <c r="B3199">
        <v>2008061</v>
      </c>
      <c r="C3199" t="s">
        <v>6574</v>
      </c>
      <c r="D3199" t="s">
        <v>59</v>
      </c>
      <c r="E3199" s="2">
        <v>42331</v>
      </c>
      <c r="F3199" t="str">
        <f>"9781119115595"</f>
        <v>9781119115595</v>
      </c>
      <c r="G3199" t="str">
        <f>"9781119115564"</f>
        <v>9781119115564</v>
      </c>
      <c r="H3199" t="s">
        <v>6575</v>
      </c>
      <c r="I3199">
        <v>530.79999999999995</v>
      </c>
      <c r="J3199" t="s">
        <v>6576</v>
      </c>
      <c r="K3199" t="s">
        <v>44</v>
      </c>
      <c r="N3199" t="s">
        <v>45</v>
      </c>
      <c r="O3199" t="s">
        <v>46</v>
      </c>
      <c r="P3199" t="s">
        <v>45</v>
      </c>
      <c r="Q3199" t="s">
        <v>47</v>
      </c>
      <c r="R3199" t="s">
        <v>44</v>
      </c>
      <c r="S3199">
        <v>0</v>
      </c>
      <c r="W3199" s="3">
        <v>2.6041666666666665E-3</v>
      </c>
      <c r="X3199" t="s">
        <v>6577</v>
      </c>
      <c r="Y3199">
        <v>14</v>
      </c>
      <c r="Z3199">
        <v>0</v>
      </c>
      <c r="AA3199" t="s">
        <v>6578</v>
      </c>
      <c r="AB3199">
        <v>8</v>
      </c>
      <c r="AC3199" t="s">
        <v>49</v>
      </c>
      <c r="AD3199">
        <v>0</v>
      </c>
      <c r="AE3199">
        <v>11041438</v>
      </c>
      <c r="AF3199" t="s">
        <v>50</v>
      </c>
      <c r="AG3199" t="s">
        <v>5049</v>
      </c>
    </row>
    <row r="3200" spans="1:33" x14ac:dyDescent="0.35">
      <c r="A3200" s="1">
        <v>44748.336111111108</v>
      </c>
      <c r="B3200">
        <v>1024333</v>
      </c>
      <c r="C3200" t="s">
        <v>6579</v>
      </c>
      <c r="D3200" t="s">
        <v>965</v>
      </c>
      <c r="E3200" s="2">
        <v>41155</v>
      </c>
      <c r="F3200" t="str">
        <f>"9781462506439"</f>
        <v>9781462506439</v>
      </c>
      <c r="G3200" t="str">
        <f>"9781462506422"</f>
        <v>9781462506422</v>
      </c>
      <c r="H3200" t="s">
        <v>90</v>
      </c>
      <c r="I3200">
        <v>372.41</v>
      </c>
      <c r="J3200" t="s">
        <v>6580</v>
      </c>
      <c r="K3200" t="s">
        <v>44</v>
      </c>
      <c r="N3200" t="s">
        <v>45</v>
      </c>
      <c r="O3200" t="s">
        <v>46</v>
      </c>
      <c r="P3200" t="s">
        <v>45</v>
      </c>
      <c r="Q3200" t="s">
        <v>47</v>
      </c>
      <c r="R3200" t="s">
        <v>44</v>
      </c>
      <c r="S3200">
        <v>0</v>
      </c>
      <c r="W3200" s="3">
        <v>2.4305555555555552E-4</v>
      </c>
      <c r="X3200" t="s">
        <v>4518</v>
      </c>
      <c r="Y3200">
        <v>4</v>
      </c>
      <c r="Z3200">
        <v>0</v>
      </c>
      <c r="AA3200" t="s">
        <v>49</v>
      </c>
      <c r="AB3200">
        <v>0</v>
      </c>
      <c r="AC3200" t="s">
        <v>49</v>
      </c>
      <c r="AD3200">
        <v>0</v>
      </c>
      <c r="AE3200">
        <v>10599051</v>
      </c>
      <c r="AF3200" t="s">
        <v>50</v>
      </c>
      <c r="AG3200" t="s">
        <v>5049</v>
      </c>
    </row>
    <row r="3201" spans="1:33" x14ac:dyDescent="0.35">
      <c r="A3201" s="1">
        <v>44747.945833333331</v>
      </c>
      <c r="B3201">
        <v>1042470</v>
      </c>
      <c r="C3201" t="s">
        <v>6173</v>
      </c>
      <c r="D3201" t="s">
        <v>502</v>
      </c>
      <c r="E3201" s="2">
        <v>41316</v>
      </c>
      <c r="F3201" t="str">
        <f>"9781139782401"</f>
        <v>9781139782401</v>
      </c>
      <c r="G3201" t="str">
        <f>"9781107009097"</f>
        <v>9781107009097</v>
      </c>
      <c r="H3201" t="s">
        <v>1914</v>
      </c>
      <c r="I3201" t="s">
        <v>6174</v>
      </c>
      <c r="J3201" t="s">
        <v>6175</v>
      </c>
      <c r="K3201" t="s">
        <v>44</v>
      </c>
      <c r="N3201" t="s">
        <v>45</v>
      </c>
      <c r="O3201" t="s">
        <v>46</v>
      </c>
      <c r="P3201" t="s">
        <v>45</v>
      </c>
      <c r="Q3201" t="s">
        <v>47</v>
      </c>
      <c r="R3201" t="s">
        <v>44</v>
      </c>
      <c r="S3201">
        <v>0</v>
      </c>
      <c r="W3201" s="3">
        <v>0</v>
      </c>
      <c r="X3201" t="s">
        <v>49</v>
      </c>
      <c r="Y3201">
        <v>0</v>
      </c>
      <c r="Z3201">
        <v>1</v>
      </c>
      <c r="AA3201" t="s">
        <v>6452</v>
      </c>
      <c r="AB3201">
        <v>14</v>
      </c>
      <c r="AC3201" t="s">
        <v>49</v>
      </c>
      <c r="AD3201">
        <v>0</v>
      </c>
      <c r="AE3201">
        <v>10752968</v>
      </c>
      <c r="AF3201" t="s">
        <v>50</v>
      </c>
      <c r="AG3201" t="s">
        <v>6581</v>
      </c>
    </row>
    <row r="3202" spans="1:33" x14ac:dyDescent="0.35">
      <c r="A3202" s="1">
        <v>44747.915972222225</v>
      </c>
      <c r="B3202">
        <v>1024333</v>
      </c>
      <c r="C3202" t="s">
        <v>6579</v>
      </c>
      <c r="D3202" t="s">
        <v>965</v>
      </c>
      <c r="E3202" s="2">
        <v>41155</v>
      </c>
      <c r="F3202" t="str">
        <f>"9781462506439"</f>
        <v>9781462506439</v>
      </c>
      <c r="G3202" t="str">
        <f>"9781462506422"</f>
        <v>9781462506422</v>
      </c>
      <c r="H3202" t="s">
        <v>90</v>
      </c>
      <c r="I3202">
        <v>372.41</v>
      </c>
      <c r="J3202" t="s">
        <v>6580</v>
      </c>
      <c r="K3202" t="s">
        <v>44</v>
      </c>
      <c r="N3202" t="s">
        <v>45</v>
      </c>
      <c r="O3202" t="s">
        <v>46</v>
      </c>
      <c r="P3202" t="s">
        <v>45</v>
      </c>
      <c r="Q3202" t="s">
        <v>47</v>
      </c>
      <c r="R3202" t="s">
        <v>44</v>
      </c>
      <c r="S3202">
        <v>0</v>
      </c>
      <c r="W3202" s="3">
        <v>2.0370370370370373E-3</v>
      </c>
      <c r="X3202" t="s">
        <v>6582</v>
      </c>
      <c r="Y3202">
        <v>17</v>
      </c>
      <c r="Z3202">
        <v>0</v>
      </c>
      <c r="AA3202" t="s">
        <v>49</v>
      </c>
      <c r="AB3202">
        <v>0</v>
      </c>
      <c r="AC3202" t="s">
        <v>49</v>
      </c>
      <c r="AD3202">
        <v>0</v>
      </c>
      <c r="AE3202">
        <v>10599051</v>
      </c>
      <c r="AF3202" t="s">
        <v>50</v>
      </c>
      <c r="AG3202" t="s">
        <v>5049</v>
      </c>
    </row>
    <row r="3203" spans="1:33" x14ac:dyDescent="0.35">
      <c r="A3203" s="1">
        <v>44747.90347222222</v>
      </c>
      <c r="B3203">
        <v>1042470</v>
      </c>
      <c r="C3203" t="s">
        <v>6173</v>
      </c>
      <c r="D3203" t="s">
        <v>502</v>
      </c>
      <c r="E3203" s="2">
        <v>41316</v>
      </c>
      <c r="F3203" t="str">
        <f>"9781139782401"</f>
        <v>9781139782401</v>
      </c>
      <c r="G3203" t="str">
        <f>"9781107009097"</f>
        <v>9781107009097</v>
      </c>
      <c r="H3203" t="s">
        <v>1914</v>
      </c>
      <c r="I3203" t="s">
        <v>6174</v>
      </c>
      <c r="J3203" t="s">
        <v>6175</v>
      </c>
      <c r="K3203" t="s">
        <v>44</v>
      </c>
      <c r="N3203" t="s">
        <v>45</v>
      </c>
      <c r="O3203" t="s">
        <v>46</v>
      </c>
      <c r="P3203" t="s">
        <v>45</v>
      </c>
      <c r="Q3203" t="s">
        <v>47</v>
      </c>
      <c r="R3203" t="s">
        <v>44</v>
      </c>
      <c r="S3203">
        <v>0</v>
      </c>
      <c r="W3203" s="3">
        <v>2.9745370370370373E-3</v>
      </c>
      <c r="X3203" t="s">
        <v>6583</v>
      </c>
      <c r="Y3203">
        <v>19</v>
      </c>
      <c r="Z3203">
        <v>1</v>
      </c>
      <c r="AA3203" t="s">
        <v>6584</v>
      </c>
      <c r="AB3203">
        <v>6</v>
      </c>
      <c r="AC3203" t="s">
        <v>6585</v>
      </c>
      <c r="AD3203">
        <v>1</v>
      </c>
      <c r="AE3203">
        <v>10752968</v>
      </c>
      <c r="AF3203" t="s">
        <v>50</v>
      </c>
      <c r="AG3203" t="s">
        <v>5709</v>
      </c>
    </row>
    <row r="3204" spans="1:33" x14ac:dyDescent="0.35">
      <c r="A3204" s="1">
        <v>44747.873611111114</v>
      </c>
      <c r="B3204">
        <v>4860506</v>
      </c>
      <c r="C3204" t="s">
        <v>6492</v>
      </c>
      <c r="D3204" t="s">
        <v>59</v>
      </c>
      <c r="E3204" s="2">
        <v>42940</v>
      </c>
      <c r="F3204" t="str">
        <f>"9781118972687"</f>
        <v>9781118972687</v>
      </c>
      <c r="G3204" t="str">
        <f>"9781118972694"</f>
        <v>9781118972694</v>
      </c>
      <c r="H3204" t="s">
        <v>60</v>
      </c>
      <c r="I3204">
        <v>658.31019000000003</v>
      </c>
      <c r="J3204" t="s">
        <v>6493</v>
      </c>
      <c r="K3204" t="s">
        <v>44</v>
      </c>
      <c r="N3204" t="s">
        <v>45</v>
      </c>
      <c r="O3204" t="s">
        <v>46</v>
      </c>
      <c r="P3204" t="s">
        <v>45</v>
      </c>
      <c r="Q3204" t="s">
        <v>47</v>
      </c>
      <c r="R3204" t="s">
        <v>44</v>
      </c>
      <c r="S3204">
        <v>0</v>
      </c>
      <c r="W3204" s="3">
        <v>0.12885416666666666</v>
      </c>
      <c r="X3204" t="s">
        <v>6586</v>
      </c>
      <c r="Y3204">
        <v>105</v>
      </c>
      <c r="Z3204">
        <v>0</v>
      </c>
      <c r="AA3204" t="s">
        <v>49</v>
      </c>
      <c r="AB3204">
        <v>0</v>
      </c>
      <c r="AC3204" t="s">
        <v>6587</v>
      </c>
      <c r="AD3204">
        <v>18</v>
      </c>
      <c r="AE3204">
        <v>11385342</v>
      </c>
      <c r="AF3204" t="s">
        <v>63</v>
      </c>
      <c r="AG3204" t="s">
        <v>6551</v>
      </c>
    </row>
    <row r="3205" spans="1:33" x14ac:dyDescent="0.35">
      <c r="A3205" s="1">
        <v>44747.751388888886</v>
      </c>
      <c r="B3205">
        <v>4860506</v>
      </c>
      <c r="C3205" t="s">
        <v>6492</v>
      </c>
      <c r="D3205" t="s">
        <v>59</v>
      </c>
      <c r="E3205" s="2">
        <v>42940</v>
      </c>
      <c r="F3205" t="str">
        <f>"9781118972687"</f>
        <v>9781118972687</v>
      </c>
      <c r="G3205" t="str">
        <f>"9781118972694"</f>
        <v>9781118972694</v>
      </c>
      <c r="H3205" t="s">
        <v>60</v>
      </c>
      <c r="I3205">
        <v>658.31019000000003</v>
      </c>
      <c r="J3205" t="s">
        <v>6493</v>
      </c>
      <c r="K3205" t="s">
        <v>44</v>
      </c>
      <c r="N3205" t="s">
        <v>45</v>
      </c>
      <c r="O3205" t="s">
        <v>46</v>
      </c>
      <c r="P3205" t="s">
        <v>45</v>
      </c>
      <c r="Q3205" t="s">
        <v>47</v>
      </c>
      <c r="R3205" t="s">
        <v>44</v>
      </c>
      <c r="S3205">
        <v>0</v>
      </c>
      <c r="W3205" s="3">
        <v>6.5740740740740738E-2</v>
      </c>
      <c r="X3205" t="s">
        <v>6588</v>
      </c>
      <c r="Y3205">
        <v>19</v>
      </c>
      <c r="Z3205">
        <v>0</v>
      </c>
      <c r="AA3205" t="s">
        <v>49</v>
      </c>
      <c r="AB3205">
        <v>0</v>
      </c>
      <c r="AC3205" t="s">
        <v>6589</v>
      </c>
      <c r="AD3205">
        <v>4</v>
      </c>
      <c r="AE3205">
        <v>11385342</v>
      </c>
      <c r="AF3205" t="s">
        <v>63</v>
      </c>
      <c r="AG3205" t="s">
        <v>6551</v>
      </c>
    </row>
    <row r="3206" spans="1:33" x14ac:dyDescent="0.35">
      <c r="A3206" s="1">
        <v>44747.501388888886</v>
      </c>
      <c r="B3206">
        <v>4860506</v>
      </c>
      <c r="C3206" t="s">
        <v>6492</v>
      </c>
      <c r="D3206" t="s">
        <v>59</v>
      </c>
      <c r="E3206" s="2">
        <v>42940</v>
      </c>
      <c r="F3206" t="str">
        <f>"9781118972687"</f>
        <v>9781118972687</v>
      </c>
      <c r="G3206" t="str">
        <f>"9781118972694"</f>
        <v>9781118972694</v>
      </c>
      <c r="H3206" t="s">
        <v>60</v>
      </c>
      <c r="I3206">
        <v>658.31019000000003</v>
      </c>
      <c r="J3206" t="s">
        <v>6493</v>
      </c>
      <c r="K3206" t="s">
        <v>44</v>
      </c>
      <c r="N3206" t="s">
        <v>45</v>
      </c>
      <c r="O3206" t="s">
        <v>46</v>
      </c>
      <c r="P3206" t="s">
        <v>45</v>
      </c>
      <c r="Q3206" t="s">
        <v>47</v>
      </c>
      <c r="R3206" t="s">
        <v>44</v>
      </c>
      <c r="S3206">
        <v>0</v>
      </c>
      <c r="W3206" s="3">
        <v>7.5231481481481471E-4</v>
      </c>
      <c r="X3206" t="s">
        <v>6590</v>
      </c>
      <c r="Y3206">
        <v>9</v>
      </c>
      <c r="Z3206">
        <v>0</v>
      </c>
      <c r="AA3206" t="s">
        <v>49</v>
      </c>
      <c r="AB3206">
        <v>0</v>
      </c>
      <c r="AC3206" t="s">
        <v>49</v>
      </c>
      <c r="AD3206">
        <v>0</v>
      </c>
      <c r="AE3206">
        <v>11385342</v>
      </c>
      <c r="AF3206" t="s">
        <v>63</v>
      </c>
      <c r="AG3206" t="s">
        <v>6551</v>
      </c>
    </row>
    <row r="3207" spans="1:33" x14ac:dyDescent="0.35">
      <c r="A3207" s="1">
        <v>44747.479166666664</v>
      </c>
      <c r="B3207">
        <v>1132603</v>
      </c>
      <c r="C3207" t="s">
        <v>6520</v>
      </c>
      <c r="D3207" t="s">
        <v>1403</v>
      </c>
      <c r="E3207" s="2">
        <v>41363</v>
      </c>
      <c r="F3207" t="str">
        <f>"9781606496510"</f>
        <v>9781606496510</v>
      </c>
      <c r="G3207" t="str">
        <f>"9781606496503"</f>
        <v>9781606496503</v>
      </c>
      <c r="H3207" t="s">
        <v>60</v>
      </c>
      <c r="I3207">
        <v>658.40120000000002</v>
      </c>
      <c r="J3207" t="s">
        <v>6521</v>
      </c>
      <c r="K3207" t="s">
        <v>44</v>
      </c>
      <c r="N3207" t="s">
        <v>45</v>
      </c>
      <c r="O3207" t="s">
        <v>46</v>
      </c>
      <c r="P3207" t="s">
        <v>45</v>
      </c>
      <c r="Q3207" t="s">
        <v>47</v>
      </c>
      <c r="R3207" t="s">
        <v>44</v>
      </c>
      <c r="S3207">
        <v>0</v>
      </c>
      <c r="W3207" s="3">
        <v>1.6863425925925928E-2</v>
      </c>
      <c r="X3207" t="s">
        <v>6591</v>
      </c>
      <c r="Y3207">
        <v>8</v>
      </c>
      <c r="Z3207">
        <v>0</v>
      </c>
      <c r="AA3207" t="s">
        <v>49</v>
      </c>
      <c r="AB3207">
        <v>0</v>
      </c>
      <c r="AC3207" t="s">
        <v>6592</v>
      </c>
      <c r="AD3207">
        <v>10</v>
      </c>
      <c r="AE3207">
        <v>10678410</v>
      </c>
      <c r="AF3207" t="s">
        <v>50</v>
      </c>
      <c r="AG3207" t="s">
        <v>699</v>
      </c>
    </row>
    <row r="3208" spans="1:33" x14ac:dyDescent="0.35">
      <c r="A3208" s="1">
        <v>44747.095138888886</v>
      </c>
      <c r="B3208">
        <v>3021009</v>
      </c>
      <c r="C3208" t="s">
        <v>6593</v>
      </c>
      <c r="D3208" t="s">
        <v>137</v>
      </c>
      <c r="E3208" s="2">
        <v>40817</v>
      </c>
      <c r="F3208" t="str">
        <f>"9781620814352"</f>
        <v>9781620814352</v>
      </c>
      <c r="G3208" t="str">
        <f>"9781612095356"</f>
        <v>9781612095356</v>
      </c>
      <c r="H3208" t="s">
        <v>1112</v>
      </c>
      <c r="I3208" t="s">
        <v>6594</v>
      </c>
      <c r="J3208" t="s">
        <v>6595</v>
      </c>
      <c r="K3208" t="s">
        <v>44</v>
      </c>
      <c r="N3208" t="s">
        <v>45</v>
      </c>
      <c r="O3208" t="s">
        <v>46</v>
      </c>
      <c r="P3208" t="s">
        <v>177</v>
      </c>
      <c r="Q3208" t="s">
        <v>47</v>
      </c>
      <c r="R3208" t="s">
        <v>55</v>
      </c>
      <c r="S3208">
        <v>0</v>
      </c>
      <c r="W3208" s="3">
        <v>6.9444444444444447E-4</v>
      </c>
      <c r="X3208" t="s">
        <v>6596</v>
      </c>
      <c r="Y3208">
        <v>10</v>
      </c>
      <c r="Z3208">
        <v>0</v>
      </c>
      <c r="AA3208" t="s">
        <v>49</v>
      </c>
      <c r="AB3208">
        <v>0</v>
      </c>
      <c r="AC3208" t="s">
        <v>49</v>
      </c>
      <c r="AD3208">
        <v>0</v>
      </c>
      <c r="AE3208">
        <v>10681209</v>
      </c>
      <c r="AF3208" t="s">
        <v>50</v>
      </c>
      <c r="AG3208" t="s">
        <v>5709</v>
      </c>
    </row>
    <row r="3209" spans="1:33" x14ac:dyDescent="0.35">
      <c r="A3209" s="1">
        <v>44746.919444444444</v>
      </c>
      <c r="B3209">
        <v>4860506</v>
      </c>
      <c r="C3209" t="s">
        <v>6492</v>
      </c>
      <c r="D3209" t="s">
        <v>59</v>
      </c>
      <c r="E3209" s="2">
        <v>42940</v>
      </c>
      <c r="F3209" t="str">
        <f>"9781118972687"</f>
        <v>9781118972687</v>
      </c>
      <c r="G3209" t="str">
        <f>"9781118972694"</f>
        <v>9781118972694</v>
      </c>
      <c r="H3209" t="s">
        <v>60</v>
      </c>
      <c r="I3209">
        <v>658.31019000000003</v>
      </c>
      <c r="J3209" t="s">
        <v>6493</v>
      </c>
      <c r="K3209" t="s">
        <v>44</v>
      </c>
      <c r="N3209" t="s">
        <v>45</v>
      </c>
      <c r="O3209" t="s">
        <v>46</v>
      </c>
      <c r="P3209" t="s">
        <v>45</v>
      </c>
      <c r="Q3209" t="s">
        <v>47</v>
      </c>
      <c r="R3209" t="s">
        <v>44</v>
      </c>
      <c r="S3209">
        <v>0</v>
      </c>
      <c r="W3209" s="3">
        <v>8.5243055555555558E-2</v>
      </c>
      <c r="X3209" t="s">
        <v>6597</v>
      </c>
      <c r="Y3209">
        <v>31</v>
      </c>
      <c r="Z3209">
        <v>0</v>
      </c>
      <c r="AA3209" t="s">
        <v>49</v>
      </c>
      <c r="AB3209">
        <v>0</v>
      </c>
      <c r="AC3209" t="s">
        <v>6598</v>
      </c>
      <c r="AD3209">
        <v>19</v>
      </c>
      <c r="AE3209">
        <v>11385342</v>
      </c>
      <c r="AF3209" t="s">
        <v>63</v>
      </c>
      <c r="AG3209" t="s">
        <v>6551</v>
      </c>
    </row>
    <row r="3210" spans="1:33" x14ac:dyDescent="0.35">
      <c r="A3210" s="1">
        <v>44746.86041666667</v>
      </c>
      <c r="B3210">
        <v>4860506</v>
      </c>
      <c r="C3210" t="s">
        <v>6492</v>
      </c>
      <c r="D3210" t="s">
        <v>59</v>
      </c>
      <c r="E3210" s="2">
        <v>42940</v>
      </c>
      <c r="F3210" t="str">
        <f>"9781118972687"</f>
        <v>9781118972687</v>
      </c>
      <c r="G3210" t="str">
        <f>"9781118972694"</f>
        <v>9781118972694</v>
      </c>
      <c r="H3210" t="s">
        <v>60</v>
      </c>
      <c r="I3210">
        <v>658.31019000000003</v>
      </c>
      <c r="J3210" t="s">
        <v>6493</v>
      </c>
      <c r="K3210" t="s">
        <v>44</v>
      </c>
      <c r="N3210" t="s">
        <v>45</v>
      </c>
      <c r="O3210" t="s">
        <v>46</v>
      </c>
      <c r="P3210" t="s">
        <v>45</v>
      </c>
      <c r="Q3210" t="s">
        <v>47</v>
      </c>
      <c r="R3210" t="s">
        <v>44</v>
      </c>
      <c r="S3210">
        <v>0</v>
      </c>
      <c r="W3210" s="3">
        <v>3.6759259259259255E-2</v>
      </c>
      <c r="X3210" t="s">
        <v>6599</v>
      </c>
      <c r="Y3210">
        <v>6</v>
      </c>
      <c r="Z3210">
        <v>0</v>
      </c>
      <c r="AA3210" t="s">
        <v>49</v>
      </c>
      <c r="AB3210">
        <v>0</v>
      </c>
      <c r="AC3210" t="s">
        <v>6600</v>
      </c>
      <c r="AD3210">
        <v>4</v>
      </c>
      <c r="AE3210">
        <v>11385342</v>
      </c>
      <c r="AF3210" t="s">
        <v>63</v>
      </c>
      <c r="AG3210" t="s">
        <v>6551</v>
      </c>
    </row>
    <row r="3211" spans="1:33" x14ac:dyDescent="0.35">
      <c r="A3211" s="1">
        <v>44746.836111111108</v>
      </c>
      <c r="B3211">
        <v>6001629</v>
      </c>
      <c r="C3211" t="s">
        <v>6601</v>
      </c>
      <c r="D3211" t="s">
        <v>6602</v>
      </c>
      <c r="E3211" s="2">
        <v>43768</v>
      </c>
      <c r="F3211" t="str">
        <f>"9781785615887"</f>
        <v>9781785615887</v>
      </c>
      <c r="G3211" t="str">
        <f>"9781785615870"</f>
        <v>9781785615870</v>
      </c>
      <c r="H3211" t="s">
        <v>6603</v>
      </c>
      <c r="I3211">
        <v>621.46</v>
      </c>
      <c r="J3211" t="s">
        <v>6604</v>
      </c>
      <c r="K3211" t="s">
        <v>55</v>
      </c>
      <c r="Q3211" t="s">
        <v>47</v>
      </c>
      <c r="R3211" t="s">
        <v>44</v>
      </c>
      <c r="S3211">
        <v>0</v>
      </c>
      <c r="W3211" s="3">
        <v>2.1412037037037038E-3</v>
      </c>
      <c r="X3211" t="s">
        <v>6605</v>
      </c>
      <c r="Y3211">
        <v>35</v>
      </c>
      <c r="Z3211">
        <v>0</v>
      </c>
      <c r="AA3211" t="s">
        <v>49</v>
      </c>
      <c r="AB3211">
        <v>0</v>
      </c>
      <c r="AC3211" t="s">
        <v>49</v>
      </c>
      <c r="AD3211">
        <v>0</v>
      </c>
      <c r="AE3211">
        <v>-1</v>
      </c>
      <c r="AF3211" t="s">
        <v>50</v>
      </c>
      <c r="AG3211" t="s">
        <v>6606</v>
      </c>
    </row>
    <row r="3212" spans="1:33" x14ac:dyDescent="0.35">
      <c r="A3212" s="1">
        <v>44746.794444444444</v>
      </c>
      <c r="B3212">
        <v>4860506</v>
      </c>
      <c r="C3212" t="s">
        <v>6492</v>
      </c>
      <c r="D3212" t="s">
        <v>59</v>
      </c>
      <c r="E3212" s="2">
        <v>42940</v>
      </c>
      <c r="F3212" t="str">
        <f>"9781118972687"</f>
        <v>9781118972687</v>
      </c>
      <c r="G3212" t="str">
        <f>"9781118972694"</f>
        <v>9781118972694</v>
      </c>
      <c r="H3212" t="s">
        <v>60</v>
      </c>
      <c r="I3212">
        <v>658.31019000000003</v>
      </c>
      <c r="J3212" t="s">
        <v>6493</v>
      </c>
      <c r="K3212" t="s">
        <v>44</v>
      </c>
      <c r="N3212" t="s">
        <v>45</v>
      </c>
      <c r="O3212" t="s">
        <v>46</v>
      </c>
      <c r="P3212" t="s">
        <v>45</v>
      </c>
      <c r="Q3212" t="s">
        <v>47</v>
      </c>
      <c r="R3212" t="s">
        <v>44</v>
      </c>
      <c r="S3212">
        <v>0</v>
      </c>
      <c r="W3212" s="3">
        <v>4.3032407407407408E-2</v>
      </c>
      <c r="X3212" t="s">
        <v>6607</v>
      </c>
      <c r="Y3212">
        <v>14</v>
      </c>
      <c r="Z3212">
        <v>0</v>
      </c>
      <c r="AA3212" t="s">
        <v>49</v>
      </c>
      <c r="AB3212">
        <v>0</v>
      </c>
      <c r="AC3212" t="s">
        <v>6608</v>
      </c>
      <c r="AD3212">
        <v>9</v>
      </c>
      <c r="AE3212">
        <v>11385342</v>
      </c>
      <c r="AF3212" t="s">
        <v>63</v>
      </c>
      <c r="AG3212" t="s">
        <v>6551</v>
      </c>
    </row>
    <row r="3213" spans="1:33" x14ac:dyDescent="0.35">
      <c r="A3213" s="1">
        <v>44746.779166666667</v>
      </c>
      <c r="B3213">
        <v>1477522</v>
      </c>
      <c r="C3213" t="s">
        <v>3625</v>
      </c>
      <c r="D3213" t="s">
        <v>2022</v>
      </c>
      <c r="E3213" s="2">
        <v>41542</v>
      </c>
      <c r="F3213" t="str">
        <f>"9781443852760"</f>
        <v>9781443852760</v>
      </c>
      <c r="G3213" t="str">
        <f>"9781443848275"</f>
        <v>9781443848275</v>
      </c>
      <c r="H3213" t="s">
        <v>474</v>
      </c>
      <c r="I3213">
        <v>197</v>
      </c>
      <c r="J3213" t="s">
        <v>3626</v>
      </c>
      <c r="K3213" t="s">
        <v>44</v>
      </c>
      <c r="N3213" t="s">
        <v>45</v>
      </c>
      <c r="O3213" t="s">
        <v>46</v>
      </c>
      <c r="P3213" t="s">
        <v>45</v>
      </c>
      <c r="Q3213" t="s">
        <v>47</v>
      </c>
      <c r="R3213" t="s">
        <v>44</v>
      </c>
      <c r="S3213">
        <v>0</v>
      </c>
      <c r="W3213" s="3">
        <v>1.5393518518518519E-3</v>
      </c>
      <c r="X3213" t="s">
        <v>196</v>
      </c>
      <c r="Y3213">
        <v>2</v>
      </c>
      <c r="Z3213">
        <v>0</v>
      </c>
      <c r="AA3213" t="s">
        <v>49</v>
      </c>
      <c r="AB3213">
        <v>0</v>
      </c>
      <c r="AC3213" t="s">
        <v>49</v>
      </c>
      <c r="AD3213">
        <v>0</v>
      </c>
      <c r="AE3213">
        <v>10778085</v>
      </c>
      <c r="AF3213" t="s">
        <v>50</v>
      </c>
      <c r="AG3213" t="s">
        <v>6609</v>
      </c>
    </row>
    <row r="3214" spans="1:33" x14ac:dyDescent="0.35">
      <c r="A3214" s="1">
        <v>44746.751388888886</v>
      </c>
      <c r="B3214">
        <v>4860506</v>
      </c>
      <c r="C3214" t="s">
        <v>6492</v>
      </c>
      <c r="D3214" t="s">
        <v>59</v>
      </c>
      <c r="E3214" s="2">
        <v>42940</v>
      </c>
      <c r="F3214" t="str">
        <f>"9781118972687"</f>
        <v>9781118972687</v>
      </c>
      <c r="G3214" t="str">
        <f>"9781118972694"</f>
        <v>9781118972694</v>
      </c>
      <c r="H3214" t="s">
        <v>60</v>
      </c>
      <c r="I3214">
        <v>658.31019000000003</v>
      </c>
      <c r="J3214" t="s">
        <v>6493</v>
      </c>
      <c r="K3214" t="s">
        <v>44</v>
      </c>
      <c r="N3214" t="s">
        <v>45</v>
      </c>
      <c r="O3214" t="s">
        <v>46</v>
      </c>
      <c r="P3214" t="s">
        <v>45</v>
      </c>
      <c r="Q3214" t="s">
        <v>47</v>
      </c>
      <c r="R3214" t="s">
        <v>44</v>
      </c>
      <c r="S3214">
        <v>0</v>
      </c>
      <c r="W3214" s="3">
        <v>3.5879629629629635E-4</v>
      </c>
      <c r="X3214" t="s">
        <v>6610</v>
      </c>
      <c r="Y3214">
        <v>6</v>
      </c>
      <c r="Z3214">
        <v>0</v>
      </c>
      <c r="AA3214" t="s">
        <v>49</v>
      </c>
      <c r="AB3214">
        <v>0</v>
      </c>
      <c r="AC3214" t="s">
        <v>49</v>
      </c>
      <c r="AD3214">
        <v>0</v>
      </c>
      <c r="AE3214">
        <v>11385342</v>
      </c>
      <c r="AF3214" t="s">
        <v>50</v>
      </c>
      <c r="AG3214" t="s">
        <v>6551</v>
      </c>
    </row>
    <row r="3215" spans="1:33" x14ac:dyDescent="0.35">
      <c r="A3215" s="1">
        <v>44746.664583333331</v>
      </c>
      <c r="B3215">
        <v>1132603</v>
      </c>
      <c r="C3215" t="s">
        <v>6520</v>
      </c>
      <c r="D3215" t="s">
        <v>1403</v>
      </c>
      <c r="E3215" s="2">
        <v>41363</v>
      </c>
      <c r="F3215" t="str">
        <f>"9781606496510"</f>
        <v>9781606496510</v>
      </c>
      <c r="G3215" t="str">
        <f>"9781606496503"</f>
        <v>9781606496503</v>
      </c>
      <c r="H3215" t="s">
        <v>60</v>
      </c>
      <c r="I3215">
        <v>658.40120000000002</v>
      </c>
      <c r="J3215" t="s">
        <v>6521</v>
      </c>
      <c r="K3215" t="s">
        <v>44</v>
      </c>
      <c r="N3215" t="s">
        <v>45</v>
      </c>
      <c r="O3215" t="s">
        <v>46</v>
      </c>
      <c r="P3215" t="s">
        <v>45</v>
      </c>
      <c r="Q3215" t="s">
        <v>47</v>
      </c>
      <c r="R3215" t="s">
        <v>44</v>
      </c>
      <c r="S3215">
        <v>0</v>
      </c>
      <c r="W3215" s="3">
        <v>5.0115740740740737E-3</v>
      </c>
      <c r="X3215" t="s">
        <v>6611</v>
      </c>
      <c r="Y3215">
        <v>21</v>
      </c>
      <c r="Z3215">
        <v>0</v>
      </c>
      <c r="AA3215" t="s">
        <v>49</v>
      </c>
      <c r="AB3215">
        <v>0</v>
      </c>
      <c r="AC3215" t="s">
        <v>49</v>
      </c>
      <c r="AD3215">
        <v>0</v>
      </c>
      <c r="AE3215">
        <v>10678410</v>
      </c>
      <c r="AF3215" t="s">
        <v>50</v>
      </c>
      <c r="AG3215" t="s">
        <v>699</v>
      </c>
    </row>
    <row r="3216" spans="1:33" x14ac:dyDescent="0.35">
      <c r="A3216" s="1">
        <v>44746.660416666666</v>
      </c>
      <c r="B3216">
        <v>683416</v>
      </c>
      <c r="C3216" t="s">
        <v>6530</v>
      </c>
      <c r="D3216" t="s">
        <v>844</v>
      </c>
      <c r="E3216" s="2">
        <v>40550</v>
      </c>
      <c r="F3216" t="str">
        <f>"9780857247803"</f>
        <v>9780857247803</v>
      </c>
      <c r="G3216" t="str">
        <f>"9780857247797"</f>
        <v>9780857247797</v>
      </c>
      <c r="H3216" t="s">
        <v>691</v>
      </c>
      <c r="I3216" t="s">
        <v>6531</v>
      </c>
      <c r="J3216" t="s">
        <v>6532</v>
      </c>
      <c r="K3216" t="s">
        <v>44</v>
      </c>
      <c r="N3216" t="s">
        <v>45</v>
      </c>
      <c r="O3216" t="s">
        <v>46</v>
      </c>
      <c r="P3216" t="s">
        <v>45</v>
      </c>
      <c r="Q3216" t="s">
        <v>47</v>
      </c>
      <c r="R3216" t="s">
        <v>44</v>
      </c>
      <c r="S3216">
        <v>0</v>
      </c>
      <c r="W3216" s="3">
        <v>1.4930555555555556E-3</v>
      </c>
      <c r="X3216" t="s">
        <v>6612</v>
      </c>
      <c r="Y3216">
        <v>13</v>
      </c>
      <c r="Z3216">
        <v>0</v>
      </c>
      <c r="AA3216" t="s">
        <v>49</v>
      </c>
      <c r="AB3216">
        <v>0</v>
      </c>
      <c r="AC3216" t="s">
        <v>49</v>
      </c>
      <c r="AD3216">
        <v>0</v>
      </c>
      <c r="AE3216">
        <v>10464518</v>
      </c>
      <c r="AF3216" t="s">
        <v>50</v>
      </c>
      <c r="AG3216" t="s">
        <v>699</v>
      </c>
    </row>
    <row r="3217" spans="1:33" x14ac:dyDescent="0.35">
      <c r="A3217" s="1">
        <v>44746.525694444441</v>
      </c>
      <c r="B3217">
        <v>4860506</v>
      </c>
      <c r="C3217" t="s">
        <v>6492</v>
      </c>
      <c r="D3217" t="s">
        <v>59</v>
      </c>
      <c r="E3217" s="2">
        <v>42940</v>
      </c>
      <c r="F3217" t="str">
        <f>"9781118972687"</f>
        <v>9781118972687</v>
      </c>
      <c r="G3217" t="str">
        <f>"9781118972694"</f>
        <v>9781118972694</v>
      </c>
      <c r="H3217" t="s">
        <v>60</v>
      </c>
      <c r="I3217">
        <v>658.31019000000003</v>
      </c>
      <c r="J3217" t="s">
        <v>6493</v>
      </c>
      <c r="K3217" t="s">
        <v>44</v>
      </c>
      <c r="N3217" t="s">
        <v>45</v>
      </c>
      <c r="O3217" t="s">
        <v>46</v>
      </c>
      <c r="P3217" t="s">
        <v>45</v>
      </c>
      <c r="Q3217" t="s">
        <v>47</v>
      </c>
      <c r="R3217" t="s">
        <v>44</v>
      </c>
      <c r="S3217">
        <v>0</v>
      </c>
      <c r="W3217" s="3">
        <v>3.8194444444444446E-4</v>
      </c>
      <c r="X3217" t="s">
        <v>6613</v>
      </c>
      <c r="Y3217">
        <v>6</v>
      </c>
      <c r="Z3217">
        <v>0</v>
      </c>
      <c r="AA3217" t="s">
        <v>49</v>
      </c>
      <c r="AB3217">
        <v>0</v>
      </c>
      <c r="AC3217" t="s">
        <v>49</v>
      </c>
      <c r="AD3217">
        <v>0</v>
      </c>
      <c r="AE3217">
        <v>11385342</v>
      </c>
      <c r="AF3217" t="s">
        <v>50</v>
      </c>
      <c r="AG3217" t="s">
        <v>6551</v>
      </c>
    </row>
    <row r="3218" spans="1:33" x14ac:dyDescent="0.35">
      <c r="A3218" s="1">
        <v>44746.525694444441</v>
      </c>
      <c r="B3218">
        <v>4901708</v>
      </c>
      <c r="C3218" t="s">
        <v>6614</v>
      </c>
      <c r="D3218" t="s">
        <v>59</v>
      </c>
      <c r="E3218" s="2">
        <v>42933</v>
      </c>
      <c r="F3218" t="str">
        <f>"9781119414322"</f>
        <v>9781119414322</v>
      </c>
      <c r="G3218" t="str">
        <f>"9781119386728"</f>
        <v>9781119386728</v>
      </c>
      <c r="H3218" t="s">
        <v>483</v>
      </c>
      <c r="I3218">
        <v>720.28402855360002</v>
      </c>
      <c r="J3218" t="s">
        <v>6615</v>
      </c>
      <c r="K3218" t="s">
        <v>44</v>
      </c>
      <c r="N3218" t="s">
        <v>45</v>
      </c>
      <c r="O3218" t="s">
        <v>46</v>
      </c>
      <c r="P3218" t="s">
        <v>45</v>
      </c>
      <c r="Q3218" t="s">
        <v>47</v>
      </c>
      <c r="R3218" t="s">
        <v>44</v>
      </c>
      <c r="S3218">
        <v>1</v>
      </c>
      <c r="W3218" s="3">
        <v>2.199074074074074E-4</v>
      </c>
      <c r="X3218" t="s">
        <v>6616</v>
      </c>
      <c r="Y3218">
        <v>4</v>
      </c>
      <c r="Z3218">
        <v>0</v>
      </c>
      <c r="AA3218" t="s">
        <v>49</v>
      </c>
      <c r="AB3218">
        <v>0</v>
      </c>
      <c r="AC3218" t="s">
        <v>49</v>
      </c>
      <c r="AD3218">
        <v>0</v>
      </c>
      <c r="AE3218">
        <v>11406574</v>
      </c>
      <c r="AF3218" t="s">
        <v>63</v>
      </c>
      <c r="AG3218" t="s">
        <v>6444</v>
      </c>
    </row>
    <row r="3219" spans="1:33" x14ac:dyDescent="0.35">
      <c r="A3219" s="1">
        <v>44746.385416666664</v>
      </c>
      <c r="B3219">
        <v>270004</v>
      </c>
      <c r="C3219" t="s">
        <v>6617</v>
      </c>
      <c r="D3219" t="s">
        <v>65</v>
      </c>
      <c r="E3219" s="2">
        <v>38653</v>
      </c>
      <c r="F3219" t="str">
        <f>"9780080456409"</f>
        <v>9780080456409</v>
      </c>
      <c r="G3219" t="str">
        <f>"9780750664714"</f>
        <v>9780750664714</v>
      </c>
      <c r="H3219" t="s">
        <v>138</v>
      </c>
      <c r="I3219">
        <v>5.2729999999999997</v>
      </c>
      <c r="J3219" t="s">
        <v>6618</v>
      </c>
      <c r="K3219" t="s">
        <v>44</v>
      </c>
      <c r="N3219" t="s">
        <v>45</v>
      </c>
      <c r="O3219" t="s">
        <v>46</v>
      </c>
      <c r="P3219" t="s">
        <v>45</v>
      </c>
      <c r="Q3219" t="s">
        <v>47</v>
      </c>
      <c r="R3219" t="s">
        <v>44</v>
      </c>
      <c r="S3219">
        <v>0</v>
      </c>
      <c r="W3219" s="3">
        <v>7.9861111111111105E-4</v>
      </c>
      <c r="X3219" t="s">
        <v>6619</v>
      </c>
      <c r="Y3219">
        <v>13</v>
      </c>
      <c r="Z3219">
        <v>0</v>
      </c>
      <c r="AA3219" t="s">
        <v>49</v>
      </c>
      <c r="AB3219">
        <v>0</v>
      </c>
      <c r="AC3219" t="s">
        <v>49</v>
      </c>
      <c r="AD3219">
        <v>0</v>
      </c>
      <c r="AE3219">
        <v>10138749</v>
      </c>
      <c r="AF3219" t="s">
        <v>50</v>
      </c>
      <c r="AG3219" t="s">
        <v>5049</v>
      </c>
    </row>
    <row r="3220" spans="1:33" x14ac:dyDescent="0.35">
      <c r="A3220" s="1">
        <v>44746.385416666664</v>
      </c>
      <c r="B3220">
        <v>1113162</v>
      </c>
      <c r="C3220" t="s">
        <v>6620</v>
      </c>
      <c r="D3220" t="s">
        <v>71</v>
      </c>
      <c r="E3220" s="2">
        <v>33939</v>
      </c>
      <c r="F3220" t="str">
        <f>"9789812812469"</f>
        <v>9789812812469</v>
      </c>
      <c r="G3220" t="str">
        <f>"9789810210632"</f>
        <v>9789810210632</v>
      </c>
      <c r="H3220" t="s">
        <v>6621</v>
      </c>
      <c r="I3220">
        <v>629</v>
      </c>
      <c r="J3220" t="s">
        <v>6622</v>
      </c>
      <c r="K3220" t="s">
        <v>44</v>
      </c>
      <c r="N3220" t="s">
        <v>45</v>
      </c>
      <c r="O3220" t="s">
        <v>46</v>
      </c>
      <c r="P3220" t="s">
        <v>45</v>
      </c>
      <c r="Q3220" t="s">
        <v>47</v>
      </c>
      <c r="R3220" t="s">
        <v>44</v>
      </c>
      <c r="S3220">
        <v>0</v>
      </c>
      <c r="W3220" s="3">
        <v>5.7870370370370366E-5</v>
      </c>
      <c r="X3220" t="s">
        <v>121</v>
      </c>
      <c r="Y3220">
        <v>1</v>
      </c>
      <c r="Z3220">
        <v>0</v>
      </c>
      <c r="AA3220" t="s">
        <v>49</v>
      </c>
      <c r="AB3220">
        <v>0</v>
      </c>
      <c r="AC3220" t="s">
        <v>49</v>
      </c>
      <c r="AD3220">
        <v>0</v>
      </c>
      <c r="AE3220">
        <v>10648640</v>
      </c>
      <c r="AF3220" t="s">
        <v>50</v>
      </c>
      <c r="AG3220" t="s">
        <v>5049</v>
      </c>
    </row>
    <row r="3221" spans="1:33" x14ac:dyDescent="0.35">
      <c r="A3221" s="1">
        <v>44746.384027777778</v>
      </c>
      <c r="B3221">
        <v>5288028</v>
      </c>
      <c r="C3221" t="s">
        <v>6623</v>
      </c>
      <c r="D3221" t="s">
        <v>430</v>
      </c>
      <c r="E3221" s="2">
        <v>41731</v>
      </c>
      <c r="F3221" t="str">
        <f>"9781783320462"</f>
        <v>9781783320462</v>
      </c>
      <c r="G3221" t="str">
        <f>"9781842657829"</f>
        <v>9781842657829</v>
      </c>
      <c r="H3221" t="s">
        <v>6624</v>
      </c>
      <c r="I3221">
        <v>4.16</v>
      </c>
      <c r="J3221" t="s">
        <v>6625</v>
      </c>
      <c r="K3221" t="s">
        <v>44</v>
      </c>
      <c r="N3221" t="s">
        <v>45</v>
      </c>
      <c r="O3221" t="s">
        <v>46</v>
      </c>
      <c r="P3221" t="s">
        <v>45</v>
      </c>
      <c r="Q3221" t="s">
        <v>47</v>
      </c>
      <c r="R3221" t="s">
        <v>44</v>
      </c>
      <c r="S3221">
        <v>0</v>
      </c>
      <c r="W3221" s="3">
        <v>2.5462962962962961E-4</v>
      </c>
      <c r="X3221" t="s">
        <v>6626</v>
      </c>
      <c r="Y3221">
        <v>3</v>
      </c>
      <c r="Z3221">
        <v>0</v>
      </c>
      <c r="AA3221" t="s">
        <v>49</v>
      </c>
      <c r="AB3221">
        <v>0</v>
      </c>
      <c r="AC3221" t="s">
        <v>49</v>
      </c>
      <c r="AD3221">
        <v>0</v>
      </c>
      <c r="AE3221">
        <v>11511207</v>
      </c>
      <c r="AF3221" t="s">
        <v>50</v>
      </c>
      <c r="AG3221" t="s">
        <v>5049</v>
      </c>
    </row>
    <row r="3222" spans="1:33" x14ac:dyDescent="0.35">
      <c r="A3222" s="1">
        <v>44745.97152777778</v>
      </c>
      <c r="B3222">
        <v>1042470</v>
      </c>
      <c r="C3222" t="s">
        <v>6173</v>
      </c>
      <c r="D3222" t="s">
        <v>502</v>
      </c>
      <c r="E3222" s="2">
        <v>41316</v>
      </c>
      <c r="F3222" t="str">
        <f>"9781139782401"</f>
        <v>9781139782401</v>
      </c>
      <c r="G3222" t="str">
        <f>"9781107009097"</f>
        <v>9781107009097</v>
      </c>
      <c r="H3222" t="s">
        <v>1914</v>
      </c>
      <c r="I3222" t="s">
        <v>6174</v>
      </c>
      <c r="J3222" t="s">
        <v>6175</v>
      </c>
      <c r="K3222" t="s">
        <v>44</v>
      </c>
      <c r="N3222" t="s">
        <v>45</v>
      </c>
      <c r="O3222" t="s">
        <v>46</v>
      </c>
      <c r="P3222" t="s">
        <v>45</v>
      </c>
      <c r="Q3222" t="s">
        <v>47</v>
      </c>
      <c r="R3222" t="s">
        <v>44</v>
      </c>
      <c r="S3222">
        <v>0</v>
      </c>
      <c r="W3222" s="3">
        <v>3.3333333333333335E-3</v>
      </c>
      <c r="X3222" t="s">
        <v>6627</v>
      </c>
      <c r="Y3222">
        <v>21</v>
      </c>
      <c r="Z3222">
        <v>0</v>
      </c>
      <c r="AA3222" t="s">
        <v>49</v>
      </c>
      <c r="AB3222">
        <v>0</v>
      </c>
      <c r="AC3222" t="s">
        <v>49</v>
      </c>
      <c r="AD3222">
        <v>0</v>
      </c>
      <c r="AE3222">
        <v>10752968</v>
      </c>
      <c r="AF3222" t="s">
        <v>50</v>
      </c>
      <c r="AG3222" t="s">
        <v>493</v>
      </c>
    </row>
    <row r="3223" spans="1:33" x14ac:dyDescent="0.35">
      <c r="A3223" s="1">
        <v>44745.947916666664</v>
      </c>
      <c r="B3223">
        <v>4860506</v>
      </c>
      <c r="C3223" t="s">
        <v>6492</v>
      </c>
      <c r="D3223" t="s">
        <v>59</v>
      </c>
      <c r="E3223" s="2">
        <v>42940</v>
      </c>
      <c r="F3223" t="str">
        <f>"9781118972687"</f>
        <v>9781118972687</v>
      </c>
      <c r="G3223" t="str">
        <f>"9781118972694"</f>
        <v>9781118972694</v>
      </c>
      <c r="H3223" t="s">
        <v>60</v>
      </c>
      <c r="I3223">
        <v>658.31019000000003</v>
      </c>
      <c r="J3223" t="s">
        <v>6493</v>
      </c>
      <c r="K3223" t="s">
        <v>44</v>
      </c>
      <c r="N3223" t="s">
        <v>45</v>
      </c>
      <c r="O3223" t="s">
        <v>46</v>
      </c>
      <c r="P3223" t="s">
        <v>45</v>
      </c>
      <c r="Q3223" t="s">
        <v>47</v>
      </c>
      <c r="R3223" t="s">
        <v>44</v>
      </c>
      <c r="S3223">
        <v>0</v>
      </c>
      <c r="W3223" s="3">
        <v>1.1979166666666666E-2</v>
      </c>
      <c r="X3223" t="s">
        <v>6628</v>
      </c>
      <c r="Y3223">
        <v>20</v>
      </c>
      <c r="Z3223">
        <v>1</v>
      </c>
      <c r="AA3223" t="s">
        <v>3551</v>
      </c>
      <c r="AB3223">
        <v>3</v>
      </c>
      <c r="AC3223" t="s">
        <v>4928</v>
      </c>
      <c r="AD3223">
        <v>1</v>
      </c>
      <c r="AE3223">
        <v>11385342</v>
      </c>
      <c r="AF3223" t="s">
        <v>50</v>
      </c>
      <c r="AG3223" t="s">
        <v>6551</v>
      </c>
    </row>
    <row r="3224" spans="1:33" x14ac:dyDescent="0.35">
      <c r="A3224" s="1">
        <v>44745.84375</v>
      </c>
      <c r="B3224">
        <v>4860506</v>
      </c>
      <c r="C3224" t="s">
        <v>6492</v>
      </c>
      <c r="D3224" t="s">
        <v>59</v>
      </c>
      <c r="E3224" s="2">
        <v>42940</v>
      </c>
      <c r="F3224" t="str">
        <f>"9781118972687"</f>
        <v>9781118972687</v>
      </c>
      <c r="G3224" t="str">
        <f>"9781118972694"</f>
        <v>9781118972694</v>
      </c>
      <c r="H3224" t="s">
        <v>60</v>
      </c>
      <c r="I3224">
        <v>658.31019000000003</v>
      </c>
      <c r="J3224" t="s">
        <v>6493</v>
      </c>
      <c r="K3224" t="s">
        <v>44</v>
      </c>
      <c r="N3224" t="s">
        <v>45</v>
      </c>
      <c r="O3224" t="s">
        <v>46</v>
      </c>
      <c r="P3224" t="s">
        <v>45</v>
      </c>
      <c r="Q3224" t="s">
        <v>47</v>
      </c>
      <c r="R3224" t="s">
        <v>44</v>
      </c>
      <c r="S3224">
        <v>0</v>
      </c>
      <c r="W3224" s="3">
        <v>4.1250000000000002E-2</v>
      </c>
      <c r="X3224" t="s">
        <v>6629</v>
      </c>
      <c r="Y3224">
        <v>30</v>
      </c>
      <c r="Z3224">
        <v>0</v>
      </c>
      <c r="AA3224" t="s">
        <v>49</v>
      </c>
      <c r="AB3224">
        <v>0</v>
      </c>
      <c r="AC3224" t="s">
        <v>6630</v>
      </c>
      <c r="AD3224">
        <v>3</v>
      </c>
      <c r="AE3224">
        <v>11385342</v>
      </c>
      <c r="AF3224" t="s">
        <v>50</v>
      </c>
      <c r="AG3224" t="s">
        <v>6551</v>
      </c>
    </row>
    <row r="3225" spans="1:33" x14ac:dyDescent="0.35">
      <c r="A3225" s="1">
        <v>44745.823611111111</v>
      </c>
      <c r="B3225">
        <v>6821504</v>
      </c>
      <c r="C3225" t="s">
        <v>1005</v>
      </c>
      <c r="D3225" t="s">
        <v>213</v>
      </c>
      <c r="E3225" s="2">
        <v>44536</v>
      </c>
      <c r="F3225" t="str">
        <f>"9780128210796"</f>
        <v>9780128210796</v>
      </c>
      <c r="G3225" t="str">
        <f>"9780128210789"</f>
        <v>9780128210789</v>
      </c>
      <c r="H3225" t="s">
        <v>1006</v>
      </c>
      <c r="I3225">
        <v>668.9</v>
      </c>
      <c r="J3225" t="s">
        <v>1007</v>
      </c>
      <c r="K3225" t="s">
        <v>55</v>
      </c>
      <c r="N3225" t="s">
        <v>79</v>
      </c>
      <c r="P3225" t="s">
        <v>80</v>
      </c>
      <c r="Q3225" t="s">
        <v>47</v>
      </c>
      <c r="R3225" t="s">
        <v>44</v>
      </c>
      <c r="S3225">
        <v>0</v>
      </c>
      <c r="W3225" s="3">
        <v>1.2719907407407407E-2</v>
      </c>
      <c r="X3225" t="s">
        <v>6631</v>
      </c>
      <c r="Y3225">
        <v>73</v>
      </c>
      <c r="Z3225">
        <v>4</v>
      </c>
      <c r="AA3225" t="s">
        <v>6632</v>
      </c>
      <c r="AB3225">
        <v>55</v>
      </c>
      <c r="AC3225" t="s">
        <v>49</v>
      </c>
      <c r="AD3225">
        <v>0</v>
      </c>
      <c r="AE3225">
        <v>-1</v>
      </c>
      <c r="AF3225" t="s">
        <v>50</v>
      </c>
      <c r="AG3225" t="s">
        <v>2128</v>
      </c>
    </row>
    <row r="3226" spans="1:33" x14ac:dyDescent="0.35">
      <c r="A3226" s="1">
        <v>44745.805555555555</v>
      </c>
      <c r="B3226">
        <v>451997</v>
      </c>
      <c r="C3226" t="s">
        <v>6633</v>
      </c>
      <c r="D3226" t="s">
        <v>502</v>
      </c>
      <c r="E3226" s="2">
        <v>39930</v>
      </c>
      <c r="F3226" t="str">
        <f>"9780511579219"</f>
        <v>9780511579219</v>
      </c>
      <c r="G3226" t="str">
        <f>"9780521885683"</f>
        <v>9780521885683</v>
      </c>
      <c r="H3226" t="s">
        <v>100</v>
      </c>
      <c r="I3226" t="s">
        <v>6634</v>
      </c>
      <c r="J3226" t="s">
        <v>6635</v>
      </c>
      <c r="K3226" t="s">
        <v>44</v>
      </c>
      <c r="N3226" t="s">
        <v>45</v>
      </c>
      <c r="O3226" t="s">
        <v>46</v>
      </c>
      <c r="P3226" t="s">
        <v>45</v>
      </c>
      <c r="Q3226" t="s">
        <v>47</v>
      </c>
      <c r="R3226" t="s">
        <v>44</v>
      </c>
      <c r="S3226">
        <v>0</v>
      </c>
      <c r="W3226" s="3">
        <v>0</v>
      </c>
      <c r="X3226" t="s">
        <v>49</v>
      </c>
      <c r="Y3226">
        <v>0</v>
      </c>
      <c r="Z3226">
        <v>11</v>
      </c>
      <c r="AA3226" t="s">
        <v>6636</v>
      </c>
      <c r="AB3226">
        <v>179</v>
      </c>
      <c r="AC3226" t="s">
        <v>49</v>
      </c>
      <c r="AD3226">
        <v>0</v>
      </c>
      <c r="AE3226">
        <v>10333225</v>
      </c>
      <c r="AF3226" t="s">
        <v>50</v>
      </c>
      <c r="AG3226" t="s">
        <v>2128</v>
      </c>
    </row>
    <row r="3227" spans="1:33" x14ac:dyDescent="0.35">
      <c r="A3227" s="1">
        <v>44745.790972222225</v>
      </c>
      <c r="B3227">
        <v>1681238</v>
      </c>
      <c r="C3227" t="s">
        <v>6637</v>
      </c>
      <c r="D3227" t="s">
        <v>71</v>
      </c>
      <c r="E3227" s="2">
        <v>37865</v>
      </c>
      <c r="F3227" t="str">
        <f>"9789812795144"</f>
        <v>9789812795144</v>
      </c>
      <c r="G3227" t="str">
        <f>"9789812383945"</f>
        <v>9789812383945</v>
      </c>
      <c r="H3227" t="s">
        <v>6638</v>
      </c>
      <c r="I3227">
        <v>620.19204232000004</v>
      </c>
      <c r="J3227" t="s">
        <v>6639</v>
      </c>
      <c r="K3227" t="s">
        <v>44</v>
      </c>
      <c r="N3227" t="s">
        <v>45</v>
      </c>
      <c r="O3227" t="s">
        <v>46</v>
      </c>
      <c r="P3227" t="s">
        <v>45</v>
      </c>
      <c r="Q3227" t="s">
        <v>47</v>
      </c>
      <c r="R3227" t="s">
        <v>44</v>
      </c>
      <c r="S3227">
        <v>0</v>
      </c>
      <c r="W3227" s="3">
        <v>0</v>
      </c>
      <c r="X3227" t="s">
        <v>49</v>
      </c>
      <c r="Y3227">
        <v>0</v>
      </c>
      <c r="Z3227">
        <v>7</v>
      </c>
      <c r="AA3227" t="s">
        <v>6640</v>
      </c>
      <c r="AB3227">
        <v>75</v>
      </c>
      <c r="AC3227" t="s">
        <v>49</v>
      </c>
      <c r="AD3227">
        <v>0</v>
      </c>
      <c r="AE3227">
        <v>10255575</v>
      </c>
      <c r="AF3227" t="s">
        <v>50</v>
      </c>
      <c r="AG3227" t="s">
        <v>2128</v>
      </c>
    </row>
    <row r="3228" spans="1:33" x14ac:dyDescent="0.35">
      <c r="A3228" s="1">
        <v>44745.625694444447</v>
      </c>
      <c r="B3228">
        <v>510127</v>
      </c>
      <c r="C3228" t="s">
        <v>558</v>
      </c>
      <c r="D3228" t="s">
        <v>59</v>
      </c>
      <c r="E3228" s="2">
        <v>40224</v>
      </c>
      <c r="F3228" t="str">
        <f>"9780470551561"</f>
        <v>9780470551561</v>
      </c>
      <c r="G3228" t="str">
        <f>"9780470521564"</f>
        <v>9780470521564</v>
      </c>
      <c r="H3228" t="s">
        <v>542</v>
      </c>
      <c r="I3228" t="s">
        <v>559</v>
      </c>
      <c r="J3228" t="s">
        <v>560</v>
      </c>
      <c r="K3228" t="s">
        <v>44</v>
      </c>
      <c r="N3228" t="s">
        <v>45</v>
      </c>
      <c r="O3228" t="s">
        <v>46</v>
      </c>
      <c r="P3228" t="s">
        <v>45</v>
      </c>
      <c r="Q3228" t="s">
        <v>47</v>
      </c>
      <c r="R3228" t="s">
        <v>44</v>
      </c>
      <c r="S3228">
        <v>0</v>
      </c>
      <c r="W3228" s="3">
        <v>1.0648148148148147E-3</v>
      </c>
      <c r="X3228" t="s">
        <v>6641</v>
      </c>
      <c r="Y3228">
        <v>10</v>
      </c>
      <c r="Z3228">
        <v>0</v>
      </c>
      <c r="AA3228" t="s">
        <v>49</v>
      </c>
      <c r="AB3228">
        <v>0</v>
      </c>
      <c r="AC3228" t="s">
        <v>49</v>
      </c>
      <c r="AD3228">
        <v>0</v>
      </c>
      <c r="AE3228">
        <v>10381083</v>
      </c>
      <c r="AF3228" t="s">
        <v>50</v>
      </c>
      <c r="AG3228" t="s">
        <v>6642</v>
      </c>
    </row>
    <row r="3229" spans="1:33" x14ac:dyDescent="0.35">
      <c r="A3229" s="1">
        <v>44745.584027777775</v>
      </c>
      <c r="B3229">
        <v>510127</v>
      </c>
      <c r="C3229" t="s">
        <v>558</v>
      </c>
      <c r="D3229" t="s">
        <v>59</v>
      </c>
      <c r="E3229" s="2">
        <v>40224</v>
      </c>
      <c r="F3229" t="str">
        <f>"9780470551561"</f>
        <v>9780470551561</v>
      </c>
      <c r="G3229" t="str">
        <f>"9780470521564"</f>
        <v>9780470521564</v>
      </c>
      <c r="H3229" t="s">
        <v>542</v>
      </c>
      <c r="I3229" t="s">
        <v>559</v>
      </c>
      <c r="J3229" t="s">
        <v>560</v>
      </c>
      <c r="K3229" t="s">
        <v>44</v>
      </c>
      <c r="N3229" t="s">
        <v>45</v>
      </c>
      <c r="O3229" t="s">
        <v>46</v>
      </c>
      <c r="P3229" t="s">
        <v>45</v>
      </c>
      <c r="Q3229" t="s">
        <v>47</v>
      </c>
      <c r="R3229" t="s">
        <v>44</v>
      </c>
      <c r="S3229">
        <v>0</v>
      </c>
      <c r="W3229" s="3">
        <v>5.4398148148148144E-4</v>
      </c>
      <c r="X3229" t="s">
        <v>6643</v>
      </c>
      <c r="Y3229">
        <v>8</v>
      </c>
      <c r="Z3229">
        <v>0</v>
      </c>
      <c r="AA3229" t="s">
        <v>49</v>
      </c>
      <c r="AB3229">
        <v>0</v>
      </c>
      <c r="AC3229" t="s">
        <v>49</v>
      </c>
      <c r="AD3229">
        <v>0</v>
      </c>
      <c r="AE3229">
        <v>10381083</v>
      </c>
      <c r="AF3229" t="s">
        <v>50</v>
      </c>
      <c r="AG3229" t="s">
        <v>6642</v>
      </c>
    </row>
    <row r="3230" spans="1:33" x14ac:dyDescent="0.35">
      <c r="A3230" s="1">
        <v>44744.575694444444</v>
      </c>
      <c r="B3230">
        <v>1477522</v>
      </c>
      <c r="C3230" t="s">
        <v>3625</v>
      </c>
      <c r="D3230" t="s">
        <v>2022</v>
      </c>
      <c r="E3230" s="2">
        <v>41542</v>
      </c>
      <c r="F3230" t="str">
        <f>"9781443852760"</f>
        <v>9781443852760</v>
      </c>
      <c r="G3230" t="str">
        <f>"9781443848275"</f>
        <v>9781443848275</v>
      </c>
      <c r="H3230" t="s">
        <v>474</v>
      </c>
      <c r="I3230">
        <v>197</v>
      </c>
      <c r="J3230" t="s">
        <v>3626</v>
      </c>
      <c r="K3230" t="s">
        <v>44</v>
      </c>
      <c r="N3230" t="s">
        <v>45</v>
      </c>
      <c r="O3230" t="s">
        <v>46</v>
      </c>
      <c r="P3230" t="s">
        <v>45</v>
      </c>
      <c r="Q3230" t="s">
        <v>47</v>
      </c>
      <c r="R3230" t="s">
        <v>44</v>
      </c>
      <c r="S3230">
        <v>0</v>
      </c>
      <c r="W3230" s="3">
        <v>5.8333333333333336E-3</v>
      </c>
      <c r="X3230" t="s">
        <v>6644</v>
      </c>
      <c r="Y3230">
        <v>10</v>
      </c>
      <c r="Z3230">
        <v>0</v>
      </c>
      <c r="AA3230" t="s">
        <v>49</v>
      </c>
      <c r="AB3230">
        <v>0</v>
      </c>
      <c r="AC3230" t="s">
        <v>49</v>
      </c>
      <c r="AD3230">
        <v>0</v>
      </c>
      <c r="AE3230">
        <v>10778085</v>
      </c>
      <c r="AF3230" t="s">
        <v>50</v>
      </c>
      <c r="AG3230" t="s">
        <v>6642</v>
      </c>
    </row>
    <row r="3231" spans="1:33" x14ac:dyDescent="0.35">
      <c r="A3231" s="1">
        <v>44743.723611111112</v>
      </c>
      <c r="B3231">
        <v>510127</v>
      </c>
      <c r="C3231" t="s">
        <v>558</v>
      </c>
      <c r="D3231" t="s">
        <v>59</v>
      </c>
      <c r="E3231" s="2">
        <v>40224</v>
      </c>
      <c r="F3231" t="str">
        <f>"9780470551561"</f>
        <v>9780470551561</v>
      </c>
      <c r="G3231" t="str">
        <f>"9780470521564"</f>
        <v>9780470521564</v>
      </c>
      <c r="H3231" t="s">
        <v>542</v>
      </c>
      <c r="I3231" t="s">
        <v>559</v>
      </c>
      <c r="J3231" t="s">
        <v>560</v>
      </c>
      <c r="K3231" t="s">
        <v>44</v>
      </c>
      <c r="N3231" t="s">
        <v>45</v>
      </c>
      <c r="O3231" t="s">
        <v>46</v>
      </c>
      <c r="P3231" t="s">
        <v>45</v>
      </c>
      <c r="Q3231" t="s">
        <v>47</v>
      </c>
      <c r="R3231" t="s">
        <v>44</v>
      </c>
      <c r="S3231">
        <v>0</v>
      </c>
      <c r="W3231" s="3">
        <v>1.1342592592592591E-3</v>
      </c>
      <c r="X3231" t="s">
        <v>6645</v>
      </c>
      <c r="Y3231">
        <v>15</v>
      </c>
      <c r="Z3231">
        <v>0</v>
      </c>
      <c r="AA3231" t="s">
        <v>49</v>
      </c>
      <c r="AB3231">
        <v>0</v>
      </c>
      <c r="AC3231" t="s">
        <v>49</v>
      </c>
      <c r="AD3231">
        <v>0</v>
      </c>
      <c r="AE3231">
        <v>10381083</v>
      </c>
      <c r="AF3231" t="s">
        <v>50</v>
      </c>
      <c r="AG3231" t="s">
        <v>6642</v>
      </c>
    </row>
    <row r="3232" spans="1:33" x14ac:dyDescent="0.35">
      <c r="A3232" s="1">
        <v>44743.484722222223</v>
      </c>
      <c r="B3232">
        <v>270004</v>
      </c>
      <c r="C3232" t="s">
        <v>6617</v>
      </c>
      <c r="D3232" t="s">
        <v>65</v>
      </c>
      <c r="E3232" s="2">
        <v>38653</v>
      </c>
      <c r="F3232" t="str">
        <f>"9780080456409"</f>
        <v>9780080456409</v>
      </c>
      <c r="G3232" t="str">
        <f>"9780750664714"</f>
        <v>9780750664714</v>
      </c>
      <c r="H3232" t="s">
        <v>138</v>
      </c>
      <c r="I3232">
        <v>5.2729999999999997</v>
      </c>
      <c r="J3232" t="s">
        <v>6618</v>
      </c>
      <c r="K3232" t="s">
        <v>44</v>
      </c>
      <c r="N3232" t="s">
        <v>45</v>
      </c>
      <c r="O3232" t="s">
        <v>46</v>
      </c>
      <c r="P3232" t="s">
        <v>45</v>
      </c>
      <c r="Q3232" t="s">
        <v>47</v>
      </c>
      <c r="R3232" t="s">
        <v>44</v>
      </c>
      <c r="S3232">
        <v>0</v>
      </c>
      <c r="W3232" s="3">
        <v>1.2847222222222223E-3</v>
      </c>
      <c r="X3232" t="s">
        <v>6646</v>
      </c>
      <c r="Y3232">
        <v>13</v>
      </c>
      <c r="Z3232">
        <v>0</v>
      </c>
      <c r="AA3232" t="s">
        <v>49</v>
      </c>
      <c r="AB3232">
        <v>0</v>
      </c>
      <c r="AC3232" t="s">
        <v>49</v>
      </c>
      <c r="AD3232">
        <v>0</v>
      </c>
      <c r="AE3232">
        <v>10138749</v>
      </c>
      <c r="AF3232" t="s">
        <v>50</v>
      </c>
      <c r="AG3232" t="s">
        <v>5049</v>
      </c>
    </row>
    <row r="3233" spans="1:33" x14ac:dyDescent="0.35">
      <c r="A3233" s="1">
        <v>44743.484027777777</v>
      </c>
      <c r="B3233">
        <v>1113162</v>
      </c>
      <c r="C3233" t="s">
        <v>6620</v>
      </c>
      <c r="D3233" t="s">
        <v>71</v>
      </c>
      <c r="E3233" s="2">
        <v>33939</v>
      </c>
      <c r="F3233" t="str">
        <f>"9789812812469"</f>
        <v>9789812812469</v>
      </c>
      <c r="G3233" t="str">
        <f>"9789810210632"</f>
        <v>9789810210632</v>
      </c>
      <c r="H3233" t="s">
        <v>6621</v>
      </c>
      <c r="I3233">
        <v>629</v>
      </c>
      <c r="J3233" t="s">
        <v>6622</v>
      </c>
      <c r="K3233" t="s">
        <v>44</v>
      </c>
      <c r="N3233" t="s">
        <v>45</v>
      </c>
      <c r="O3233" t="s">
        <v>46</v>
      </c>
      <c r="P3233" t="s">
        <v>45</v>
      </c>
      <c r="Q3233" t="s">
        <v>47</v>
      </c>
      <c r="R3233" t="s">
        <v>44</v>
      </c>
      <c r="S3233">
        <v>0</v>
      </c>
      <c r="W3233" s="3">
        <v>4.1666666666666669E-4</v>
      </c>
      <c r="X3233" t="s">
        <v>6647</v>
      </c>
      <c r="Y3233">
        <v>7</v>
      </c>
      <c r="Z3233">
        <v>0</v>
      </c>
      <c r="AA3233" t="s">
        <v>49</v>
      </c>
      <c r="AB3233">
        <v>0</v>
      </c>
      <c r="AC3233" t="s">
        <v>49</v>
      </c>
      <c r="AD3233">
        <v>0</v>
      </c>
      <c r="AE3233">
        <v>10648640</v>
      </c>
      <c r="AF3233" t="s">
        <v>50</v>
      </c>
      <c r="AG3233" t="s">
        <v>5049</v>
      </c>
    </row>
    <row r="3234" spans="1:33" x14ac:dyDescent="0.35">
      <c r="A3234" s="1">
        <v>44742.46875</v>
      </c>
      <c r="B3234">
        <v>286669</v>
      </c>
      <c r="C3234" t="s">
        <v>1361</v>
      </c>
      <c r="D3234" t="s">
        <v>213</v>
      </c>
      <c r="E3234" s="2">
        <v>37869</v>
      </c>
      <c r="F3234" t="str">
        <f>"9780080469959"</f>
        <v>9780080469959</v>
      </c>
      <c r="G3234" t="str">
        <f>"9780750647090"</f>
        <v>9780750647090</v>
      </c>
      <c r="H3234" t="s">
        <v>1362</v>
      </c>
      <c r="I3234">
        <v>670.72</v>
      </c>
      <c r="J3234" t="s">
        <v>1363</v>
      </c>
      <c r="K3234" t="s">
        <v>44</v>
      </c>
      <c r="N3234" t="s">
        <v>45</v>
      </c>
      <c r="O3234" t="s">
        <v>46</v>
      </c>
      <c r="P3234" t="s">
        <v>45</v>
      </c>
      <c r="Q3234" t="s">
        <v>47</v>
      </c>
      <c r="R3234" t="s">
        <v>44</v>
      </c>
      <c r="S3234">
        <v>0</v>
      </c>
      <c r="W3234" s="3">
        <v>2.1412037037037038E-3</v>
      </c>
      <c r="X3234" t="s">
        <v>6648</v>
      </c>
      <c r="Y3234">
        <v>17</v>
      </c>
      <c r="Z3234">
        <v>0</v>
      </c>
      <c r="AA3234" t="s">
        <v>49</v>
      </c>
      <c r="AB3234">
        <v>0</v>
      </c>
      <c r="AC3234" t="s">
        <v>49</v>
      </c>
      <c r="AD3234">
        <v>0</v>
      </c>
      <c r="AE3234">
        <v>10166962</v>
      </c>
      <c r="AF3234" t="s">
        <v>50</v>
      </c>
      <c r="AG3234" t="s">
        <v>5049</v>
      </c>
    </row>
    <row r="3235" spans="1:33" x14ac:dyDescent="0.35">
      <c r="A3235" s="1">
        <v>44742.374305555553</v>
      </c>
      <c r="B3235">
        <v>958140</v>
      </c>
      <c r="C3235" t="s">
        <v>6649</v>
      </c>
      <c r="D3235" t="s">
        <v>76</v>
      </c>
      <c r="E3235" s="2">
        <v>40858</v>
      </c>
      <c r="F3235" t="str">
        <f>"9780203809273"</f>
        <v>9780203809273</v>
      </c>
      <c r="G3235" t="str">
        <f>"9780415782982"</f>
        <v>9780415782982</v>
      </c>
      <c r="H3235" t="s">
        <v>425</v>
      </c>
      <c r="I3235" t="s">
        <v>5608</v>
      </c>
      <c r="J3235" t="s">
        <v>6650</v>
      </c>
      <c r="K3235" t="s">
        <v>44</v>
      </c>
      <c r="N3235" t="s">
        <v>45</v>
      </c>
      <c r="O3235" t="s">
        <v>46</v>
      </c>
      <c r="P3235" t="s">
        <v>45</v>
      </c>
      <c r="Q3235" t="s">
        <v>47</v>
      </c>
      <c r="R3235" t="s">
        <v>44</v>
      </c>
      <c r="S3235">
        <v>0</v>
      </c>
      <c r="W3235" s="3">
        <v>4.6296296296296294E-5</v>
      </c>
      <c r="X3235" t="s">
        <v>121</v>
      </c>
      <c r="Y3235">
        <v>1</v>
      </c>
      <c r="Z3235">
        <v>0</v>
      </c>
      <c r="AA3235" t="s">
        <v>49</v>
      </c>
      <c r="AB3235">
        <v>0</v>
      </c>
      <c r="AC3235" t="s">
        <v>49</v>
      </c>
      <c r="AD3235">
        <v>0</v>
      </c>
      <c r="AE3235">
        <v>10610132</v>
      </c>
      <c r="AF3235" t="s">
        <v>50</v>
      </c>
      <c r="AG3235" t="s">
        <v>6651</v>
      </c>
    </row>
    <row r="3236" spans="1:33" x14ac:dyDescent="0.35">
      <c r="A3236" s="1">
        <v>44742.373611111114</v>
      </c>
      <c r="B3236">
        <v>776553</v>
      </c>
      <c r="C3236" t="s">
        <v>6652</v>
      </c>
      <c r="D3236" t="s">
        <v>2754</v>
      </c>
      <c r="E3236" s="2">
        <v>40729</v>
      </c>
      <c r="F3236" t="str">
        <f>"9780816678327"</f>
        <v>9780816678327</v>
      </c>
      <c r="G3236" t="str">
        <f>"9780816651344"</f>
        <v>9780816651344</v>
      </c>
      <c r="H3236" t="s">
        <v>1046</v>
      </c>
      <c r="I3236">
        <v>305.42096400000003</v>
      </c>
      <c r="J3236" t="s">
        <v>6653</v>
      </c>
      <c r="K3236" t="s">
        <v>44</v>
      </c>
      <c r="N3236" t="s">
        <v>45</v>
      </c>
      <c r="O3236" t="s">
        <v>46</v>
      </c>
      <c r="P3236" t="s">
        <v>45</v>
      </c>
      <c r="Q3236" t="s">
        <v>47</v>
      </c>
      <c r="R3236" t="s">
        <v>44</v>
      </c>
      <c r="S3236">
        <v>0</v>
      </c>
      <c r="W3236" s="3">
        <v>5.7870370370370366E-5</v>
      </c>
      <c r="X3236" t="s">
        <v>121</v>
      </c>
      <c r="Y3236">
        <v>1</v>
      </c>
      <c r="Z3236">
        <v>0</v>
      </c>
      <c r="AA3236" t="s">
        <v>49</v>
      </c>
      <c r="AB3236">
        <v>0</v>
      </c>
      <c r="AC3236" t="s">
        <v>49</v>
      </c>
      <c r="AD3236">
        <v>0</v>
      </c>
      <c r="AE3236">
        <v>10500268</v>
      </c>
      <c r="AF3236" t="s">
        <v>50</v>
      </c>
      <c r="AG3236" t="s">
        <v>6651</v>
      </c>
    </row>
    <row r="3237" spans="1:33" x14ac:dyDescent="0.35">
      <c r="A3237" s="1">
        <v>44741.990277777775</v>
      </c>
      <c r="B3237">
        <v>2025588</v>
      </c>
      <c r="C3237" t="s">
        <v>442</v>
      </c>
      <c r="D3237" t="s">
        <v>443</v>
      </c>
      <c r="E3237" s="2">
        <v>42248</v>
      </c>
      <c r="F3237" t="str">
        <f>"9780520962491"</f>
        <v>9780520962491</v>
      </c>
      <c r="G3237" t="str">
        <f>"9780520287310"</f>
        <v>9780520287310</v>
      </c>
      <c r="H3237" t="s">
        <v>162</v>
      </c>
      <c r="I3237" t="s">
        <v>444</v>
      </c>
      <c r="J3237" t="s">
        <v>445</v>
      </c>
      <c r="K3237" t="s">
        <v>44</v>
      </c>
      <c r="N3237" t="s">
        <v>45</v>
      </c>
      <c r="O3237" t="s">
        <v>46</v>
      </c>
      <c r="P3237" t="s">
        <v>177</v>
      </c>
      <c r="Q3237" t="s">
        <v>47</v>
      </c>
      <c r="R3237" t="s">
        <v>55</v>
      </c>
      <c r="S3237">
        <v>0</v>
      </c>
      <c r="W3237" s="3">
        <v>2.5462962962962961E-4</v>
      </c>
      <c r="X3237" t="s">
        <v>6654</v>
      </c>
      <c r="Y3237">
        <v>5</v>
      </c>
      <c r="Z3237">
        <v>0</v>
      </c>
      <c r="AA3237" t="s">
        <v>49</v>
      </c>
      <c r="AB3237">
        <v>0</v>
      </c>
      <c r="AC3237" t="s">
        <v>49</v>
      </c>
      <c r="AD3237">
        <v>0</v>
      </c>
      <c r="AE3237">
        <v>11085800</v>
      </c>
      <c r="AF3237" t="s">
        <v>50</v>
      </c>
      <c r="AG3237" t="s">
        <v>6655</v>
      </c>
    </row>
    <row r="3238" spans="1:33" x14ac:dyDescent="0.35">
      <c r="A3238" s="1">
        <v>44741.825694444444</v>
      </c>
      <c r="B3238">
        <v>1477522</v>
      </c>
      <c r="C3238" t="s">
        <v>3625</v>
      </c>
      <c r="D3238" t="s">
        <v>2022</v>
      </c>
      <c r="E3238" s="2">
        <v>41542</v>
      </c>
      <c r="F3238" t="str">
        <f>"9781443852760"</f>
        <v>9781443852760</v>
      </c>
      <c r="G3238" t="str">
        <f>"9781443848275"</f>
        <v>9781443848275</v>
      </c>
      <c r="H3238" t="s">
        <v>474</v>
      </c>
      <c r="I3238">
        <v>197</v>
      </c>
      <c r="J3238" t="s">
        <v>3626</v>
      </c>
      <c r="K3238" t="s">
        <v>44</v>
      </c>
      <c r="N3238" t="s">
        <v>45</v>
      </c>
      <c r="O3238" t="s">
        <v>46</v>
      </c>
      <c r="P3238" t="s">
        <v>45</v>
      </c>
      <c r="Q3238" t="s">
        <v>47</v>
      </c>
      <c r="R3238" t="s">
        <v>44</v>
      </c>
      <c r="S3238">
        <v>0</v>
      </c>
      <c r="W3238" s="3">
        <v>3.4722222222222222E-5</v>
      </c>
      <c r="X3238" t="s">
        <v>121</v>
      </c>
      <c r="Y3238">
        <v>1</v>
      </c>
      <c r="Z3238">
        <v>0</v>
      </c>
      <c r="AA3238" t="s">
        <v>49</v>
      </c>
      <c r="AB3238">
        <v>0</v>
      </c>
      <c r="AC3238" t="s">
        <v>49</v>
      </c>
      <c r="AD3238">
        <v>0</v>
      </c>
      <c r="AE3238">
        <v>10778085</v>
      </c>
      <c r="AF3238" t="s">
        <v>50</v>
      </c>
      <c r="AG3238" t="s">
        <v>6609</v>
      </c>
    </row>
    <row r="3239" spans="1:33" x14ac:dyDescent="0.35">
      <c r="A3239" s="1">
        <v>44741.663888888892</v>
      </c>
      <c r="B3239">
        <v>6261984</v>
      </c>
      <c r="C3239" t="s">
        <v>6656</v>
      </c>
      <c r="D3239" t="s">
        <v>4871</v>
      </c>
      <c r="E3239" s="2">
        <v>42691</v>
      </c>
      <c r="F3239" t="str">
        <f>"9781506356518"</f>
        <v>9781506356518</v>
      </c>
      <c r="G3239" t="str">
        <f>"9781506356495"</f>
        <v>9781506356495</v>
      </c>
      <c r="H3239" t="s">
        <v>90</v>
      </c>
      <c r="I3239">
        <v>371.10199999999998</v>
      </c>
      <c r="J3239" t="s">
        <v>6657</v>
      </c>
      <c r="K3239" t="s">
        <v>55</v>
      </c>
      <c r="N3239" t="s">
        <v>79</v>
      </c>
      <c r="P3239" t="s">
        <v>80</v>
      </c>
      <c r="Q3239" t="s">
        <v>47</v>
      </c>
      <c r="R3239" t="s">
        <v>44</v>
      </c>
      <c r="S3239">
        <v>0</v>
      </c>
      <c r="W3239" s="3">
        <v>1.712962962962963E-3</v>
      </c>
      <c r="X3239" t="s">
        <v>6658</v>
      </c>
      <c r="Y3239">
        <v>25</v>
      </c>
      <c r="Z3239">
        <v>0</v>
      </c>
      <c r="AA3239" t="s">
        <v>49</v>
      </c>
      <c r="AB3239">
        <v>0</v>
      </c>
      <c r="AC3239" t="s">
        <v>49</v>
      </c>
      <c r="AD3239">
        <v>0</v>
      </c>
      <c r="AE3239">
        <v>-1</v>
      </c>
      <c r="AF3239" t="s">
        <v>50</v>
      </c>
      <c r="AG3239" t="s">
        <v>6551</v>
      </c>
    </row>
    <row r="3240" spans="1:33" x14ac:dyDescent="0.35">
      <c r="A3240" s="1">
        <v>44741.660416666666</v>
      </c>
      <c r="B3240">
        <v>6510821</v>
      </c>
      <c r="C3240" t="s">
        <v>6659</v>
      </c>
      <c r="D3240" t="s">
        <v>125</v>
      </c>
      <c r="E3240" s="2">
        <v>44288</v>
      </c>
      <c r="F3240" t="str">
        <f>"9780197506240"</f>
        <v>9780197506240</v>
      </c>
      <c r="G3240" t="str">
        <f>"9780197506226"</f>
        <v>9780197506226</v>
      </c>
      <c r="H3240" t="s">
        <v>77</v>
      </c>
      <c r="I3240">
        <v>610.69000000000005</v>
      </c>
      <c r="J3240" t="s">
        <v>6660</v>
      </c>
      <c r="K3240" t="s">
        <v>55</v>
      </c>
      <c r="N3240" t="s">
        <v>79</v>
      </c>
      <c r="P3240" t="s">
        <v>1169</v>
      </c>
      <c r="Q3240" t="s">
        <v>47</v>
      </c>
      <c r="R3240" t="s">
        <v>44</v>
      </c>
      <c r="S3240">
        <v>0</v>
      </c>
      <c r="W3240" s="3">
        <v>0</v>
      </c>
      <c r="X3240" t="s">
        <v>49</v>
      </c>
      <c r="Y3240">
        <v>0</v>
      </c>
      <c r="Z3240">
        <v>4</v>
      </c>
      <c r="AA3240" t="s">
        <v>6661</v>
      </c>
      <c r="AB3240">
        <v>60</v>
      </c>
      <c r="AC3240" t="s">
        <v>49</v>
      </c>
      <c r="AD3240">
        <v>0</v>
      </c>
      <c r="AE3240">
        <v>-1</v>
      </c>
      <c r="AF3240" t="s">
        <v>50</v>
      </c>
      <c r="AG3240" t="s">
        <v>6551</v>
      </c>
    </row>
    <row r="3241" spans="1:33" x14ac:dyDescent="0.35">
      <c r="A3241" s="1">
        <v>44741.543055555558</v>
      </c>
      <c r="B3241">
        <v>584606</v>
      </c>
      <c r="C3241" t="s">
        <v>6662</v>
      </c>
      <c r="D3241" t="s">
        <v>125</v>
      </c>
      <c r="E3241" s="2">
        <v>38939</v>
      </c>
      <c r="F3241" t="str">
        <f>"9780199775002"</f>
        <v>9780199775002</v>
      </c>
      <c r="G3241" t="str">
        <f>"9780195311846"</f>
        <v>9780195311846</v>
      </c>
      <c r="H3241" t="s">
        <v>4247</v>
      </c>
      <c r="I3241" t="s">
        <v>6663</v>
      </c>
      <c r="J3241" t="s">
        <v>6664</v>
      </c>
      <c r="K3241" t="s">
        <v>44</v>
      </c>
      <c r="N3241" t="s">
        <v>45</v>
      </c>
      <c r="O3241" t="s">
        <v>46</v>
      </c>
      <c r="P3241" t="s">
        <v>45</v>
      </c>
      <c r="Q3241" t="s">
        <v>47</v>
      </c>
      <c r="R3241" t="s">
        <v>44</v>
      </c>
      <c r="S3241">
        <v>1</v>
      </c>
      <c r="W3241" s="3">
        <v>0</v>
      </c>
      <c r="X3241" t="s">
        <v>49</v>
      </c>
      <c r="Y3241">
        <v>0</v>
      </c>
      <c r="Z3241">
        <v>0</v>
      </c>
      <c r="AA3241" t="s">
        <v>49</v>
      </c>
      <c r="AB3241">
        <v>0</v>
      </c>
      <c r="AC3241" t="s">
        <v>49</v>
      </c>
      <c r="AD3241">
        <v>0</v>
      </c>
      <c r="AE3241">
        <v>10437713</v>
      </c>
      <c r="AF3241" t="s">
        <v>63</v>
      </c>
      <c r="AG3241" t="s">
        <v>6551</v>
      </c>
    </row>
    <row r="3242" spans="1:33" x14ac:dyDescent="0.35">
      <c r="A3242" s="1">
        <v>44741.447222222225</v>
      </c>
      <c r="B3242">
        <v>2025588</v>
      </c>
      <c r="C3242" t="s">
        <v>442</v>
      </c>
      <c r="D3242" t="s">
        <v>443</v>
      </c>
      <c r="E3242" s="2">
        <v>42248</v>
      </c>
      <c r="F3242" t="str">
        <f>"9780520962491"</f>
        <v>9780520962491</v>
      </c>
      <c r="G3242" t="str">
        <f>"9780520287310"</f>
        <v>9780520287310</v>
      </c>
      <c r="H3242" t="s">
        <v>162</v>
      </c>
      <c r="I3242" t="s">
        <v>444</v>
      </c>
      <c r="J3242" t="s">
        <v>445</v>
      </c>
      <c r="K3242" t="s">
        <v>44</v>
      </c>
      <c r="N3242" t="s">
        <v>45</v>
      </c>
      <c r="O3242" t="s">
        <v>46</v>
      </c>
      <c r="P3242" t="s">
        <v>177</v>
      </c>
      <c r="Q3242" t="s">
        <v>47</v>
      </c>
      <c r="R3242" t="s">
        <v>55</v>
      </c>
      <c r="S3242">
        <v>0</v>
      </c>
      <c r="W3242" s="3">
        <v>9.4907407407407408E-4</v>
      </c>
      <c r="X3242" t="s">
        <v>6665</v>
      </c>
      <c r="Y3242">
        <v>13</v>
      </c>
      <c r="Z3242">
        <v>0</v>
      </c>
      <c r="AA3242" t="s">
        <v>49</v>
      </c>
      <c r="AB3242">
        <v>0</v>
      </c>
      <c r="AC3242" t="s">
        <v>49</v>
      </c>
      <c r="AD3242">
        <v>0</v>
      </c>
      <c r="AE3242">
        <v>11085800</v>
      </c>
      <c r="AF3242" t="s">
        <v>50</v>
      </c>
      <c r="AG3242" t="s">
        <v>6666</v>
      </c>
    </row>
    <row r="3243" spans="1:33" x14ac:dyDescent="0.35">
      <c r="A3243" s="1">
        <v>44741.38958333333</v>
      </c>
      <c r="B3243">
        <v>2025588</v>
      </c>
      <c r="C3243" t="s">
        <v>442</v>
      </c>
      <c r="D3243" t="s">
        <v>443</v>
      </c>
      <c r="E3243" s="2">
        <v>42248</v>
      </c>
      <c r="F3243" t="str">
        <f>"9780520962491"</f>
        <v>9780520962491</v>
      </c>
      <c r="G3243" t="str">
        <f>"9780520287310"</f>
        <v>9780520287310</v>
      </c>
      <c r="H3243" t="s">
        <v>162</v>
      </c>
      <c r="I3243" t="s">
        <v>444</v>
      </c>
      <c r="J3243" t="s">
        <v>445</v>
      </c>
      <c r="K3243" t="s">
        <v>44</v>
      </c>
      <c r="N3243" t="s">
        <v>45</v>
      </c>
      <c r="O3243" t="s">
        <v>46</v>
      </c>
      <c r="P3243" t="s">
        <v>177</v>
      </c>
      <c r="Q3243" t="s">
        <v>47</v>
      </c>
      <c r="R3243" t="s">
        <v>55</v>
      </c>
      <c r="S3243">
        <v>0</v>
      </c>
      <c r="W3243" s="3">
        <v>3.2071759259259258E-2</v>
      </c>
      <c r="X3243" t="s">
        <v>6667</v>
      </c>
      <c r="Y3243">
        <v>50</v>
      </c>
      <c r="Z3243">
        <v>0</v>
      </c>
      <c r="AA3243" t="s">
        <v>49</v>
      </c>
      <c r="AB3243">
        <v>0</v>
      </c>
      <c r="AC3243" t="s">
        <v>49</v>
      </c>
      <c r="AD3243">
        <v>0</v>
      </c>
      <c r="AE3243">
        <v>11085800</v>
      </c>
      <c r="AF3243" t="s">
        <v>50</v>
      </c>
      <c r="AG3243" t="s">
        <v>6651</v>
      </c>
    </row>
    <row r="3244" spans="1:33" x14ac:dyDescent="0.35">
      <c r="A3244" s="1">
        <v>44741.388888888891</v>
      </c>
      <c r="B3244">
        <v>2025588</v>
      </c>
      <c r="C3244" t="s">
        <v>442</v>
      </c>
      <c r="D3244" t="s">
        <v>443</v>
      </c>
      <c r="E3244" s="2">
        <v>42248</v>
      </c>
      <c r="F3244" t="str">
        <f>"9780520962491"</f>
        <v>9780520962491</v>
      </c>
      <c r="G3244" t="str">
        <f>"9780520287310"</f>
        <v>9780520287310</v>
      </c>
      <c r="H3244" t="s">
        <v>162</v>
      </c>
      <c r="I3244" t="s">
        <v>444</v>
      </c>
      <c r="J3244" t="s">
        <v>445</v>
      </c>
      <c r="K3244" t="s">
        <v>44</v>
      </c>
      <c r="N3244" t="s">
        <v>45</v>
      </c>
      <c r="O3244" t="s">
        <v>46</v>
      </c>
      <c r="P3244" t="s">
        <v>177</v>
      </c>
      <c r="Q3244" t="s">
        <v>47</v>
      </c>
      <c r="R3244" t="s">
        <v>55</v>
      </c>
      <c r="S3244">
        <v>0</v>
      </c>
      <c r="W3244" s="3">
        <v>4.1666666666666669E-4</v>
      </c>
      <c r="X3244" t="s">
        <v>6668</v>
      </c>
      <c r="Y3244">
        <v>4</v>
      </c>
      <c r="Z3244">
        <v>0</v>
      </c>
      <c r="AA3244" t="s">
        <v>49</v>
      </c>
      <c r="AB3244">
        <v>0</v>
      </c>
      <c r="AC3244" t="s">
        <v>49</v>
      </c>
      <c r="AD3244">
        <v>0</v>
      </c>
      <c r="AE3244">
        <v>11085800</v>
      </c>
      <c r="AF3244" t="s">
        <v>50</v>
      </c>
      <c r="AG3244" t="s">
        <v>6651</v>
      </c>
    </row>
    <row r="3245" spans="1:33" x14ac:dyDescent="0.35">
      <c r="A3245" s="1">
        <v>44741.071527777778</v>
      </c>
      <c r="B3245">
        <v>1477522</v>
      </c>
      <c r="C3245" t="s">
        <v>3625</v>
      </c>
      <c r="D3245" t="s">
        <v>2022</v>
      </c>
      <c r="E3245" s="2">
        <v>41542</v>
      </c>
      <c r="F3245" t="str">
        <f>"9781443852760"</f>
        <v>9781443852760</v>
      </c>
      <c r="G3245" t="str">
        <f>"9781443848275"</f>
        <v>9781443848275</v>
      </c>
      <c r="H3245" t="s">
        <v>474</v>
      </c>
      <c r="I3245">
        <v>197</v>
      </c>
      <c r="J3245" t="s">
        <v>3626</v>
      </c>
      <c r="K3245" t="s">
        <v>44</v>
      </c>
      <c r="N3245" t="s">
        <v>45</v>
      </c>
      <c r="O3245" t="s">
        <v>46</v>
      </c>
      <c r="P3245" t="s">
        <v>45</v>
      </c>
      <c r="Q3245" t="s">
        <v>47</v>
      </c>
      <c r="R3245" t="s">
        <v>44</v>
      </c>
      <c r="S3245">
        <v>0</v>
      </c>
      <c r="W3245" s="3">
        <v>5.7870370370370366E-5</v>
      </c>
      <c r="X3245" t="s">
        <v>121</v>
      </c>
      <c r="Y3245">
        <v>1</v>
      </c>
      <c r="Z3245">
        <v>0</v>
      </c>
      <c r="AA3245" t="s">
        <v>49</v>
      </c>
      <c r="AB3245">
        <v>0</v>
      </c>
      <c r="AC3245" t="s">
        <v>49</v>
      </c>
      <c r="AD3245">
        <v>0</v>
      </c>
      <c r="AE3245">
        <v>10778085</v>
      </c>
      <c r="AF3245" t="s">
        <v>50</v>
      </c>
      <c r="AG3245" t="s">
        <v>6609</v>
      </c>
    </row>
    <row r="3246" spans="1:33" x14ac:dyDescent="0.35">
      <c r="A3246" s="1">
        <v>44741.046527777777</v>
      </c>
      <c r="B3246">
        <v>776553</v>
      </c>
      <c r="C3246" t="s">
        <v>6652</v>
      </c>
      <c r="D3246" t="s">
        <v>2754</v>
      </c>
      <c r="E3246" s="2">
        <v>40729</v>
      </c>
      <c r="F3246" t="str">
        <f>"9780816678327"</f>
        <v>9780816678327</v>
      </c>
      <c r="G3246" t="str">
        <f>"9780816651344"</f>
        <v>9780816651344</v>
      </c>
      <c r="H3246" t="s">
        <v>1046</v>
      </c>
      <c r="I3246">
        <v>305.42096400000003</v>
      </c>
      <c r="J3246" t="s">
        <v>6653</v>
      </c>
      <c r="K3246" t="s">
        <v>44</v>
      </c>
      <c r="N3246" t="s">
        <v>45</v>
      </c>
      <c r="O3246" t="s">
        <v>46</v>
      </c>
      <c r="P3246" t="s">
        <v>45</v>
      </c>
      <c r="Q3246" t="s">
        <v>47</v>
      </c>
      <c r="R3246" t="s">
        <v>44</v>
      </c>
      <c r="S3246">
        <v>0</v>
      </c>
      <c r="W3246" s="3">
        <v>1.3078703703703705E-3</v>
      </c>
      <c r="X3246" t="s">
        <v>6669</v>
      </c>
      <c r="Y3246">
        <v>12</v>
      </c>
      <c r="Z3246">
        <v>0</v>
      </c>
      <c r="AA3246" t="s">
        <v>49</v>
      </c>
      <c r="AB3246">
        <v>0</v>
      </c>
      <c r="AC3246" t="s">
        <v>49</v>
      </c>
      <c r="AD3246">
        <v>0</v>
      </c>
      <c r="AE3246">
        <v>10500268</v>
      </c>
      <c r="AF3246" t="s">
        <v>50</v>
      </c>
      <c r="AG3246" t="s">
        <v>6551</v>
      </c>
    </row>
    <row r="3247" spans="1:33" x14ac:dyDescent="0.35">
      <c r="A3247" s="1">
        <v>44741.043749999997</v>
      </c>
      <c r="B3247">
        <v>1699226</v>
      </c>
      <c r="C3247" t="s">
        <v>6670</v>
      </c>
      <c r="D3247" t="s">
        <v>6671</v>
      </c>
      <c r="E3247" s="2">
        <v>41780</v>
      </c>
      <c r="F3247" t="str">
        <f>"9780739179079"</f>
        <v>9780739179079</v>
      </c>
      <c r="G3247" t="str">
        <f>"9780739179062"</f>
        <v>9780739179062</v>
      </c>
      <c r="H3247" t="s">
        <v>162</v>
      </c>
      <c r="I3247">
        <v>297.08199999999999</v>
      </c>
      <c r="J3247" t="s">
        <v>6672</v>
      </c>
      <c r="K3247" t="s">
        <v>44</v>
      </c>
      <c r="N3247" t="s">
        <v>45</v>
      </c>
      <c r="O3247" t="s">
        <v>46</v>
      </c>
      <c r="P3247" t="s">
        <v>45</v>
      </c>
      <c r="Q3247" t="s">
        <v>47</v>
      </c>
      <c r="R3247" t="s">
        <v>44</v>
      </c>
      <c r="S3247">
        <v>0</v>
      </c>
      <c r="W3247" s="3">
        <v>2.6620370370370374E-3</v>
      </c>
      <c r="X3247" t="s">
        <v>6673</v>
      </c>
      <c r="Y3247">
        <v>12</v>
      </c>
      <c r="Z3247">
        <v>0</v>
      </c>
      <c r="AA3247" t="s">
        <v>49</v>
      </c>
      <c r="AB3247">
        <v>0</v>
      </c>
      <c r="AC3247" t="s">
        <v>49</v>
      </c>
      <c r="AD3247">
        <v>0</v>
      </c>
      <c r="AE3247">
        <v>10878893</v>
      </c>
      <c r="AF3247" t="s">
        <v>50</v>
      </c>
      <c r="AG3247" t="s">
        <v>6551</v>
      </c>
    </row>
    <row r="3248" spans="1:33" x14ac:dyDescent="0.35">
      <c r="A3248" s="1">
        <v>44741.036111111112</v>
      </c>
      <c r="B3248">
        <v>3073657</v>
      </c>
      <c r="C3248" t="s">
        <v>5762</v>
      </c>
      <c r="D3248" t="s">
        <v>5763</v>
      </c>
      <c r="E3248" s="2">
        <v>37798</v>
      </c>
      <c r="F3248" t="str">
        <f>"9781461200390"</f>
        <v>9781461200390</v>
      </c>
      <c r="G3248" t="str">
        <f>"9781461265849"</f>
        <v>9781461265849</v>
      </c>
      <c r="H3248" t="s">
        <v>824</v>
      </c>
      <c r="J3248" t="s">
        <v>234</v>
      </c>
      <c r="K3248" t="s">
        <v>55</v>
      </c>
      <c r="N3248" t="s">
        <v>79</v>
      </c>
      <c r="P3248" t="s">
        <v>80</v>
      </c>
      <c r="Q3248" t="s">
        <v>47</v>
      </c>
      <c r="R3248" t="s">
        <v>44</v>
      </c>
      <c r="S3248">
        <v>0</v>
      </c>
      <c r="W3248" s="3">
        <v>7.175925925925927E-4</v>
      </c>
      <c r="X3248" t="s">
        <v>6674</v>
      </c>
      <c r="Y3248">
        <v>9</v>
      </c>
      <c r="Z3248">
        <v>0</v>
      </c>
      <c r="AA3248" t="s">
        <v>49</v>
      </c>
      <c r="AB3248">
        <v>0</v>
      </c>
      <c r="AC3248" t="s">
        <v>49</v>
      </c>
      <c r="AD3248">
        <v>0</v>
      </c>
      <c r="AE3248">
        <v>10916826</v>
      </c>
      <c r="AF3248" t="s">
        <v>50</v>
      </c>
      <c r="AG3248" t="s">
        <v>6551</v>
      </c>
    </row>
    <row r="3249" spans="1:33" x14ac:dyDescent="0.35">
      <c r="A3249" s="1">
        <v>44741.03402777778</v>
      </c>
      <c r="B3249">
        <v>2025588</v>
      </c>
      <c r="C3249" t="s">
        <v>442</v>
      </c>
      <c r="D3249" t="s">
        <v>443</v>
      </c>
      <c r="E3249" s="2">
        <v>42248</v>
      </c>
      <c r="F3249" t="str">
        <f>"9780520962491"</f>
        <v>9780520962491</v>
      </c>
      <c r="G3249" t="str">
        <f>"9780520287310"</f>
        <v>9780520287310</v>
      </c>
      <c r="H3249" t="s">
        <v>162</v>
      </c>
      <c r="I3249" t="s">
        <v>444</v>
      </c>
      <c r="J3249" t="s">
        <v>445</v>
      </c>
      <c r="K3249" t="s">
        <v>44</v>
      </c>
      <c r="N3249" t="s">
        <v>45</v>
      </c>
      <c r="O3249" t="s">
        <v>46</v>
      </c>
      <c r="P3249" t="s">
        <v>177</v>
      </c>
      <c r="Q3249" t="s">
        <v>47</v>
      </c>
      <c r="R3249" t="s">
        <v>55</v>
      </c>
      <c r="S3249">
        <v>0</v>
      </c>
      <c r="W3249" s="3">
        <v>8.6805555555555559E-3</v>
      </c>
      <c r="X3249" t="s">
        <v>6675</v>
      </c>
      <c r="Y3249">
        <v>15</v>
      </c>
      <c r="Z3249">
        <v>0</v>
      </c>
      <c r="AA3249" t="s">
        <v>49</v>
      </c>
      <c r="AB3249">
        <v>0</v>
      </c>
      <c r="AC3249" t="s">
        <v>49</v>
      </c>
      <c r="AD3249">
        <v>0</v>
      </c>
      <c r="AE3249">
        <v>11085800</v>
      </c>
      <c r="AF3249" t="s">
        <v>50</v>
      </c>
      <c r="AG3249" t="s">
        <v>6551</v>
      </c>
    </row>
    <row r="3250" spans="1:33" x14ac:dyDescent="0.35">
      <c r="A3250" s="1">
        <v>44741.032638888886</v>
      </c>
      <c r="B3250">
        <v>5399509</v>
      </c>
      <c r="C3250" t="s">
        <v>6676</v>
      </c>
      <c r="D3250" t="s">
        <v>1539</v>
      </c>
      <c r="E3250" s="2">
        <v>43263</v>
      </c>
      <c r="F3250" t="str">
        <f>"9781498569798"</f>
        <v>9781498569798</v>
      </c>
      <c r="G3250" t="str">
        <f>"9781498569781"</f>
        <v>9781498569781</v>
      </c>
      <c r="H3250" t="s">
        <v>419</v>
      </c>
      <c r="K3250" t="s">
        <v>44</v>
      </c>
      <c r="N3250" t="s">
        <v>45</v>
      </c>
      <c r="O3250" t="s">
        <v>46</v>
      </c>
      <c r="P3250" t="s">
        <v>45</v>
      </c>
      <c r="Q3250" t="s">
        <v>47</v>
      </c>
      <c r="R3250" t="s">
        <v>44</v>
      </c>
      <c r="S3250">
        <v>0</v>
      </c>
      <c r="W3250" s="3">
        <v>3.7037037037037035E-4</v>
      </c>
      <c r="X3250" t="s">
        <v>6677</v>
      </c>
      <c r="Y3250">
        <v>7</v>
      </c>
      <c r="Z3250">
        <v>0</v>
      </c>
      <c r="AA3250" t="s">
        <v>49</v>
      </c>
      <c r="AB3250">
        <v>0</v>
      </c>
      <c r="AC3250" t="s">
        <v>49</v>
      </c>
      <c r="AD3250">
        <v>0</v>
      </c>
      <c r="AE3250">
        <v>-1</v>
      </c>
      <c r="AF3250" t="s">
        <v>50</v>
      </c>
      <c r="AG3250" t="s">
        <v>6551</v>
      </c>
    </row>
    <row r="3251" spans="1:33" x14ac:dyDescent="0.35">
      <c r="A3251" s="1">
        <v>44741.029861111114</v>
      </c>
      <c r="B3251">
        <v>6718942</v>
      </c>
      <c r="C3251" t="s">
        <v>6678</v>
      </c>
      <c r="D3251" t="s">
        <v>497</v>
      </c>
      <c r="E3251" s="2">
        <v>44490</v>
      </c>
      <c r="F3251" t="str">
        <f>"9781350199521"</f>
        <v>9781350199521</v>
      </c>
      <c r="G3251" t="str">
        <f>"9781350199491"</f>
        <v>9781350199491</v>
      </c>
      <c r="H3251" t="s">
        <v>1046</v>
      </c>
      <c r="I3251">
        <v>303.48399999999998</v>
      </c>
      <c r="J3251" t="s">
        <v>6679</v>
      </c>
      <c r="K3251" t="s">
        <v>55</v>
      </c>
      <c r="Q3251" t="s">
        <v>47</v>
      </c>
      <c r="R3251" t="s">
        <v>44</v>
      </c>
      <c r="S3251">
        <v>0</v>
      </c>
      <c r="W3251" s="3">
        <v>2.2916666666666667E-3</v>
      </c>
      <c r="X3251" t="s">
        <v>6680</v>
      </c>
      <c r="Y3251">
        <v>11</v>
      </c>
      <c r="Z3251">
        <v>0</v>
      </c>
      <c r="AA3251" t="s">
        <v>49</v>
      </c>
      <c r="AB3251">
        <v>0</v>
      </c>
      <c r="AC3251" t="s">
        <v>49</v>
      </c>
      <c r="AD3251">
        <v>0</v>
      </c>
      <c r="AE3251">
        <v>-1</v>
      </c>
      <c r="AF3251" t="s">
        <v>50</v>
      </c>
      <c r="AG3251" t="s">
        <v>6551</v>
      </c>
    </row>
    <row r="3252" spans="1:33" x14ac:dyDescent="0.35">
      <c r="A3252" s="1">
        <v>44741.00277777778</v>
      </c>
      <c r="B3252">
        <v>1683103</v>
      </c>
      <c r="C3252" t="s">
        <v>5666</v>
      </c>
      <c r="D3252" t="s">
        <v>76</v>
      </c>
      <c r="E3252" s="2">
        <v>34317</v>
      </c>
      <c r="F3252" t="str">
        <f>"9781482277432"</f>
        <v>9781482277432</v>
      </c>
      <c r="G3252" t="str">
        <f>"9780824789640"</f>
        <v>9780824789640</v>
      </c>
      <c r="H3252" t="s">
        <v>95</v>
      </c>
      <c r="I3252" t="s">
        <v>5667</v>
      </c>
      <c r="J3252" t="s">
        <v>5668</v>
      </c>
      <c r="K3252" t="s">
        <v>55</v>
      </c>
      <c r="N3252" t="s">
        <v>79</v>
      </c>
      <c r="P3252" t="s">
        <v>80</v>
      </c>
      <c r="Q3252" t="s">
        <v>47</v>
      </c>
      <c r="R3252" t="s">
        <v>44</v>
      </c>
      <c r="S3252">
        <v>0</v>
      </c>
      <c r="W3252" s="3">
        <v>1.1574074074074073E-5</v>
      </c>
      <c r="X3252" t="s">
        <v>49</v>
      </c>
      <c r="Y3252">
        <v>0</v>
      </c>
      <c r="Z3252">
        <v>1</v>
      </c>
      <c r="AA3252" t="s">
        <v>6681</v>
      </c>
      <c r="AB3252">
        <v>8</v>
      </c>
      <c r="AC3252" t="s">
        <v>49</v>
      </c>
      <c r="AD3252">
        <v>0</v>
      </c>
      <c r="AE3252">
        <v>11007076</v>
      </c>
      <c r="AF3252" t="s">
        <v>50</v>
      </c>
      <c r="AG3252" t="s">
        <v>2128</v>
      </c>
    </row>
    <row r="3253" spans="1:33" x14ac:dyDescent="0.35">
      <c r="A3253" s="1">
        <v>44740.999305555553</v>
      </c>
      <c r="B3253">
        <v>958140</v>
      </c>
      <c r="C3253" t="s">
        <v>6649</v>
      </c>
      <c r="D3253" t="s">
        <v>76</v>
      </c>
      <c r="E3253" s="2">
        <v>40858</v>
      </c>
      <c r="F3253" t="str">
        <f>"9780203809273"</f>
        <v>9780203809273</v>
      </c>
      <c r="G3253" t="str">
        <f>"9780415782982"</f>
        <v>9780415782982</v>
      </c>
      <c r="H3253" t="s">
        <v>425</v>
      </c>
      <c r="I3253" t="s">
        <v>5608</v>
      </c>
      <c r="J3253" t="s">
        <v>6650</v>
      </c>
      <c r="K3253" t="s">
        <v>44</v>
      </c>
      <c r="N3253" t="s">
        <v>45</v>
      </c>
      <c r="O3253" t="s">
        <v>46</v>
      </c>
      <c r="P3253" t="s">
        <v>45</v>
      </c>
      <c r="Q3253" t="s">
        <v>47</v>
      </c>
      <c r="R3253" t="s">
        <v>44</v>
      </c>
      <c r="S3253">
        <v>0</v>
      </c>
      <c r="W3253" s="3">
        <v>4.3981481481481481E-4</v>
      </c>
      <c r="X3253" t="s">
        <v>6682</v>
      </c>
      <c r="Y3253">
        <v>7</v>
      </c>
      <c r="Z3253">
        <v>0</v>
      </c>
      <c r="AA3253" t="s">
        <v>49</v>
      </c>
      <c r="AB3253">
        <v>0</v>
      </c>
      <c r="AC3253" t="s">
        <v>49</v>
      </c>
      <c r="AD3253">
        <v>0</v>
      </c>
      <c r="AE3253">
        <v>10610132</v>
      </c>
      <c r="AF3253" t="s">
        <v>50</v>
      </c>
      <c r="AG3253" t="s">
        <v>3543</v>
      </c>
    </row>
    <row r="3254" spans="1:33" x14ac:dyDescent="0.35">
      <c r="A3254" s="1">
        <v>44740.992361111108</v>
      </c>
      <c r="B3254">
        <v>958140</v>
      </c>
      <c r="C3254" t="s">
        <v>6649</v>
      </c>
      <c r="D3254" t="s">
        <v>76</v>
      </c>
      <c r="E3254" s="2">
        <v>40858</v>
      </c>
      <c r="F3254" t="str">
        <f>"9780203809273"</f>
        <v>9780203809273</v>
      </c>
      <c r="G3254" t="str">
        <f>"9780415782982"</f>
        <v>9780415782982</v>
      </c>
      <c r="H3254" t="s">
        <v>425</v>
      </c>
      <c r="I3254" t="s">
        <v>5608</v>
      </c>
      <c r="J3254" t="s">
        <v>6650</v>
      </c>
      <c r="K3254" t="s">
        <v>44</v>
      </c>
      <c r="N3254" t="s">
        <v>45</v>
      </c>
      <c r="O3254" t="s">
        <v>46</v>
      </c>
      <c r="P3254" t="s">
        <v>45</v>
      </c>
      <c r="Q3254" t="s">
        <v>47</v>
      </c>
      <c r="R3254" t="s">
        <v>44</v>
      </c>
      <c r="S3254">
        <v>0</v>
      </c>
      <c r="W3254" s="3">
        <v>3.6747685185185182E-2</v>
      </c>
      <c r="X3254" t="s">
        <v>6683</v>
      </c>
      <c r="Y3254">
        <v>26</v>
      </c>
      <c r="Z3254">
        <v>0</v>
      </c>
      <c r="AA3254" t="s">
        <v>49</v>
      </c>
      <c r="AB3254">
        <v>0</v>
      </c>
      <c r="AC3254" t="s">
        <v>49</v>
      </c>
      <c r="AD3254">
        <v>0</v>
      </c>
      <c r="AE3254">
        <v>10610132</v>
      </c>
      <c r="AF3254" t="s">
        <v>50</v>
      </c>
      <c r="AG3254" t="s">
        <v>6551</v>
      </c>
    </row>
    <row r="3255" spans="1:33" x14ac:dyDescent="0.35">
      <c r="A3255" s="1">
        <v>44740.981249999997</v>
      </c>
      <c r="B3255">
        <v>3301868</v>
      </c>
      <c r="C3255" t="s">
        <v>6684</v>
      </c>
      <c r="D3255" t="s">
        <v>5230</v>
      </c>
      <c r="E3255" s="2">
        <v>40360</v>
      </c>
      <c r="F3255" t="str">
        <f>"9780817911669"</f>
        <v>9780817911669</v>
      </c>
      <c r="G3255" t="str">
        <f>"9780817911645"</f>
        <v>9780817911645</v>
      </c>
      <c r="H3255" t="s">
        <v>3234</v>
      </c>
      <c r="I3255" t="s">
        <v>6685</v>
      </c>
      <c r="J3255" t="s">
        <v>6686</v>
      </c>
      <c r="K3255" t="s">
        <v>44</v>
      </c>
      <c r="N3255" t="s">
        <v>45</v>
      </c>
      <c r="O3255" t="s">
        <v>46</v>
      </c>
      <c r="P3255" t="s">
        <v>45</v>
      </c>
      <c r="Q3255" t="s">
        <v>47</v>
      </c>
      <c r="R3255" t="s">
        <v>44</v>
      </c>
      <c r="S3255">
        <v>0</v>
      </c>
      <c r="W3255" s="3">
        <v>9.8495370370370369E-3</v>
      </c>
      <c r="X3255" t="s">
        <v>6687</v>
      </c>
      <c r="Y3255">
        <v>56</v>
      </c>
      <c r="Z3255">
        <v>0</v>
      </c>
      <c r="AA3255" t="s">
        <v>49</v>
      </c>
      <c r="AB3255">
        <v>0</v>
      </c>
      <c r="AC3255" t="s">
        <v>49</v>
      </c>
      <c r="AD3255">
        <v>0</v>
      </c>
      <c r="AE3255">
        <v>10622921</v>
      </c>
      <c r="AF3255" t="s">
        <v>50</v>
      </c>
      <c r="AG3255" t="s">
        <v>6551</v>
      </c>
    </row>
    <row r="3256" spans="1:33" x14ac:dyDescent="0.35">
      <c r="A3256" s="1">
        <v>44740.976388888892</v>
      </c>
      <c r="B3256">
        <v>958140</v>
      </c>
      <c r="C3256" t="s">
        <v>6649</v>
      </c>
      <c r="D3256" t="s">
        <v>76</v>
      </c>
      <c r="E3256" s="2">
        <v>40858</v>
      </c>
      <c r="F3256" t="str">
        <f>"9780203809273"</f>
        <v>9780203809273</v>
      </c>
      <c r="G3256" t="str">
        <f>"9780415782982"</f>
        <v>9780415782982</v>
      </c>
      <c r="H3256" t="s">
        <v>425</v>
      </c>
      <c r="I3256" t="s">
        <v>5608</v>
      </c>
      <c r="J3256" t="s">
        <v>6650</v>
      </c>
      <c r="K3256" t="s">
        <v>44</v>
      </c>
      <c r="N3256" t="s">
        <v>45</v>
      </c>
      <c r="O3256" t="s">
        <v>46</v>
      </c>
      <c r="P3256" t="s">
        <v>45</v>
      </c>
      <c r="Q3256" t="s">
        <v>47</v>
      </c>
      <c r="R3256" t="s">
        <v>44</v>
      </c>
      <c r="S3256">
        <v>0</v>
      </c>
      <c r="W3256" s="3">
        <v>5.9027777777777778E-4</v>
      </c>
      <c r="X3256" t="s">
        <v>6688</v>
      </c>
      <c r="Y3256">
        <v>9</v>
      </c>
      <c r="Z3256">
        <v>0</v>
      </c>
      <c r="AA3256" t="s">
        <v>49</v>
      </c>
      <c r="AB3256">
        <v>0</v>
      </c>
      <c r="AC3256" t="s">
        <v>49</v>
      </c>
      <c r="AD3256">
        <v>0</v>
      </c>
      <c r="AE3256">
        <v>10610132</v>
      </c>
      <c r="AF3256" t="s">
        <v>50</v>
      </c>
      <c r="AG3256" t="s">
        <v>3543</v>
      </c>
    </row>
    <row r="3257" spans="1:33" x14ac:dyDescent="0.35">
      <c r="A3257" s="1">
        <v>44740.902777777781</v>
      </c>
      <c r="B3257">
        <v>547817</v>
      </c>
      <c r="C3257" t="s">
        <v>6458</v>
      </c>
      <c r="D3257" t="s">
        <v>6459</v>
      </c>
      <c r="E3257" s="2">
        <v>39417</v>
      </c>
      <c r="F3257" t="str">
        <f>"9781589014633"</f>
        <v>9781589014633</v>
      </c>
      <c r="G3257" t="str">
        <f>"9781589011847"</f>
        <v>9781589011847</v>
      </c>
      <c r="H3257" t="s">
        <v>162</v>
      </c>
      <c r="I3257" t="s">
        <v>2910</v>
      </c>
      <c r="J3257" t="s">
        <v>6460</v>
      </c>
      <c r="K3257" t="s">
        <v>44</v>
      </c>
      <c r="N3257" t="s">
        <v>45</v>
      </c>
      <c r="O3257" t="s">
        <v>46</v>
      </c>
      <c r="P3257" t="s">
        <v>45</v>
      </c>
      <c r="Q3257" t="s">
        <v>47</v>
      </c>
      <c r="R3257" t="s">
        <v>44</v>
      </c>
      <c r="S3257">
        <v>0</v>
      </c>
      <c r="W3257" s="3">
        <v>6.4120370370370364E-3</v>
      </c>
      <c r="X3257" t="s">
        <v>6689</v>
      </c>
      <c r="Y3257">
        <v>31</v>
      </c>
      <c r="Z3257">
        <v>0</v>
      </c>
      <c r="AA3257" t="s">
        <v>49</v>
      </c>
      <c r="AB3257">
        <v>0</v>
      </c>
      <c r="AC3257" t="s">
        <v>49</v>
      </c>
      <c r="AD3257">
        <v>0</v>
      </c>
      <c r="AE3257">
        <v>10236729</v>
      </c>
      <c r="AF3257" t="s">
        <v>50</v>
      </c>
      <c r="AG3257" t="s">
        <v>6542</v>
      </c>
    </row>
    <row r="3258" spans="1:33" x14ac:dyDescent="0.35">
      <c r="A3258" s="1">
        <v>44740.863888888889</v>
      </c>
      <c r="B3258">
        <v>6684529</v>
      </c>
      <c r="C3258" t="s">
        <v>6690</v>
      </c>
      <c r="D3258" t="s">
        <v>6691</v>
      </c>
      <c r="E3258" s="2">
        <v>44407</v>
      </c>
      <c r="F3258" t="str">
        <f>"9781630917166"</f>
        <v>9781630917166</v>
      </c>
      <c r="G3258" t="str">
        <f>"9781630917142"</f>
        <v>9781630917142</v>
      </c>
      <c r="H3258" t="s">
        <v>77</v>
      </c>
      <c r="I3258">
        <v>610.71100000000001</v>
      </c>
      <c r="J3258" t="s">
        <v>6692</v>
      </c>
      <c r="K3258" t="s">
        <v>55</v>
      </c>
      <c r="N3258" t="s">
        <v>79</v>
      </c>
      <c r="P3258" t="s">
        <v>1169</v>
      </c>
      <c r="Q3258" t="s">
        <v>47</v>
      </c>
      <c r="R3258" t="s">
        <v>44</v>
      </c>
      <c r="S3258">
        <v>0</v>
      </c>
      <c r="W3258" s="3">
        <v>4.7800925925925919E-3</v>
      </c>
      <c r="X3258" t="s">
        <v>6693</v>
      </c>
      <c r="Y3258">
        <v>21</v>
      </c>
      <c r="Z3258">
        <v>0</v>
      </c>
      <c r="AA3258" t="s">
        <v>49</v>
      </c>
      <c r="AB3258">
        <v>0</v>
      </c>
      <c r="AC3258" t="s">
        <v>49</v>
      </c>
      <c r="AD3258">
        <v>0</v>
      </c>
      <c r="AE3258">
        <v>-1</v>
      </c>
      <c r="AF3258" t="s">
        <v>50</v>
      </c>
      <c r="AG3258" t="s">
        <v>5711</v>
      </c>
    </row>
    <row r="3259" spans="1:33" x14ac:dyDescent="0.35">
      <c r="A3259" s="1">
        <v>44740.845833333333</v>
      </c>
      <c r="B3259">
        <v>1477522</v>
      </c>
      <c r="C3259" t="s">
        <v>3625</v>
      </c>
      <c r="D3259" t="s">
        <v>2022</v>
      </c>
      <c r="E3259" s="2">
        <v>41542</v>
      </c>
      <c r="F3259" t="str">
        <f>"9781443852760"</f>
        <v>9781443852760</v>
      </c>
      <c r="G3259" t="str">
        <f>"9781443848275"</f>
        <v>9781443848275</v>
      </c>
      <c r="H3259" t="s">
        <v>474</v>
      </c>
      <c r="I3259">
        <v>197</v>
      </c>
      <c r="J3259" t="s">
        <v>3626</v>
      </c>
      <c r="K3259" t="s">
        <v>44</v>
      </c>
      <c r="N3259" t="s">
        <v>45</v>
      </c>
      <c r="O3259" t="s">
        <v>46</v>
      </c>
      <c r="P3259" t="s">
        <v>45</v>
      </c>
      <c r="Q3259" t="s">
        <v>47</v>
      </c>
      <c r="R3259" t="s">
        <v>44</v>
      </c>
      <c r="S3259">
        <v>0</v>
      </c>
      <c r="W3259" s="3">
        <v>4.6296296296296294E-5</v>
      </c>
      <c r="X3259" t="s">
        <v>121</v>
      </c>
      <c r="Y3259">
        <v>1</v>
      </c>
      <c r="Z3259">
        <v>0</v>
      </c>
      <c r="AA3259" t="s">
        <v>49</v>
      </c>
      <c r="AB3259">
        <v>0</v>
      </c>
      <c r="AC3259" t="s">
        <v>49</v>
      </c>
      <c r="AD3259">
        <v>0</v>
      </c>
      <c r="AE3259">
        <v>10778085</v>
      </c>
      <c r="AF3259" t="s">
        <v>50</v>
      </c>
      <c r="AG3259" t="s">
        <v>6694</v>
      </c>
    </row>
    <row r="3260" spans="1:33" x14ac:dyDescent="0.35">
      <c r="A3260" s="1">
        <v>44740.745833333334</v>
      </c>
      <c r="B3260">
        <v>1699226</v>
      </c>
      <c r="C3260" t="s">
        <v>6670</v>
      </c>
      <c r="D3260" t="s">
        <v>6671</v>
      </c>
      <c r="E3260" s="2">
        <v>41780</v>
      </c>
      <c r="F3260" t="str">
        <f>"9780739179079"</f>
        <v>9780739179079</v>
      </c>
      <c r="G3260" t="str">
        <f>"9780739179062"</f>
        <v>9780739179062</v>
      </c>
      <c r="H3260" t="s">
        <v>162</v>
      </c>
      <c r="I3260">
        <v>297.08199999999999</v>
      </c>
      <c r="J3260" t="s">
        <v>6672</v>
      </c>
      <c r="K3260" t="s">
        <v>44</v>
      </c>
      <c r="N3260" t="s">
        <v>45</v>
      </c>
      <c r="O3260" t="s">
        <v>46</v>
      </c>
      <c r="P3260" t="s">
        <v>45</v>
      </c>
      <c r="Q3260" t="s">
        <v>47</v>
      </c>
      <c r="R3260" t="s">
        <v>44</v>
      </c>
      <c r="S3260">
        <v>0</v>
      </c>
      <c r="W3260" s="3">
        <v>6.134259259259259E-4</v>
      </c>
      <c r="X3260" t="s">
        <v>6695</v>
      </c>
      <c r="Y3260">
        <v>10</v>
      </c>
      <c r="Z3260">
        <v>0</v>
      </c>
      <c r="AA3260" t="s">
        <v>49</v>
      </c>
      <c r="AB3260">
        <v>0</v>
      </c>
      <c r="AC3260" t="s">
        <v>49</v>
      </c>
      <c r="AD3260">
        <v>0</v>
      </c>
      <c r="AE3260">
        <v>10878893</v>
      </c>
      <c r="AF3260" t="s">
        <v>50</v>
      </c>
      <c r="AG3260" t="s">
        <v>6551</v>
      </c>
    </row>
    <row r="3261" spans="1:33" x14ac:dyDescent="0.35">
      <c r="A3261" s="1">
        <v>44740.745138888888</v>
      </c>
      <c r="B3261">
        <v>958140</v>
      </c>
      <c r="C3261" t="s">
        <v>6649</v>
      </c>
      <c r="D3261" t="s">
        <v>76</v>
      </c>
      <c r="E3261" s="2">
        <v>40858</v>
      </c>
      <c r="F3261" t="str">
        <f>"9780203809273"</f>
        <v>9780203809273</v>
      </c>
      <c r="G3261" t="str">
        <f>"9780415782982"</f>
        <v>9780415782982</v>
      </c>
      <c r="H3261" t="s">
        <v>425</v>
      </c>
      <c r="I3261" t="s">
        <v>5608</v>
      </c>
      <c r="J3261" t="s">
        <v>6650</v>
      </c>
      <c r="K3261" t="s">
        <v>44</v>
      </c>
      <c r="N3261" t="s">
        <v>45</v>
      </c>
      <c r="O3261" t="s">
        <v>46</v>
      </c>
      <c r="P3261" t="s">
        <v>45</v>
      </c>
      <c r="Q3261" t="s">
        <v>47</v>
      </c>
      <c r="R3261" t="s">
        <v>44</v>
      </c>
      <c r="S3261">
        <v>0</v>
      </c>
      <c r="W3261" s="3">
        <v>3.8194444444444446E-4</v>
      </c>
      <c r="X3261" t="s">
        <v>6696</v>
      </c>
      <c r="Y3261">
        <v>5</v>
      </c>
      <c r="Z3261">
        <v>0</v>
      </c>
      <c r="AA3261" t="s">
        <v>49</v>
      </c>
      <c r="AB3261">
        <v>0</v>
      </c>
      <c r="AC3261" t="s">
        <v>49</v>
      </c>
      <c r="AD3261">
        <v>0</v>
      </c>
      <c r="AE3261">
        <v>10610132</v>
      </c>
      <c r="AF3261" t="s">
        <v>50</v>
      </c>
      <c r="AG3261" t="s">
        <v>6551</v>
      </c>
    </row>
    <row r="3262" spans="1:33" x14ac:dyDescent="0.35">
      <c r="A3262" s="1">
        <v>44740.679166666669</v>
      </c>
      <c r="B3262">
        <v>4612356</v>
      </c>
      <c r="C3262" t="s">
        <v>6697</v>
      </c>
      <c r="D3262" t="s">
        <v>76</v>
      </c>
      <c r="E3262" s="2">
        <v>42590</v>
      </c>
      <c r="F3262" t="str">
        <f>"9781317271918"</f>
        <v>9781317271918</v>
      </c>
      <c r="G3262" t="str">
        <f>"9781138649637"</f>
        <v>9781138649637</v>
      </c>
      <c r="H3262" t="s">
        <v>90</v>
      </c>
      <c r="I3262">
        <v>370.15230000000003</v>
      </c>
      <c r="J3262" t="s">
        <v>6698</v>
      </c>
      <c r="K3262" t="s">
        <v>55</v>
      </c>
      <c r="N3262" t="s">
        <v>79</v>
      </c>
      <c r="P3262" t="s">
        <v>80</v>
      </c>
      <c r="Q3262" t="s">
        <v>47</v>
      </c>
      <c r="R3262" t="s">
        <v>44</v>
      </c>
      <c r="S3262">
        <v>0</v>
      </c>
      <c r="W3262" s="3">
        <v>1.0150462962962964E-2</v>
      </c>
      <c r="X3262" t="s">
        <v>6699</v>
      </c>
      <c r="Y3262">
        <v>30</v>
      </c>
      <c r="Z3262">
        <v>2</v>
      </c>
      <c r="AA3262" t="s">
        <v>6700</v>
      </c>
      <c r="AB3262">
        <v>15</v>
      </c>
      <c r="AC3262" t="s">
        <v>6701</v>
      </c>
      <c r="AD3262">
        <v>1</v>
      </c>
      <c r="AE3262">
        <v>11239000</v>
      </c>
      <c r="AF3262" t="s">
        <v>50</v>
      </c>
      <c r="AG3262" t="s">
        <v>6642</v>
      </c>
    </row>
    <row r="3263" spans="1:33" x14ac:dyDescent="0.35">
      <c r="A3263" s="1">
        <v>44740.678472222222</v>
      </c>
      <c r="B3263">
        <v>6684529</v>
      </c>
      <c r="C3263" t="s">
        <v>6690</v>
      </c>
      <c r="D3263" t="s">
        <v>6691</v>
      </c>
      <c r="E3263" s="2">
        <v>44407</v>
      </c>
      <c r="F3263" t="str">
        <f>"9781630917166"</f>
        <v>9781630917166</v>
      </c>
      <c r="G3263" t="str">
        <f>"9781630917142"</f>
        <v>9781630917142</v>
      </c>
      <c r="H3263" t="s">
        <v>77</v>
      </c>
      <c r="I3263">
        <v>610.71100000000001</v>
      </c>
      <c r="J3263" t="s">
        <v>6692</v>
      </c>
      <c r="K3263" t="s">
        <v>55</v>
      </c>
      <c r="N3263" t="s">
        <v>79</v>
      </c>
      <c r="P3263" t="s">
        <v>1169</v>
      </c>
      <c r="Q3263" t="s">
        <v>47</v>
      </c>
      <c r="R3263" t="s">
        <v>44</v>
      </c>
      <c r="S3263">
        <v>0</v>
      </c>
      <c r="W3263" s="3">
        <v>2.3726851851851851E-3</v>
      </c>
      <c r="X3263" t="s">
        <v>6702</v>
      </c>
      <c r="Y3263">
        <v>12</v>
      </c>
      <c r="Z3263">
        <v>0</v>
      </c>
      <c r="AA3263" t="s">
        <v>49</v>
      </c>
      <c r="AB3263">
        <v>0</v>
      </c>
      <c r="AC3263" t="s">
        <v>49</v>
      </c>
      <c r="AD3263">
        <v>0</v>
      </c>
      <c r="AE3263">
        <v>-1</v>
      </c>
      <c r="AF3263" t="s">
        <v>50</v>
      </c>
      <c r="AG3263" t="s">
        <v>5711</v>
      </c>
    </row>
    <row r="3264" spans="1:33" x14ac:dyDescent="0.35">
      <c r="A3264" s="1">
        <v>44740.677777777775</v>
      </c>
      <c r="B3264">
        <v>6684529</v>
      </c>
      <c r="C3264" t="s">
        <v>6690</v>
      </c>
      <c r="D3264" t="s">
        <v>6691</v>
      </c>
      <c r="E3264" s="2">
        <v>44407</v>
      </c>
      <c r="F3264" t="str">
        <f>"9781630917166"</f>
        <v>9781630917166</v>
      </c>
      <c r="G3264" t="str">
        <f>"9781630917142"</f>
        <v>9781630917142</v>
      </c>
      <c r="H3264" t="s">
        <v>77</v>
      </c>
      <c r="I3264">
        <v>610.71100000000001</v>
      </c>
      <c r="J3264" t="s">
        <v>6692</v>
      </c>
      <c r="K3264" t="s">
        <v>55</v>
      </c>
      <c r="N3264" t="s">
        <v>79</v>
      </c>
      <c r="P3264" t="s">
        <v>1169</v>
      </c>
      <c r="Q3264" t="s">
        <v>47</v>
      </c>
      <c r="R3264" t="s">
        <v>44</v>
      </c>
      <c r="S3264">
        <v>0</v>
      </c>
      <c r="W3264" s="3">
        <v>3.5879629629629635E-4</v>
      </c>
      <c r="X3264" t="s">
        <v>6703</v>
      </c>
      <c r="Y3264">
        <v>8</v>
      </c>
      <c r="Z3264">
        <v>1</v>
      </c>
      <c r="AA3264" t="s">
        <v>6704</v>
      </c>
      <c r="AB3264">
        <v>10</v>
      </c>
      <c r="AC3264" t="s">
        <v>49</v>
      </c>
      <c r="AD3264">
        <v>0</v>
      </c>
      <c r="AE3264">
        <v>-1</v>
      </c>
      <c r="AF3264" t="s">
        <v>50</v>
      </c>
      <c r="AG3264" t="s">
        <v>6642</v>
      </c>
    </row>
    <row r="3265" spans="1:33" x14ac:dyDescent="0.35">
      <c r="A3265" s="1">
        <v>44740.665972222225</v>
      </c>
      <c r="B3265">
        <v>6510821</v>
      </c>
      <c r="C3265" t="s">
        <v>6659</v>
      </c>
      <c r="D3265" t="s">
        <v>125</v>
      </c>
      <c r="E3265" s="2">
        <v>44288</v>
      </c>
      <c r="F3265" t="str">
        <f>"9780197506240"</f>
        <v>9780197506240</v>
      </c>
      <c r="G3265" t="str">
        <f>"9780197506226"</f>
        <v>9780197506226</v>
      </c>
      <c r="H3265" t="s">
        <v>77</v>
      </c>
      <c r="I3265">
        <v>610.69000000000005</v>
      </c>
      <c r="J3265" t="s">
        <v>6660</v>
      </c>
      <c r="K3265" t="s">
        <v>55</v>
      </c>
      <c r="N3265" t="s">
        <v>79</v>
      </c>
      <c r="P3265" t="s">
        <v>1169</v>
      </c>
      <c r="Q3265" t="s">
        <v>47</v>
      </c>
      <c r="R3265" t="s">
        <v>44</v>
      </c>
      <c r="S3265">
        <v>0</v>
      </c>
      <c r="W3265" s="3">
        <v>2.3148148148148146E-4</v>
      </c>
      <c r="X3265" t="s">
        <v>401</v>
      </c>
      <c r="Y3265">
        <v>3</v>
      </c>
      <c r="Z3265">
        <v>0</v>
      </c>
      <c r="AA3265" t="s">
        <v>49</v>
      </c>
      <c r="AB3265">
        <v>0</v>
      </c>
      <c r="AC3265" t="s">
        <v>49</v>
      </c>
      <c r="AD3265">
        <v>0</v>
      </c>
      <c r="AE3265">
        <v>-1</v>
      </c>
      <c r="AF3265" t="s">
        <v>50</v>
      </c>
      <c r="AG3265" t="s">
        <v>3543</v>
      </c>
    </row>
    <row r="3266" spans="1:33" x14ac:dyDescent="0.35">
      <c r="A3266" s="1">
        <v>44740.586805555555</v>
      </c>
      <c r="B3266">
        <v>1139647</v>
      </c>
      <c r="C3266" t="s">
        <v>6705</v>
      </c>
      <c r="D3266" t="s">
        <v>502</v>
      </c>
      <c r="E3266" s="2">
        <v>41533</v>
      </c>
      <c r="F3266" t="str">
        <f>"9781107347496"</f>
        <v>9781107347496</v>
      </c>
      <c r="G3266" t="str">
        <f>"9780521853309"</f>
        <v>9780521853309</v>
      </c>
      <c r="H3266" t="s">
        <v>6706</v>
      </c>
      <c r="I3266" t="s">
        <v>6707</v>
      </c>
      <c r="J3266" t="s">
        <v>6708</v>
      </c>
      <c r="K3266" t="s">
        <v>44</v>
      </c>
      <c r="N3266" t="s">
        <v>45</v>
      </c>
      <c r="O3266" t="s">
        <v>46</v>
      </c>
      <c r="P3266" t="s">
        <v>45</v>
      </c>
      <c r="Q3266" t="s">
        <v>47</v>
      </c>
      <c r="R3266" t="s">
        <v>44</v>
      </c>
      <c r="S3266">
        <v>0</v>
      </c>
      <c r="W3266" s="3">
        <v>0</v>
      </c>
      <c r="X3266" t="s">
        <v>49</v>
      </c>
      <c r="Y3266">
        <v>0</v>
      </c>
      <c r="Z3266">
        <v>3</v>
      </c>
      <c r="AA3266" t="s">
        <v>6709</v>
      </c>
      <c r="AB3266">
        <v>69</v>
      </c>
      <c r="AC3266" t="s">
        <v>49</v>
      </c>
      <c r="AD3266">
        <v>0</v>
      </c>
      <c r="AE3266">
        <v>10812136</v>
      </c>
      <c r="AF3266" t="s">
        <v>50</v>
      </c>
      <c r="AG3266" t="s">
        <v>6551</v>
      </c>
    </row>
    <row r="3267" spans="1:33" x14ac:dyDescent="0.35">
      <c r="A3267" s="1">
        <v>44740.522222222222</v>
      </c>
      <c r="B3267">
        <v>565786</v>
      </c>
      <c r="C3267" t="s">
        <v>6710</v>
      </c>
      <c r="D3267" t="s">
        <v>76</v>
      </c>
      <c r="E3267" s="2">
        <v>40207</v>
      </c>
      <c r="F3267" t="str">
        <f>"9781439817285"</f>
        <v>9781439817285</v>
      </c>
      <c r="G3267" t="str">
        <f>"9781439817278"</f>
        <v>9781439817278</v>
      </c>
      <c r="H3267" t="s">
        <v>538</v>
      </c>
      <c r="I3267">
        <v>629.245</v>
      </c>
      <c r="J3267" t="s">
        <v>6711</v>
      </c>
      <c r="K3267" t="s">
        <v>44</v>
      </c>
      <c r="N3267" t="s">
        <v>45</v>
      </c>
      <c r="O3267" t="s">
        <v>46</v>
      </c>
      <c r="P3267" t="s">
        <v>45</v>
      </c>
      <c r="Q3267" t="s">
        <v>47</v>
      </c>
      <c r="R3267" t="s">
        <v>44</v>
      </c>
      <c r="S3267">
        <v>0</v>
      </c>
      <c r="W3267" s="3">
        <v>8.5300925925925926E-3</v>
      </c>
      <c r="X3267" t="s">
        <v>6712</v>
      </c>
      <c r="Y3267">
        <v>63</v>
      </c>
      <c r="Z3267">
        <v>1</v>
      </c>
      <c r="AA3267" t="s">
        <v>6713</v>
      </c>
      <c r="AB3267">
        <v>118</v>
      </c>
      <c r="AC3267" t="s">
        <v>49</v>
      </c>
      <c r="AD3267">
        <v>0</v>
      </c>
      <c r="AE3267">
        <v>10406738</v>
      </c>
      <c r="AF3267" t="s">
        <v>50</v>
      </c>
      <c r="AG3267" t="s">
        <v>741</v>
      </c>
    </row>
    <row r="3268" spans="1:33" x14ac:dyDescent="0.35">
      <c r="A3268" s="1">
        <v>44740.488194444442</v>
      </c>
      <c r="B3268">
        <v>1643657</v>
      </c>
      <c r="C3268" t="s">
        <v>6714</v>
      </c>
      <c r="D3268" t="s">
        <v>59</v>
      </c>
      <c r="E3268" s="2">
        <v>41736</v>
      </c>
      <c r="F3268" t="str">
        <f>"9781118536209"</f>
        <v>9781118536209</v>
      </c>
      <c r="G3268" t="str">
        <f>"9781118479995"</f>
        <v>9781118479995</v>
      </c>
      <c r="H3268" t="s">
        <v>126</v>
      </c>
      <c r="I3268">
        <v>629.25001099999997</v>
      </c>
      <c r="J3268" t="s">
        <v>6715</v>
      </c>
      <c r="K3268" t="s">
        <v>44</v>
      </c>
      <c r="N3268" t="s">
        <v>45</v>
      </c>
      <c r="O3268" t="s">
        <v>46</v>
      </c>
      <c r="P3268" t="s">
        <v>45</v>
      </c>
      <c r="Q3268" t="s">
        <v>47</v>
      </c>
      <c r="R3268" t="s">
        <v>44</v>
      </c>
      <c r="S3268">
        <v>0</v>
      </c>
      <c r="W3268" s="3">
        <v>1.712962962962963E-3</v>
      </c>
      <c r="X3268" t="s">
        <v>6716</v>
      </c>
      <c r="Y3268">
        <v>22</v>
      </c>
      <c r="Z3268">
        <v>0</v>
      </c>
      <c r="AA3268" t="s">
        <v>49</v>
      </c>
      <c r="AB3268">
        <v>0</v>
      </c>
      <c r="AC3268" t="s">
        <v>49</v>
      </c>
      <c r="AD3268">
        <v>0</v>
      </c>
      <c r="AE3268">
        <v>10845557</v>
      </c>
      <c r="AF3268" t="s">
        <v>50</v>
      </c>
      <c r="AG3268" t="s">
        <v>741</v>
      </c>
    </row>
    <row r="3269" spans="1:33" x14ac:dyDescent="0.35">
      <c r="A3269" s="1">
        <v>44740.464583333334</v>
      </c>
      <c r="B3269">
        <v>1477522</v>
      </c>
      <c r="C3269" t="s">
        <v>3625</v>
      </c>
      <c r="D3269" t="s">
        <v>2022</v>
      </c>
      <c r="E3269" s="2">
        <v>41542</v>
      </c>
      <c r="F3269" t="str">
        <f>"9781443852760"</f>
        <v>9781443852760</v>
      </c>
      <c r="G3269" t="str">
        <f>"9781443848275"</f>
        <v>9781443848275</v>
      </c>
      <c r="H3269" t="s">
        <v>474</v>
      </c>
      <c r="I3269">
        <v>197</v>
      </c>
      <c r="J3269" t="s">
        <v>3626</v>
      </c>
      <c r="K3269" t="s">
        <v>44</v>
      </c>
      <c r="N3269" t="s">
        <v>45</v>
      </c>
      <c r="O3269" t="s">
        <v>46</v>
      </c>
      <c r="P3269" t="s">
        <v>45</v>
      </c>
      <c r="Q3269" t="s">
        <v>47</v>
      </c>
      <c r="R3269" t="s">
        <v>44</v>
      </c>
      <c r="S3269">
        <v>0</v>
      </c>
      <c r="W3269" s="3">
        <v>3.4722222222222222E-5</v>
      </c>
      <c r="X3269" t="s">
        <v>121</v>
      </c>
      <c r="Y3269">
        <v>1</v>
      </c>
      <c r="Z3269">
        <v>0</v>
      </c>
      <c r="AA3269" t="s">
        <v>49</v>
      </c>
      <c r="AB3269">
        <v>0</v>
      </c>
      <c r="AC3269" t="s">
        <v>49</v>
      </c>
      <c r="AD3269">
        <v>0</v>
      </c>
      <c r="AE3269">
        <v>10778085</v>
      </c>
      <c r="AF3269" t="s">
        <v>50</v>
      </c>
      <c r="AG3269" t="s">
        <v>6694</v>
      </c>
    </row>
    <row r="3270" spans="1:33" x14ac:dyDescent="0.35">
      <c r="A3270" s="1">
        <v>44740.461111111108</v>
      </c>
      <c r="B3270">
        <v>517096</v>
      </c>
      <c r="C3270" t="s">
        <v>6717</v>
      </c>
      <c r="D3270" t="s">
        <v>76</v>
      </c>
      <c r="E3270" s="2">
        <v>40346</v>
      </c>
      <c r="F3270" t="str">
        <f>"9780203854297"</f>
        <v>9780203854297</v>
      </c>
      <c r="G3270" t="str">
        <f>"9780415567190"</f>
        <v>9780415567190</v>
      </c>
      <c r="H3270" t="s">
        <v>425</v>
      </c>
      <c r="I3270" t="s">
        <v>6718</v>
      </c>
      <c r="J3270" t="s">
        <v>6719</v>
      </c>
      <c r="K3270" t="s">
        <v>44</v>
      </c>
      <c r="N3270" t="s">
        <v>45</v>
      </c>
      <c r="O3270" t="s">
        <v>46</v>
      </c>
      <c r="P3270" t="s">
        <v>45</v>
      </c>
      <c r="Q3270" t="s">
        <v>47</v>
      </c>
      <c r="R3270" t="s">
        <v>44</v>
      </c>
      <c r="S3270">
        <v>0</v>
      </c>
      <c r="W3270" s="3">
        <v>4.6296296296296294E-5</v>
      </c>
      <c r="X3270" t="s">
        <v>121</v>
      </c>
      <c r="Y3270">
        <v>1</v>
      </c>
      <c r="Z3270">
        <v>0</v>
      </c>
      <c r="AA3270" t="s">
        <v>49</v>
      </c>
      <c r="AB3270">
        <v>0</v>
      </c>
      <c r="AC3270" t="s">
        <v>49</v>
      </c>
      <c r="AD3270">
        <v>0</v>
      </c>
      <c r="AE3270">
        <v>10389375</v>
      </c>
      <c r="AF3270" t="s">
        <v>50</v>
      </c>
      <c r="AG3270" t="s">
        <v>5049</v>
      </c>
    </row>
    <row r="3271" spans="1:33" x14ac:dyDescent="0.35">
      <c r="A3271" s="1">
        <v>44740.460416666669</v>
      </c>
      <c r="B3271">
        <v>776553</v>
      </c>
      <c r="C3271" t="s">
        <v>6652</v>
      </c>
      <c r="D3271" t="s">
        <v>2754</v>
      </c>
      <c r="E3271" s="2">
        <v>40729</v>
      </c>
      <c r="F3271" t="str">
        <f>"9780816678327"</f>
        <v>9780816678327</v>
      </c>
      <c r="G3271" t="str">
        <f>"9780816651344"</f>
        <v>9780816651344</v>
      </c>
      <c r="H3271" t="s">
        <v>1046</v>
      </c>
      <c r="I3271">
        <v>305.42096400000003</v>
      </c>
      <c r="J3271" t="s">
        <v>6653</v>
      </c>
      <c r="K3271" t="s">
        <v>44</v>
      </c>
      <c r="N3271" t="s">
        <v>45</v>
      </c>
      <c r="O3271" t="s">
        <v>46</v>
      </c>
      <c r="P3271" t="s">
        <v>45</v>
      </c>
      <c r="Q3271" t="s">
        <v>47</v>
      </c>
      <c r="R3271" t="s">
        <v>44</v>
      </c>
      <c r="S3271">
        <v>0</v>
      </c>
      <c r="W3271" s="3">
        <v>4.6296296296296294E-5</v>
      </c>
      <c r="X3271" t="s">
        <v>121</v>
      </c>
      <c r="Y3271">
        <v>1</v>
      </c>
      <c r="Z3271">
        <v>0</v>
      </c>
      <c r="AA3271" t="s">
        <v>49</v>
      </c>
      <c r="AB3271">
        <v>0</v>
      </c>
      <c r="AC3271" t="s">
        <v>49</v>
      </c>
      <c r="AD3271">
        <v>0</v>
      </c>
      <c r="AE3271">
        <v>10500268</v>
      </c>
      <c r="AF3271" t="s">
        <v>50</v>
      </c>
      <c r="AG3271" t="s">
        <v>5049</v>
      </c>
    </row>
    <row r="3272" spans="1:33" x14ac:dyDescent="0.35">
      <c r="A3272" s="1">
        <v>44740.459722222222</v>
      </c>
      <c r="B3272">
        <v>200554</v>
      </c>
      <c r="C3272" t="s">
        <v>6720</v>
      </c>
      <c r="D3272" t="s">
        <v>76</v>
      </c>
      <c r="E3272" s="2">
        <v>38212</v>
      </c>
      <c r="F3272" t="str">
        <f>"9780203346242"</f>
        <v>9780203346242</v>
      </c>
      <c r="G3272" t="str">
        <f>"9780415325912"</f>
        <v>9780415325912</v>
      </c>
      <c r="H3272" t="s">
        <v>162</v>
      </c>
      <c r="I3272">
        <v>297.40918210000001</v>
      </c>
      <c r="J3272" t="s">
        <v>6721</v>
      </c>
      <c r="K3272" t="s">
        <v>44</v>
      </c>
      <c r="N3272" t="s">
        <v>45</v>
      </c>
      <c r="O3272" t="s">
        <v>46</v>
      </c>
      <c r="P3272" t="s">
        <v>45</v>
      </c>
      <c r="Q3272" t="s">
        <v>47</v>
      </c>
      <c r="R3272" t="s">
        <v>44</v>
      </c>
      <c r="S3272">
        <v>0</v>
      </c>
      <c r="W3272" s="3">
        <v>3.90625E-2</v>
      </c>
      <c r="X3272" t="s">
        <v>6722</v>
      </c>
      <c r="Y3272">
        <v>18</v>
      </c>
      <c r="Z3272">
        <v>0</v>
      </c>
      <c r="AA3272" t="s">
        <v>49</v>
      </c>
      <c r="AB3272">
        <v>0</v>
      </c>
      <c r="AC3272" t="s">
        <v>49</v>
      </c>
      <c r="AD3272">
        <v>0</v>
      </c>
      <c r="AE3272">
        <v>10093594</v>
      </c>
      <c r="AF3272" t="s">
        <v>50</v>
      </c>
      <c r="AG3272" t="s">
        <v>6551</v>
      </c>
    </row>
    <row r="3273" spans="1:33" x14ac:dyDescent="0.35">
      <c r="A3273" s="1">
        <v>44740.459027777775</v>
      </c>
      <c r="B3273">
        <v>1699226</v>
      </c>
      <c r="C3273" t="s">
        <v>6670</v>
      </c>
      <c r="D3273" t="s">
        <v>6671</v>
      </c>
      <c r="E3273" s="2">
        <v>41780</v>
      </c>
      <c r="F3273" t="str">
        <f>"9780739179079"</f>
        <v>9780739179079</v>
      </c>
      <c r="G3273" t="str">
        <f>"9780739179062"</f>
        <v>9780739179062</v>
      </c>
      <c r="H3273" t="s">
        <v>162</v>
      </c>
      <c r="I3273">
        <v>297.08199999999999</v>
      </c>
      <c r="J3273" t="s">
        <v>6672</v>
      </c>
      <c r="K3273" t="s">
        <v>44</v>
      </c>
      <c r="N3273" t="s">
        <v>45</v>
      </c>
      <c r="O3273" t="s">
        <v>46</v>
      </c>
      <c r="P3273" t="s">
        <v>45</v>
      </c>
      <c r="Q3273" t="s">
        <v>47</v>
      </c>
      <c r="R3273" t="s">
        <v>44</v>
      </c>
      <c r="S3273">
        <v>0</v>
      </c>
      <c r="W3273" s="3">
        <v>5.4398148148148144E-4</v>
      </c>
      <c r="X3273" t="s">
        <v>6723</v>
      </c>
      <c r="Y3273">
        <v>4</v>
      </c>
      <c r="Z3273">
        <v>0</v>
      </c>
      <c r="AA3273" t="s">
        <v>49</v>
      </c>
      <c r="AB3273">
        <v>0</v>
      </c>
      <c r="AC3273" t="s">
        <v>49</v>
      </c>
      <c r="AD3273">
        <v>0</v>
      </c>
      <c r="AE3273">
        <v>10878893</v>
      </c>
      <c r="AF3273" t="s">
        <v>50</v>
      </c>
      <c r="AG3273" t="s">
        <v>5049</v>
      </c>
    </row>
    <row r="3274" spans="1:33" x14ac:dyDescent="0.35">
      <c r="A3274" s="1">
        <v>44740.45208333333</v>
      </c>
      <c r="B3274">
        <v>958140</v>
      </c>
      <c r="C3274" t="s">
        <v>6649</v>
      </c>
      <c r="D3274" t="s">
        <v>76</v>
      </c>
      <c r="E3274" s="2">
        <v>40858</v>
      </c>
      <c r="F3274" t="str">
        <f>"9780203809273"</f>
        <v>9780203809273</v>
      </c>
      <c r="G3274" t="str">
        <f>"9780415782982"</f>
        <v>9780415782982</v>
      </c>
      <c r="H3274" t="s">
        <v>425</v>
      </c>
      <c r="I3274" t="s">
        <v>5608</v>
      </c>
      <c r="J3274" t="s">
        <v>6650</v>
      </c>
      <c r="K3274" t="s">
        <v>44</v>
      </c>
      <c r="N3274" t="s">
        <v>45</v>
      </c>
      <c r="O3274" t="s">
        <v>46</v>
      </c>
      <c r="P3274" t="s">
        <v>45</v>
      </c>
      <c r="Q3274" t="s">
        <v>47</v>
      </c>
      <c r="R3274" t="s">
        <v>44</v>
      </c>
      <c r="S3274">
        <v>0</v>
      </c>
      <c r="W3274" s="3">
        <v>1.6064814814814813E-2</v>
      </c>
      <c r="X3274" t="s">
        <v>6724</v>
      </c>
      <c r="Y3274">
        <v>18</v>
      </c>
      <c r="Z3274">
        <v>0</v>
      </c>
      <c r="AA3274" t="s">
        <v>49</v>
      </c>
      <c r="AB3274">
        <v>0</v>
      </c>
      <c r="AC3274" t="s">
        <v>49</v>
      </c>
      <c r="AD3274">
        <v>0</v>
      </c>
      <c r="AE3274">
        <v>10610132</v>
      </c>
      <c r="AF3274" t="s">
        <v>50</v>
      </c>
      <c r="AG3274" t="s">
        <v>5049</v>
      </c>
    </row>
    <row r="3275" spans="1:33" x14ac:dyDescent="0.35">
      <c r="A3275" s="1">
        <v>44740.45208333333</v>
      </c>
      <c r="B3275">
        <v>3301868</v>
      </c>
      <c r="C3275" t="s">
        <v>6684</v>
      </c>
      <c r="D3275" t="s">
        <v>5230</v>
      </c>
      <c r="E3275" s="2">
        <v>40360</v>
      </c>
      <c r="F3275" t="str">
        <f>"9780817911669"</f>
        <v>9780817911669</v>
      </c>
      <c r="G3275" t="str">
        <f>"9780817911645"</f>
        <v>9780817911645</v>
      </c>
      <c r="H3275" t="s">
        <v>3234</v>
      </c>
      <c r="I3275" t="s">
        <v>6685</v>
      </c>
      <c r="J3275" t="s">
        <v>6686</v>
      </c>
      <c r="K3275" t="s">
        <v>44</v>
      </c>
      <c r="N3275" t="s">
        <v>45</v>
      </c>
      <c r="O3275" t="s">
        <v>46</v>
      </c>
      <c r="P3275" t="s">
        <v>45</v>
      </c>
      <c r="Q3275" t="s">
        <v>47</v>
      </c>
      <c r="R3275" t="s">
        <v>44</v>
      </c>
      <c r="S3275">
        <v>0</v>
      </c>
      <c r="W3275" s="3">
        <v>1.5509259259259261E-3</v>
      </c>
      <c r="X3275" t="s">
        <v>196</v>
      </c>
      <c r="Y3275">
        <v>2</v>
      </c>
      <c r="Z3275">
        <v>0</v>
      </c>
      <c r="AA3275" t="s">
        <v>49</v>
      </c>
      <c r="AB3275">
        <v>0</v>
      </c>
      <c r="AC3275" t="s">
        <v>49</v>
      </c>
      <c r="AD3275">
        <v>0</v>
      </c>
      <c r="AE3275">
        <v>10622921</v>
      </c>
      <c r="AF3275" t="s">
        <v>50</v>
      </c>
      <c r="AG3275" t="s">
        <v>5049</v>
      </c>
    </row>
    <row r="3276" spans="1:33" x14ac:dyDescent="0.35">
      <c r="A3276" s="1">
        <v>44740.45</v>
      </c>
      <c r="B3276">
        <v>1477522</v>
      </c>
      <c r="C3276" t="s">
        <v>3625</v>
      </c>
      <c r="D3276" t="s">
        <v>2022</v>
      </c>
      <c r="E3276" s="2">
        <v>41542</v>
      </c>
      <c r="F3276" t="str">
        <f>"9781443852760"</f>
        <v>9781443852760</v>
      </c>
      <c r="G3276" t="str">
        <f>"9781443848275"</f>
        <v>9781443848275</v>
      </c>
      <c r="H3276" t="s">
        <v>474</v>
      </c>
      <c r="I3276">
        <v>197</v>
      </c>
      <c r="J3276" t="s">
        <v>3626</v>
      </c>
      <c r="K3276" t="s">
        <v>44</v>
      </c>
      <c r="N3276" t="s">
        <v>45</v>
      </c>
      <c r="O3276" t="s">
        <v>46</v>
      </c>
      <c r="P3276" t="s">
        <v>45</v>
      </c>
      <c r="Q3276" t="s">
        <v>47</v>
      </c>
      <c r="R3276" t="s">
        <v>44</v>
      </c>
      <c r="S3276">
        <v>0</v>
      </c>
      <c r="W3276" s="3">
        <v>3.7268518518518514E-3</v>
      </c>
      <c r="X3276" t="s">
        <v>6725</v>
      </c>
      <c r="Y3276">
        <v>5</v>
      </c>
      <c r="Z3276">
        <v>0</v>
      </c>
      <c r="AA3276" t="s">
        <v>49</v>
      </c>
      <c r="AB3276">
        <v>0</v>
      </c>
      <c r="AC3276" t="s">
        <v>49</v>
      </c>
      <c r="AD3276">
        <v>0</v>
      </c>
      <c r="AE3276">
        <v>10778085</v>
      </c>
      <c r="AF3276" t="s">
        <v>50</v>
      </c>
      <c r="AG3276" t="s">
        <v>6609</v>
      </c>
    </row>
    <row r="3277" spans="1:33" x14ac:dyDescent="0.35">
      <c r="A3277" s="1">
        <v>44740.37777777778</v>
      </c>
      <c r="B3277">
        <v>1477522</v>
      </c>
      <c r="C3277" t="s">
        <v>3625</v>
      </c>
      <c r="D3277" t="s">
        <v>2022</v>
      </c>
      <c r="E3277" s="2">
        <v>41542</v>
      </c>
      <c r="F3277" t="str">
        <f>"9781443852760"</f>
        <v>9781443852760</v>
      </c>
      <c r="G3277" t="str">
        <f>"9781443848275"</f>
        <v>9781443848275</v>
      </c>
      <c r="H3277" t="s">
        <v>474</v>
      </c>
      <c r="I3277">
        <v>197</v>
      </c>
      <c r="J3277" t="s">
        <v>3626</v>
      </c>
      <c r="K3277" t="s">
        <v>44</v>
      </c>
      <c r="N3277" t="s">
        <v>45</v>
      </c>
      <c r="O3277" t="s">
        <v>46</v>
      </c>
      <c r="P3277" t="s">
        <v>45</v>
      </c>
      <c r="Q3277" t="s">
        <v>47</v>
      </c>
      <c r="R3277" t="s">
        <v>44</v>
      </c>
      <c r="S3277">
        <v>0</v>
      </c>
      <c r="W3277" s="3">
        <v>1.2037037037037038E-3</v>
      </c>
      <c r="X3277" t="s">
        <v>6726</v>
      </c>
      <c r="Y3277">
        <v>5</v>
      </c>
      <c r="Z3277">
        <v>0</v>
      </c>
      <c r="AA3277" t="s">
        <v>6727</v>
      </c>
      <c r="AB3277">
        <v>39</v>
      </c>
      <c r="AC3277" t="s">
        <v>49</v>
      </c>
      <c r="AD3277">
        <v>0</v>
      </c>
      <c r="AE3277">
        <v>10778085</v>
      </c>
      <c r="AF3277" t="s">
        <v>50</v>
      </c>
      <c r="AG3277" t="s">
        <v>6694</v>
      </c>
    </row>
    <row r="3278" spans="1:33" x14ac:dyDescent="0.35">
      <c r="A3278" s="1">
        <v>44740.210416666669</v>
      </c>
      <c r="B3278">
        <v>3002464</v>
      </c>
      <c r="C3278" t="s">
        <v>6728</v>
      </c>
      <c r="D3278" t="s">
        <v>810</v>
      </c>
      <c r="E3278" s="2">
        <v>33298</v>
      </c>
      <c r="F3278" t="str">
        <f>"9781615039845"</f>
        <v>9781615039845</v>
      </c>
      <c r="G3278" t="str">
        <f>"9780871703996"</f>
        <v>9780871703996</v>
      </c>
      <c r="H3278" t="s">
        <v>925</v>
      </c>
      <c r="I3278" t="s">
        <v>1533</v>
      </c>
      <c r="J3278" t="s">
        <v>6729</v>
      </c>
      <c r="K3278" t="s">
        <v>44</v>
      </c>
      <c r="N3278" t="s">
        <v>45</v>
      </c>
      <c r="O3278" t="s">
        <v>46</v>
      </c>
      <c r="P3278" t="s">
        <v>45</v>
      </c>
      <c r="Q3278" t="s">
        <v>47</v>
      </c>
      <c r="R3278" t="s">
        <v>44</v>
      </c>
      <c r="S3278">
        <v>1</v>
      </c>
      <c r="W3278" s="3">
        <v>0</v>
      </c>
      <c r="X3278" t="s">
        <v>49</v>
      </c>
      <c r="Y3278">
        <v>0</v>
      </c>
      <c r="Z3278">
        <v>0</v>
      </c>
      <c r="AA3278" t="s">
        <v>49</v>
      </c>
      <c r="AB3278">
        <v>0</v>
      </c>
      <c r="AC3278" t="s">
        <v>49</v>
      </c>
      <c r="AD3278">
        <v>0</v>
      </c>
      <c r="AE3278">
        <v>10627939</v>
      </c>
      <c r="AF3278" t="s">
        <v>63</v>
      </c>
      <c r="AG3278" t="s">
        <v>6551</v>
      </c>
    </row>
    <row r="3279" spans="1:33" x14ac:dyDescent="0.35">
      <c r="A3279" s="1">
        <v>44740.207638888889</v>
      </c>
      <c r="B3279">
        <v>3002464</v>
      </c>
      <c r="C3279" t="s">
        <v>6728</v>
      </c>
      <c r="D3279" t="s">
        <v>810</v>
      </c>
      <c r="E3279" s="2">
        <v>33298</v>
      </c>
      <c r="F3279" t="str">
        <f>"9781615039845"</f>
        <v>9781615039845</v>
      </c>
      <c r="G3279" t="str">
        <f>"9780871703996"</f>
        <v>9780871703996</v>
      </c>
      <c r="H3279" t="s">
        <v>925</v>
      </c>
      <c r="I3279" t="s">
        <v>1533</v>
      </c>
      <c r="J3279" t="s">
        <v>6729</v>
      </c>
      <c r="K3279" t="s">
        <v>44</v>
      </c>
      <c r="N3279" t="s">
        <v>45</v>
      </c>
      <c r="O3279" t="s">
        <v>46</v>
      </c>
      <c r="P3279" t="s">
        <v>45</v>
      </c>
      <c r="Q3279" t="s">
        <v>47</v>
      </c>
      <c r="R3279" t="s">
        <v>44</v>
      </c>
      <c r="S3279">
        <v>0</v>
      </c>
      <c r="W3279" s="3">
        <v>2.4537037037037036E-3</v>
      </c>
      <c r="X3279" t="s">
        <v>6730</v>
      </c>
      <c r="Y3279">
        <v>7</v>
      </c>
      <c r="Z3279">
        <v>0</v>
      </c>
      <c r="AA3279" t="s">
        <v>49</v>
      </c>
      <c r="AB3279">
        <v>0</v>
      </c>
      <c r="AC3279" t="s">
        <v>49</v>
      </c>
      <c r="AD3279">
        <v>0</v>
      </c>
      <c r="AE3279">
        <v>10627939</v>
      </c>
      <c r="AF3279" t="s">
        <v>63</v>
      </c>
      <c r="AG3279" t="s">
        <v>6551</v>
      </c>
    </row>
    <row r="3280" spans="1:33" x14ac:dyDescent="0.35">
      <c r="A3280" s="1">
        <v>44740.091666666667</v>
      </c>
      <c r="B3280">
        <v>3098841</v>
      </c>
      <c r="C3280" t="s">
        <v>6731</v>
      </c>
      <c r="D3280" t="s">
        <v>2271</v>
      </c>
      <c r="E3280" s="2">
        <v>36843</v>
      </c>
      <c r="F3280" t="str">
        <f>"9783642976469"</f>
        <v>9783642976469</v>
      </c>
      <c r="G3280" t="str">
        <f>"9783642976483"</f>
        <v>9783642976483</v>
      </c>
      <c r="H3280" t="s">
        <v>2373</v>
      </c>
      <c r="I3280">
        <v>621.46</v>
      </c>
      <c r="J3280" t="s">
        <v>567</v>
      </c>
      <c r="K3280" t="s">
        <v>44</v>
      </c>
      <c r="N3280" t="s">
        <v>45</v>
      </c>
      <c r="O3280" t="s">
        <v>46</v>
      </c>
      <c r="P3280" t="s">
        <v>45</v>
      </c>
      <c r="Q3280" t="s">
        <v>47</v>
      </c>
      <c r="R3280" t="s">
        <v>44</v>
      </c>
      <c r="S3280">
        <v>0</v>
      </c>
      <c r="W3280" s="3">
        <v>8.449074074074075E-4</v>
      </c>
      <c r="X3280" t="s">
        <v>6732</v>
      </c>
      <c r="Y3280">
        <v>11</v>
      </c>
      <c r="Z3280">
        <v>0</v>
      </c>
      <c r="AA3280" t="s">
        <v>49</v>
      </c>
      <c r="AB3280">
        <v>0</v>
      </c>
      <c r="AC3280" t="s">
        <v>49</v>
      </c>
      <c r="AD3280">
        <v>0</v>
      </c>
      <c r="AE3280">
        <v>10973738</v>
      </c>
      <c r="AF3280" t="s">
        <v>50</v>
      </c>
      <c r="AG3280" t="s">
        <v>6642</v>
      </c>
    </row>
    <row r="3281" spans="1:33" x14ac:dyDescent="0.35">
      <c r="A3281" s="1">
        <v>44740.043749999997</v>
      </c>
      <c r="B3281">
        <v>200554</v>
      </c>
      <c r="C3281" t="s">
        <v>6720</v>
      </c>
      <c r="D3281" t="s">
        <v>76</v>
      </c>
      <c r="E3281" s="2">
        <v>38212</v>
      </c>
      <c r="F3281" t="str">
        <f>"9780203346242"</f>
        <v>9780203346242</v>
      </c>
      <c r="G3281" t="str">
        <f>"9780415325912"</f>
        <v>9780415325912</v>
      </c>
      <c r="H3281" t="s">
        <v>162</v>
      </c>
      <c r="I3281">
        <v>297.40918210000001</v>
      </c>
      <c r="J3281" t="s">
        <v>6721</v>
      </c>
      <c r="K3281" t="s">
        <v>44</v>
      </c>
      <c r="N3281" t="s">
        <v>45</v>
      </c>
      <c r="O3281" t="s">
        <v>46</v>
      </c>
      <c r="P3281" t="s">
        <v>45</v>
      </c>
      <c r="Q3281" t="s">
        <v>47</v>
      </c>
      <c r="R3281" t="s">
        <v>44</v>
      </c>
      <c r="S3281">
        <v>0</v>
      </c>
      <c r="W3281" s="3">
        <v>2.3067129629629632E-2</v>
      </c>
      <c r="X3281" t="s">
        <v>6733</v>
      </c>
      <c r="Y3281">
        <v>33</v>
      </c>
      <c r="Z3281">
        <v>0</v>
      </c>
      <c r="AA3281" t="s">
        <v>49</v>
      </c>
      <c r="AB3281">
        <v>0</v>
      </c>
      <c r="AC3281" t="s">
        <v>49</v>
      </c>
      <c r="AD3281">
        <v>0</v>
      </c>
      <c r="AE3281">
        <v>10093594</v>
      </c>
      <c r="AF3281" t="s">
        <v>50</v>
      </c>
      <c r="AG3281" t="s">
        <v>6551</v>
      </c>
    </row>
    <row r="3282" spans="1:33" x14ac:dyDescent="0.35">
      <c r="A3282" s="1">
        <v>44738.872916666667</v>
      </c>
      <c r="B3282">
        <v>2054784</v>
      </c>
      <c r="C3282" t="s">
        <v>6734</v>
      </c>
      <c r="D3282" t="s">
        <v>6069</v>
      </c>
      <c r="E3282" s="2">
        <v>40846</v>
      </c>
      <c r="F3282" t="str">
        <f>"9781611171839"</f>
        <v>9781611171839</v>
      </c>
      <c r="G3282" t="str">
        <f>"9781570039997"</f>
        <v>9781570039997</v>
      </c>
      <c r="H3282" t="s">
        <v>162</v>
      </c>
      <c r="I3282" t="s">
        <v>6735</v>
      </c>
      <c r="J3282" t="s">
        <v>6736</v>
      </c>
      <c r="K3282" t="s">
        <v>44</v>
      </c>
      <c r="N3282" t="s">
        <v>45</v>
      </c>
      <c r="O3282" t="s">
        <v>46</v>
      </c>
      <c r="P3282" t="s">
        <v>45</v>
      </c>
      <c r="Q3282" t="s">
        <v>47</v>
      </c>
      <c r="R3282" t="s">
        <v>44</v>
      </c>
      <c r="S3282">
        <v>0</v>
      </c>
      <c r="W3282" s="3">
        <v>1.3541666666666667E-3</v>
      </c>
      <c r="X3282" t="s">
        <v>6737</v>
      </c>
      <c r="Y3282">
        <v>9</v>
      </c>
      <c r="Z3282">
        <v>0</v>
      </c>
      <c r="AA3282" t="s">
        <v>49</v>
      </c>
      <c r="AB3282">
        <v>0</v>
      </c>
      <c r="AC3282" t="s">
        <v>49</v>
      </c>
      <c r="AD3282">
        <v>0</v>
      </c>
      <c r="AE3282">
        <v>10714979</v>
      </c>
      <c r="AF3282" t="s">
        <v>50</v>
      </c>
      <c r="AG3282" t="s">
        <v>6551</v>
      </c>
    </row>
    <row r="3283" spans="1:33" x14ac:dyDescent="0.35">
      <c r="A3283" s="1">
        <v>44738.833333333336</v>
      </c>
      <c r="B3283">
        <v>434448</v>
      </c>
      <c r="C3283" t="s">
        <v>6738</v>
      </c>
      <c r="D3283" t="s">
        <v>2430</v>
      </c>
      <c r="E3283" s="2">
        <v>37288</v>
      </c>
      <c r="F3283" t="str">
        <f>"9781905937080"</f>
        <v>9781905937080</v>
      </c>
      <c r="G3283" t="str">
        <f>"9780953451371"</f>
        <v>9780953451371</v>
      </c>
      <c r="H3283" t="s">
        <v>498</v>
      </c>
      <c r="I3283" t="s">
        <v>6739</v>
      </c>
      <c r="J3283" t="s">
        <v>6740</v>
      </c>
      <c r="K3283" t="s">
        <v>44</v>
      </c>
      <c r="N3283" t="s">
        <v>45</v>
      </c>
      <c r="O3283" t="s">
        <v>46</v>
      </c>
      <c r="P3283" t="s">
        <v>45</v>
      </c>
      <c r="Q3283" t="s">
        <v>47</v>
      </c>
      <c r="R3283" t="s">
        <v>44</v>
      </c>
      <c r="S3283">
        <v>0</v>
      </c>
      <c r="W3283" s="3">
        <v>4.1701388888888885E-2</v>
      </c>
      <c r="X3283" t="s">
        <v>6741</v>
      </c>
      <c r="Y3283">
        <v>64</v>
      </c>
      <c r="Z3283">
        <v>0</v>
      </c>
      <c r="AA3283" t="s">
        <v>49</v>
      </c>
      <c r="AB3283">
        <v>0</v>
      </c>
      <c r="AC3283" t="s">
        <v>49</v>
      </c>
      <c r="AD3283">
        <v>0</v>
      </c>
      <c r="AE3283">
        <v>10294705</v>
      </c>
      <c r="AF3283" t="s">
        <v>50</v>
      </c>
      <c r="AG3283" t="s">
        <v>6551</v>
      </c>
    </row>
    <row r="3284" spans="1:33" x14ac:dyDescent="0.35">
      <c r="A3284" s="1">
        <v>44738.715277777781</v>
      </c>
      <c r="B3284">
        <v>1477522</v>
      </c>
      <c r="C3284" t="s">
        <v>3625</v>
      </c>
      <c r="D3284" t="s">
        <v>2022</v>
      </c>
      <c r="E3284" s="2">
        <v>41542</v>
      </c>
      <c r="F3284" t="str">
        <f>"9781443852760"</f>
        <v>9781443852760</v>
      </c>
      <c r="G3284" t="str">
        <f>"9781443848275"</f>
        <v>9781443848275</v>
      </c>
      <c r="H3284" t="s">
        <v>474</v>
      </c>
      <c r="I3284">
        <v>197</v>
      </c>
      <c r="J3284" t="s">
        <v>3626</v>
      </c>
      <c r="K3284" t="s">
        <v>44</v>
      </c>
      <c r="N3284" t="s">
        <v>45</v>
      </c>
      <c r="O3284" t="s">
        <v>46</v>
      </c>
      <c r="P3284" t="s">
        <v>45</v>
      </c>
      <c r="Q3284" t="s">
        <v>47</v>
      </c>
      <c r="R3284" t="s">
        <v>44</v>
      </c>
      <c r="S3284">
        <v>0</v>
      </c>
      <c r="W3284" s="3">
        <v>0</v>
      </c>
      <c r="X3284" t="s">
        <v>49</v>
      </c>
      <c r="Y3284">
        <v>0</v>
      </c>
      <c r="Z3284">
        <v>1</v>
      </c>
      <c r="AA3284" t="s">
        <v>6742</v>
      </c>
      <c r="AB3284">
        <v>37</v>
      </c>
      <c r="AC3284" t="s">
        <v>49</v>
      </c>
      <c r="AD3284">
        <v>0</v>
      </c>
      <c r="AE3284">
        <v>10778085</v>
      </c>
      <c r="AF3284" t="s">
        <v>50</v>
      </c>
      <c r="AG3284" t="s">
        <v>6743</v>
      </c>
    </row>
    <row r="3285" spans="1:33" x14ac:dyDescent="0.35">
      <c r="A3285" s="1">
        <v>44738.69027777778</v>
      </c>
      <c r="B3285">
        <v>1477522</v>
      </c>
      <c r="C3285" t="s">
        <v>3625</v>
      </c>
      <c r="D3285" t="s">
        <v>2022</v>
      </c>
      <c r="E3285" s="2">
        <v>41542</v>
      </c>
      <c r="F3285" t="str">
        <f>"9781443852760"</f>
        <v>9781443852760</v>
      </c>
      <c r="G3285" t="str">
        <f>"9781443848275"</f>
        <v>9781443848275</v>
      </c>
      <c r="H3285" t="s">
        <v>474</v>
      </c>
      <c r="I3285">
        <v>197</v>
      </c>
      <c r="J3285" t="s">
        <v>3626</v>
      </c>
      <c r="K3285" t="s">
        <v>44</v>
      </c>
      <c r="N3285" t="s">
        <v>45</v>
      </c>
      <c r="O3285" t="s">
        <v>46</v>
      </c>
      <c r="P3285" t="s">
        <v>45</v>
      </c>
      <c r="Q3285" t="s">
        <v>47</v>
      </c>
      <c r="R3285" t="s">
        <v>44</v>
      </c>
      <c r="S3285">
        <v>0</v>
      </c>
      <c r="W3285" s="3">
        <v>1.2650462962962962E-2</v>
      </c>
      <c r="X3285" t="s">
        <v>6744</v>
      </c>
      <c r="Y3285">
        <v>45</v>
      </c>
      <c r="Z3285">
        <v>1</v>
      </c>
      <c r="AA3285" t="s">
        <v>6745</v>
      </c>
      <c r="AB3285">
        <v>34</v>
      </c>
      <c r="AC3285" t="s">
        <v>49</v>
      </c>
      <c r="AD3285">
        <v>0</v>
      </c>
      <c r="AE3285">
        <v>10778085</v>
      </c>
      <c r="AF3285" t="s">
        <v>50</v>
      </c>
      <c r="AG3285" t="s">
        <v>6551</v>
      </c>
    </row>
    <row r="3286" spans="1:33" x14ac:dyDescent="0.35">
      <c r="A3286" s="1">
        <v>44738.665277777778</v>
      </c>
      <c r="B3286">
        <v>1477522</v>
      </c>
      <c r="C3286" t="s">
        <v>3625</v>
      </c>
      <c r="D3286" t="s">
        <v>2022</v>
      </c>
      <c r="E3286" s="2">
        <v>41542</v>
      </c>
      <c r="F3286" t="str">
        <f>"9781443852760"</f>
        <v>9781443852760</v>
      </c>
      <c r="G3286" t="str">
        <f>"9781443848275"</f>
        <v>9781443848275</v>
      </c>
      <c r="H3286" t="s">
        <v>474</v>
      </c>
      <c r="I3286">
        <v>197</v>
      </c>
      <c r="J3286" t="s">
        <v>3626</v>
      </c>
      <c r="K3286" t="s">
        <v>44</v>
      </c>
      <c r="N3286" t="s">
        <v>45</v>
      </c>
      <c r="O3286" t="s">
        <v>46</v>
      </c>
      <c r="P3286" t="s">
        <v>45</v>
      </c>
      <c r="Q3286" t="s">
        <v>47</v>
      </c>
      <c r="R3286" t="s">
        <v>44</v>
      </c>
      <c r="S3286">
        <v>0</v>
      </c>
      <c r="W3286" s="3">
        <v>1.9837962962962963E-2</v>
      </c>
      <c r="X3286" t="s">
        <v>6746</v>
      </c>
      <c r="Y3286">
        <v>45</v>
      </c>
      <c r="Z3286">
        <v>0</v>
      </c>
      <c r="AA3286" t="s">
        <v>49</v>
      </c>
      <c r="AB3286">
        <v>0</v>
      </c>
      <c r="AC3286" t="s">
        <v>6747</v>
      </c>
      <c r="AD3286">
        <v>2</v>
      </c>
      <c r="AE3286">
        <v>10778085</v>
      </c>
      <c r="AF3286" t="s">
        <v>50</v>
      </c>
      <c r="AG3286" t="s">
        <v>6743</v>
      </c>
    </row>
    <row r="3287" spans="1:33" x14ac:dyDescent="0.35">
      <c r="A3287" s="1">
        <v>44738.663888888892</v>
      </c>
      <c r="B3287">
        <v>465345</v>
      </c>
      <c r="C3287" t="s">
        <v>6748</v>
      </c>
      <c r="D3287" t="s">
        <v>76</v>
      </c>
      <c r="E3287" s="2">
        <v>40150</v>
      </c>
      <c r="F3287" t="str">
        <f>"9780203865118"</f>
        <v>9780203865118</v>
      </c>
      <c r="G3287" t="str">
        <f>"9780415557207"</f>
        <v>9780415557207</v>
      </c>
      <c r="H3287" t="s">
        <v>498</v>
      </c>
      <c r="I3287" t="s">
        <v>6749</v>
      </c>
      <c r="J3287" t="s">
        <v>6750</v>
      </c>
      <c r="K3287" t="s">
        <v>44</v>
      </c>
      <c r="N3287" t="s">
        <v>45</v>
      </c>
      <c r="O3287" t="s">
        <v>46</v>
      </c>
      <c r="P3287" t="s">
        <v>45</v>
      </c>
      <c r="Q3287" t="s">
        <v>47</v>
      </c>
      <c r="R3287" t="s">
        <v>44</v>
      </c>
      <c r="S3287">
        <v>0</v>
      </c>
      <c r="W3287" s="3">
        <v>1.0694444444444444E-2</v>
      </c>
      <c r="X3287" t="s">
        <v>6751</v>
      </c>
      <c r="Y3287">
        <v>66</v>
      </c>
      <c r="Z3287">
        <v>0</v>
      </c>
      <c r="AA3287" t="s">
        <v>49</v>
      </c>
      <c r="AB3287">
        <v>0</v>
      </c>
      <c r="AC3287" t="s">
        <v>49</v>
      </c>
      <c r="AD3287">
        <v>0</v>
      </c>
      <c r="AE3287">
        <v>10349581</v>
      </c>
      <c r="AF3287" t="s">
        <v>50</v>
      </c>
      <c r="AG3287" t="s">
        <v>6743</v>
      </c>
    </row>
    <row r="3288" spans="1:33" x14ac:dyDescent="0.35">
      <c r="A3288" s="1">
        <v>44738.582638888889</v>
      </c>
      <c r="B3288">
        <v>1477522</v>
      </c>
      <c r="C3288" t="s">
        <v>3625</v>
      </c>
      <c r="D3288" t="s">
        <v>2022</v>
      </c>
      <c r="E3288" s="2">
        <v>41542</v>
      </c>
      <c r="F3288" t="str">
        <f>"9781443852760"</f>
        <v>9781443852760</v>
      </c>
      <c r="G3288" t="str">
        <f>"9781443848275"</f>
        <v>9781443848275</v>
      </c>
      <c r="H3288" t="s">
        <v>474</v>
      </c>
      <c r="I3288">
        <v>197</v>
      </c>
      <c r="J3288" t="s">
        <v>3626</v>
      </c>
      <c r="K3288" t="s">
        <v>44</v>
      </c>
      <c r="N3288" t="s">
        <v>45</v>
      </c>
      <c r="O3288" t="s">
        <v>46</v>
      </c>
      <c r="P3288" t="s">
        <v>45</v>
      </c>
      <c r="Q3288" t="s">
        <v>47</v>
      </c>
      <c r="R3288" t="s">
        <v>44</v>
      </c>
      <c r="S3288">
        <v>0</v>
      </c>
      <c r="W3288" s="3">
        <v>2.7777777777777778E-4</v>
      </c>
      <c r="X3288" t="s">
        <v>4477</v>
      </c>
      <c r="Y3288">
        <v>3</v>
      </c>
      <c r="Z3288">
        <v>0</v>
      </c>
      <c r="AA3288" t="s">
        <v>49</v>
      </c>
      <c r="AB3288">
        <v>0</v>
      </c>
      <c r="AC3288" t="s">
        <v>49</v>
      </c>
      <c r="AD3288">
        <v>0</v>
      </c>
      <c r="AE3288">
        <v>10778085</v>
      </c>
      <c r="AF3288" t="s">
        <v>50</v>
      </c>
      <c r="AG3288" t="s">
        <v>6743</v>
      </c>
    </row>
    <row r="3289" spans="1:33" x14ac:dyDescent="0.35">
      <c r="A3289" s="1">
        <v>44738.581944444442</v>
      </c>
      <c r="B3289">
        <v>465345</v>
      </c>
      <c r="C3289" t="s">
        <v>6748</v>
      </c>
      <c r="D3289" t="s">
        <v>76</v>
      </c>
      <c r="E3289" s="2">
        <v>40150</v>
      </c>
      <c r="F3289" t="str">
        <f>"9780203865118"</f>
        <v>9780203865118</v>
      </c>
      <c r="G3289" t="str">
        <f>"9780415557207"</f>
        <v>9780415557207</v>
      </c>
      <c r="H3289" t="s">
        <v>498</v>
      </c>
      <c r="I3289" t="s">
        <v>6749</v>
      </c>
      <c r="J3289" t="s">
        <v>6750</v>
      </c>
      <c r="K3289" t="s">
        <v>44</v>
      </c>
      <c r="N3289" t="s">
        <v>45</v>
      </c>
      <c r="O3289" t="s">
        <v>46</v>
      </c>
      <c r="P3289" t="s">
        <v>45</v>
      </c>
      <c r="Q3289" t="s">
        <v>47</v>
      </c>
      <c r="R3289" t="s">
        <v>44</v>
      </c>
      <c r="S3289">
        <v>0</v>
      </c>
      <c r="W3289" s="3">
        <v>7.175925925925927E-4</v>
      </c>
      <c r="X3289" t="s">
        <v>6752</v>
      </c>
      <c r="Y3289">
        <v>9</v>
      </c>
      <c r="Z3289">
        <v>0</v>
      </c>
      <c r="AA3289" t="s">
        <v>49</v>
      </c>
      <c r="AB3289">
        <v>0</v>
      </c>
      <c r="AC3289" t="s">
        <v>49</v>
      </c>
      <c r="AD3289">
        <v>0</v>
      </c>
      <c r="AE3289">
        <v>10349581</v>
      </c>
      <c r="AF3289" t="s">
        <v>50</v>
      </c>
      <c r="AG3289" t="s">
        <v>6743</v>
      </c>
    </row>
    <row r="3290" spans="1:33" x14ac:dyDescent="0.35">
      <c r="A3290" s="1">
        <v>44738.580555555556</v>
      </c>
      <c r="B3290">
        <v>536977</v>
      </c>
      <c r="C3290" t="s">
        <v>1900</v>
      </c>
      <c r="D3290" t="s">
        <v>507</v>
      </c>
      <c r="E3290" s="2">
        <v>40043</v>
      </c>
      <c r="F3290" t="str">
        <f>"9780748637942"</f>
        <v>9780748637942</v>
      </c>
      <c r="G3290" t="str">
        <f>"9780748637928"</f>
        <v>9780748637928</v>
      </c>
      <c r="H3290" t="s">
        <v>162</v>
      </c>
      <c r="I3290">
        <v>297</v>
      </c>
      <c r="J3290" t="s">
        <v>1901</v>
      </c>
      <c r="K3290" t="s">
        <v>44</v>
      </c>
      <c r="N3290" t="s">
        <v>45</v>
      </c>
      <c r="O3290" t="s">
        <v>46</v>
      </c>
      <c r="P3290" t="s">
        <v>45</v>
      </c>
      <c r="Q3290" t="s">
        <v>47</v>
      </c>
      <c r="R3290" t="s">
        <v>44</v>
      </c>
      <c r="S3290">
        <v>0</v>
      </c>
      <c r="W3290" s="3">
        <v>1.0416666666666667E-3</v>
      </c>
      <c r="X3290" t="s">
        <v>6753</v>
      </c>
      <c r="Y3290">
        <v>16</v>
      </c>
      <c r="Z3290">
        <v>0</v>
      </c>
      <c r="AA3290" t="s">
        <v>49</v>
      </c>
      <c r="AB3290">
        <v>0</v>
      </c>
      <c r="AC3290" t="s">
        <v>49</v>
      </c>
      <c r="AD3290">
        <v>0</v>
      </c>
      <c r="AE3290">
        <v>10391780</v>
      </c>
      <c r="AF3290" t="s">
        <v>50</v>
      </c>
      <c r="AG3290" t="s">
        <v>6743</v>
      </c>
    </row>
    <row r="3291" spans="1:33" x14ac:dyDescent="0.35">
      <c r="A3291" s="1">
        <v>44738.580555555556</v>
      </c>
      <c r="B3291">
        <v>3408757</v>
      </c>
      <c r="C3291" t="s">
        <v>6754</v>
      </c>
      <c r="D3291" t="s">
        <v>645</v>
      </c>
      <c r="E3291" s="2">
        <v>41456</v>
      </c>
      <c r="F3291" t="str">
        <f>"9781438447353"</f>
        <v>9781438447353</v>
      </c>
      <c r="G3291" t="str">
        <f>"9781438447339"</f>
        <v>9781438447339</v>
      </c>
      <c r="H3291" t="s">
        <v>1984</v>
      </c>
      <c r="I3291" t="s">
        <v>6755</v>
      </c>
      <c r="J3291" t="s">
        <v>6756</v>
      </c>
      <c r="K3291" t="s">
        <v>44</v>
      </c>
      <c r="N3291" t="s">
        <v>45</v>
      </c>
      <c r="O3291" t="s">
        <v>46</v>
      </c>
      <c r="P3291" t="s">
        <v>45</v>
      </c>
      <c r="Q3291" t="s">
        <v>47</v>
      </c>
      <c r="R3291" t="s">
        <v>44</v>
      </c>
      <c r="S3291">
        <v>0</v>
      </c>
      <c r="W3291" s="3">
        <v>2.3148148148148147E-5</v>
      </c>
      <c r="X3291" t="s">
        <v>121</v>
      </c>
      <c r="Y3291">
        <v>1</v>
      </c>
      <c r="Z3291">
        <v>0</v>
      </c>
      <c r="AA3291" t="s">
        <v>49</v>
      </c>
      <c r="AB3291">
        <v>0</v>
      </c>
      <c r="AC3291" t="s">
        <v>49</v>
      </c>
      <c r="AD3291">
        <v>0</v>
      </c>
      <c r="AE3291">
        <v>10735567</v>
      </c>
      <c r="AF3291" t="s">
        <v>50</v>
      </c>
      <c r="AG3291" t="s">
        <v>6743</v>
      </c>
    </row>
    <row r="3292" spans="1:33" x14ac:dyDescent="0.35">
      <c r="A3292" s="1">
        <v>44738.520833333336</v>
      </c>
      <c r="B3292">
        <v>1477522</v>
      </c>
      <c r="C3292" t="s">
        <v>3625</v>
      </c>
      <c r="D3292" t="s">
        <v>2022</v>
      </c>
      <c r="E3292" s="2">
        <v>41542</v>
      </c>
      <c r="F3292" t="str">
        <f>"9781443852760"</f>
        <v>9781443852760</v>
      </c>
      <c r="G3292" t="str">
        <f>"9781443848275"</f>
        <v>9781443848275</v>
      </c>
      <c r="H3292" t="s">
        <v>474</v>
      </c>
      <c r="I3292">
        <v>197</v>
      </c>
      <c r="J3292" t="s">
        <v>3626</v>
      </c>
      <c r="K3292" t="s">
        <v>44</v>
      </c>
      <c r="N3292" t="s">
        <v>45</v>
      </c>
      <c r="O3292" t="s">
        <v>46</v>
      </c>
      <c r="P3292" t="s">
        <v>45</v>
      </c>
      <c r="Q3292" t="s">
        <v>47</v>
      </c>
      <c r="R3292" t="s">
        <v>44</v>
      </c>
      <c r="S3292">
        <v>0</v>
      </c>
      <c r="W3292" s="3">
        <v>7.037037037037037E-3</v>
      </c>
      <c r="X3292" t="s">
        <v>6757</v>
      </c>
      <c r="Y3292">
        <v>18</v>
      </c>
      <c r="Z3292">
        <v>0</v>
      </c>
      <c r="AA3292" t="s">
        <v>49</v>
      </c>
      <c r="AB3292">
        <v>0</v>
      </c>
      <c r="AC3292" t="s">
        <v>285</v>
      </c>
      <c r="AD3292">
        <v>1</v>
      </c>
      <c r="AE3292">
        <v>10778085</v>
      </c>
      <c r="AF3292" t="s">
        <v>50</v>
      </c>
      <c r="AG3292" t="s">
        <v>6743</v>
      </c>
    </row>
    <row r="3293" spans="1:33" x14ac:dyDescent="0.35">
      <c r="A3293" s="1">
        <v>44738.517361111109</v>
      </c>
      <c r="B3293">
        <v>465345</v>
      </c>
      <c r="C3293" t="s">
        <v>6748</v>
      </c>
      <c r="D3293" t="s">
        <v>76</v>
      </c>
      <c r="E3293" s="2">
        <v>40150</v>
      </c>
      <c r="F3293" t="str">
        <f>"9780203865118"</f>
        <v>9780203865118</v>
      </c>
      <c r="G3293" t="str">
        <f>"9780415557207"</f>
        <v>9780415557207</v>
      </c>
      <c r="H3293" t="s">
        <v>498</v>
      </c>
      <c r="I3293" t="s">
        <v>6749</v>
      </c>
      <c r="J3293" t="s">
        <v>6750</v>
      </c>
      <c r="K3293" t="s">
        <v>44</v>
      </c>
      <c r="N3293" t="s">
        <v>45</v>
      </c>
      <c r="O3293" t="s">
        <v>46</v>
      </c>
      <c r="P3293" t="s">
        <v>45</v>
      </c>
      <c r="Q3293" t="s">
        <v>47</v>
      </c>
      <c r="R3293" t="s">
        <v>44</v>
      </c>
      <c r="S3293">
        <v>0</v>
      </c>
      <c r="W3293" s="3">
        <v>2.1527777777777778E-3</v>
      </c>
      <c r="X3293" t="s">
        <v>6758</v>
      </c>
      <c r="Y3293">
        <v>5</v>
      </c>
      <c r="Z3293">
        <v>0</v>
      </c>
      <c r="AA3293" t="s">
        <v>49</v>
      </c>
      <c r="AB3293">
        <v>0</v>
      </c>
      <c r="AC3293" t="s">
        <v>49</v>
      </c>
      <c r="AD3293">
        <v>0</v>
      </c>
      <c r="AE3293">
        <v>10349581</v>
      </c>
      <c r="AF3293" t="s">
        <v>50</v>
      </c>
      <c r="AG3293" t="s">
        <v>6743</v>
      </c>
    </row>
    <row r="3294" spans="1:33" x14ac:dyDescent="0.35">
      <c r="A3294" s="1">
        <v>44738.259027777778</v>
      </c>
      <c r="B3294">
        <v>1123486</v>
      </c>
      <c r="C3294" t="s">
        <v>6759</v>
      </c>
      <c r="D3294" t="s">
        <v>2150</v>
      </c>
      <c r="E3294" s="2">
        <v>41214</v>
      </c>
      <c r="F3294" t="str">
        <f>"9780826193278"</f>
        <v>9780826193278</v>
      </c>
      <c r="G3294" t="str">
        <f>"9780826193261"</f>
        <v>9780826193261</v>
      </c>
      <c r="H3294" t="s">
        <v>6760</v>
      </c>
      <c r="I3294" t="s">
        <v>6761</v>
      </c>
      <c r="J3294" t="s">
        <v>6762</v>
      </c>
      <c r="K3294" t="s">
        <v>44</v>
      </c>
      <c r="N3294" t="s">
        <v>45</v>
      </c>
      <c r="O3294" t="s">
        <v>46</v>
      </c>
      <c r="P3294" t="s">
        <v>45</v>
      </c>
      <c r="Q3294" t="s">
        <v>47</v>
      </c>
      <c r="R3294" t="s">
        <v>44</v>
      </c>
      <c r="S3294">
        <v>0</v>
      </c>
      <c r="W3294" s="3">
        <v>4.6296296296296294E-5</v>
      </c>
      <c r="X3294" t="s">
        <v>6763</v>
      </c>
      <c r="Y3294">
        <v>1</v>
      </c>
      <c r="Z3294">
        <v>0</v>
      </c>
      <c r="AA3294" t="s">
        <v>49</v>
      </c>
      <c r="AB3294">
        <v>0</v>
      </c>
      <c r="AC3294" t="s">
        <v>49</v>
      </c>
      <c r="AD3294">
        <v>0</v>
      </c>
      <c r="AE3294">
        <v>10657467</v>
      </c>
      <c r="AF3294" t="s">
        <v>50</v>
      </c>
      <c r="AG3294" t="s">
        <v>741</v>
      </c>
    </row>
    <row r="3295" spans="1:33" x14ac:dyDescent="0.35">
      <c r="A3295" s="1">
        <v>44738.054166666669</v>
      </c>
      <c r="B3295">
        <v>1076652</v>
      </c>
      <c r="C3295" t="s">
        <v>6764</v>
      </c>
      <c r="D3295" t="s">
        <v>6765</v>
      </c>
      <c r="E3295" s="2">
        <v>41275</v>
      </c>
      <c r="F3295" t="str">
        <f>"9780738216089"</f>
        <v>9780738216089</v>
      </c>
      <c r="G3295" t="str">
        <f>"9780306822629"</f>
        <v>9780306822629</v>
      </c>
      <c r="H3295" t="s">
        <v>6766</v>
      </c>
      <c r="I3295" t="s">
        <v>6767</v>
      </c>
      <c r="J3295" t="s">
        <v>6768</v>
      </c>
      <c r="K3295" t="s">
        <v>55</v>
      </c>
      <c r="L3295" t="s">
        <v>6769</v>
      </c>
      <c r="N3295" t="s">
        <v>79</v>
      </c>
      <c r="P3295" t="s">
        <v>6770</v>
      </c>
      <c r="Q3295" t="s">
        <v>6771</v>
      </c>
      <c r="R3295" t="s">
        <v>44</v>
      </c>
      <c r="S3295">
        <v>0</v>
      </c>
      <c r="T3295">
        <v>1</v>
      </c>
      <c r="U3295" s="1">
        <v>44738.054166666669</v>
      </c>
      <c r="V3295" s="1">
        <v>44739.054166666669</v>
      </c>
      <c r="W3295" s="3">
        <v>3.1192129629629629E-2</v>
      </c>
      <c r="X3295" t="s">
        <v>6772</v>
      </c>
      <c r="Y3295">
        <v>117</v>
      </c>
      <c r="Z3295">
        <v>0</v>
      </c>
      <c r="AA3295" t="s">
        <v>49</v>
      </c>
      <c r="AB3295">
        <v>0</v>
      </c>
      <c r="AC3295" t="s">
        <v>6773</v>
      </c>
      <c r="AD3295">
        <v>11</v>
      </c>
      <c r="AE3295">
        <v>10639395</v>
      </c>
      <c r="AF3295" t="s">
        <v>50</v>
      </c>
      <c r="AG3295" t="s">
        <v>699</v>
      </c>
    </row>
    <row r="3296" spans="1:33" x14ac:dyDescent="0.35">
      <c r="A3296" s="1">
        <v>44738.047222222223</v>
      </c>
      <c r="B3296">
        <v>1076652</v>
      </c>
      <c r="C3296" t="s">
        <v>6764</v>
      </c>
      <c r="D3296" t="s">
        <v>6765</v>
      </c>
      <c r="E3296" s="2">
        <v>41275</v>
      </c>
      <c r="F3296" t="str">
        <f>"9780738216089"</f>
        <v>9780738216089</v>
      </c>
      <c r="G3296" t="str">
        <f>"9780306822629"</f>
        <v>9780306822629</v>
      </c>
      <c r="H3296" t="s">
        <v>6766</v>
      </c>
      <c r="I3296" t="s">
        <v>6767</v>
      </c>
      <c r="J3296" t="s">
        <v>6768</v>
      </c>
      <c r="K3296" t="s">
        <v>55</v>
      </c>
      <c r="N3296" t="s">
        <v>79</v>
      </c>
      <c r="P3296" t="s">
        <v>6770</v>
      </c>
      <c r="Q3296" t="s">
        <v>47</v>
      </c>
      <c r="R3296" t="s">
        <v>44</v>
      </c>
      <c r="S3296">
        <v>0</v>
      </c>
      <c r="W3296" s="3">
        <v>7.0717592592592594E-3</v>
      </c>
      <c r="X3296" t="s">
        <v>6774</v>
      </c>
      <c r="Y3296">
        <v>7</v>
      </c>
      <c r="Z3296">
        <v>0</v>
      </c>
      <c r="AA3296" t="s">
        <v>49</v>
      </c>
      <c r="AB3296">
        <v>0</v>
      </c>
      <c r="AC3296" t="s">
        <v>49</v>
      </c>
      <c r="AD3296">
        <v>0</v>
      </c>
      <c r="AE3296">
        <v>10639395</v>
      </c>
      <c r="AF3296" t="s">
        <v>50</v>
      </c>
      <c r="AG3296" t="s">
        <v>699</v>
      </c>
    </row>
    <row r="3297" spans="1:33" x14ac:dyDescent="0.35">
      <c r="A3297" s="1">
        <v>44738.043749999997</v>
      </c>
      <c r="B3297">
        <v>228375</v>
      </c>
      <c r="C3297" t="s">
        <v>6775</v>
      </c>
      <c r="D3297" t="s">
        <v>819</v>
      </c>
      <c r="E3297" s="2">
        <v>37032</v>
      </c>
      <c r="F3297" t="str">
        <f>"9780814426005"</f>
        <v>9780814426005</v>
      </c>
      <c r="G3297" t="str">
        <f>"9780814433072"</f>
        <v>9780814433072</v>
      </c>
      <c r="H3297" t="s">
        <v>60</v>
      </c>
      <c r="I3297" t="s">
        <v>1652</v>
      </c>
      <c r="J3297" t="s">
        <v>6776</v>
      </c>
      <c r="K3297" t="s">
        <v>44</v>
      </c>
      <c r="N3297" t="s">
        <v>45</v>
      </c>
      <c r="O3297" t="s">
        <v>46</v>
      </c>
      <c r="P3297" t="s">
        <v>45</v>
      </c>
      <c r="Q3297" t="s">
        <v>47</v>
      </c>
      <c r="R3297" t="s">
        <v>44</v>
      </c>
      <c r="S3297">
        <v>0</v>
      </c>
      <c r="W3297" s="3">
        <v>8.2175925925925917E-4</v>
      </c>
      <c r="X3297" t="s">
        <v>6777</v>
      </c>
      <c r="Y3297">
        <v>14</v>
      </c>
      <c r="Z3297">
        <v>0</v>
      </c>
      <c r="AA3297" t="s">
        <v>49</v>
      </c>
      <c r="AB3297">
        <v>0</v>
      </c>
      <c r="AC3297" t="s">
        <v>49</v>
      </c>
      <c r="AD3297">
        <v>0</v>
      </c>
      <c r="AE3297">
        <v>10120182</v>
      </c>
      <c r="AF3297" t="s">
        <v>50</v>
      </c>
      <c r="AG3297" t="s">
        <v>699</v>
      </c>
    </row>
    <row r="3298" spans="1:33" x14ac:dyDescent="0.35">
      <c r="A3298" s="1">
        <v>44738.036805555559</v>
      </c>
      <c r="B3298">
        <v>423283</v>
      </c>
      <c r="C3298" t="s">
        <v>6778</v>
      </c>
      <c r="D3298" t="s">
        <v>2150</v>
      </c>
      <c r="E3298" s="2">
        <v>39692</v>
      </c>
      <c r="F3298" t="str">
        <f>"9780826117519"</f>
        <v>9780826117519</v>
      </c>
      <c r="G3298" t="str">
        <f>"9780826115454"</f>
        <v>9780826115454</v>
      </c>
      <c r="H3298" t="s">
        <v>525</v>
      </c>
      <c r="I3298">
        <v>613</v>
      </c>
      <c r="J3298" t="s">
        <v>6779</v>
      </c>
      <c r="K3298" t="s">
        <v>44</v>
      </c>
      <c r="N3298" t="s">
        <v>45</v>
      </c>
      <c r="O3298" t="s">
        <v>46</v>
      </c>
      <c r="P3298" t="s">
        <v>45</v>
      </c>
      <c r="Q3298" t="s">
        <v>47</v>
      </c>
      <c r="R3298" t="s">
        <v>44</v>
      </c>
      <c r="S3298">
        <v>0</v>
      </c>
      <c r="W3298" s="3">
        <v>7.291666666666667E-4</v>
      </c>
      <c r="X3298" t="s">
        <v>6780</v>
      </c>
      <c r="Y3298">
        <v>16</v>
      </c>
      <c r="Z3298">
        <v>0</v>
      </c>
      <c r="AA3298" t="s">
        <v>49</v>
      </c>
      <c r="AB3298">
        <v>0</v>
      </c>
      <c r="AC3298" t="s">
        <v>49</v>
      </c>
      <c r="AD3298">
        <v>0</v>
      </c>
      <c r="AE3298">
        <v>10265465</v>
      </c>
      <c r="AF3298" t="s">
        <v>50</v>
      </c>
      <c r="AG3298" t="s">
        <v>699</v>
      </c>
    </row>
    <row r="3299" spans="1:33" x14ac:dyDescent="0.35">
      <c r="A3299" s="1">
        <v>44737.954861111109</v>
      </c>
      <c r="B3299">
        <v>330112</v>
      </c>
      <c r="C3299" t="s">
        <v>6781</v>
      </c>
      <c r="D3299" t="s">
        <v>65</v>
      </c>
      <c r="E3299" s="2">
        <v>39430</v>
      </c>
      <c r="F3299" t="str">
        <f>"9780080556970"</f>
        <v>9780080556970</v>
      </c>
      <c r="G3299" t="str">
        <f>"9780123725318"</f>
        <v>9780123725318</v>
      </c>
      <c r="H3299" t="s">
        <v>77</v>
      </c>
      <c r="I3299">
        <v>616.00109999999995</v>
      </c>
      <c r="J3299" t="s">
        <v>6782</v>
      </c>
      <c r="K3299" t="s">
        <v>44</v>
      </c>
      <c r="N3299" t="s">
        <v>45</v>
      </c>
      <c r="O3299" t="s">
        <v>46</v>
      </c>
      <c r="P3299" t="s">
        <v>45</v>
      </c>
      <c r="Q3299" t="s">
        <v>47</v>
      </c>
      <c r="R3299" t="s">
        <v>44</v>
      </c>
      <c r="S3299">
        <v>0</v>
      </c>
      <c r="W3299" s="3">
        <v>0</v>
      </c>
      <c r="X3299" t="s">
        <v>49</v>
      </c>
      <c r="Y3299">
        <v>0</v>
      </c>
      <c r="Z3299">
        <v>2</v>
      </c>
      <c r="AA3299" t="s">
        <v>6783</v>
      </c>
      <c r="AB3299">
        <v>6</v>
      </c>
      <c r="AC3299" t="s">
        <v>49</v>
      </c>
      <c r="AD3299">
        <v>0</v>
      </c>
      <c r="AE3299">
        <v>10206119</v>
      </c>
      <c r="AF3299" t="s">
        <v>50</v>
      </c>
      <c r="AG3299" t="s">
        <v>741</v>
      </c>
    </row>
    <row r="3300" spans="1:33" x14ac:dyDescent="0.35">
      <c r="A3300" s="1">
        <v>44737.911805555559</v>
      </c>
      <c r="B3300">
        <v>1123486</v>
      </c>
      <c r="C3300" t="s">
        <v>6759</v>
      </c>
      <c r="D3300" t="s">
        <v>2150</v>
      </c>
      <c r="E3300" s="2">
        <v>41214</v>
      </c>
      <c r="F3300" t="str">
        <f>"9780826193278"</f>
        <v>9780826193278</v>
      </c>
      <c r="G3300" t="str">
        <f>"9780826193261"</f>
        <v>9780826193261</v>
      </c>
      <c r="H3300" t="s">
        <v>6760</v>
      </c>
      <c r="I3300" t="s">
        <v>6761</v>
      </c>
      <c r="J3300" t="s">
        <v>6762</v>
      </c>
      <c r="K3300" t="s">
        <v>44</v>
      </c>
      <c r="N3300" t="s">
        <v>45</v>
      </c>
      <c r="O3300" t="s">
        <v>46</v>
      </c>
      <c r="P3300" t="s">
        <v>45</v>
      </c>
      <c r="Q3300" t="s">
        <v>47</v>
      </c>
      <c r="R3300" t="s">
        <v>44</v>
      </c>
      <c r="S3300">
        <v>0</v>
      </c>
      <c r="W3300" s="3">
        <v>1.9907407407407408E-3</v>
      </c>
      <c r="X3300" t="s">
        <v>6784</v>
      </c>
      <c r="Y3300">
        <v>13</v>
      </c>
      <c r="Z3300">
        <v>2</v>
      </c>
      <c r="AA3300" t="s">
        <v>6785</v>
      </c>
      <c r="AB3300">
        <v>112</v>
      </c>
      <c r="AC3300" t="s">
        <v>49</v>
      </c>
      <c r="AD3300">
        <v>0</v>
      </c>
      <c r="AE3300">
        <v>10657467</v>
      </c>
      <c r="AF3300" t="s">
        <v>63</v>
      </c>
      <c r="AG3300" t="s">
        <v>741</v>
      </c>
    </row>
    <row r="3301" spans="1:33" x14ac:dyDescent="0.35">
      <c r="A3301" s="1">
        <v>44737.668055555558</v>
      </c>
      <c r="B3301">
        <v>510314</v>
      </c>
      <c r="C3301" t="s">
        <v>6786</v>
      </c>
      <c r="D3301" t="s">
        <v>125</v>
      </c>
      <c r="E3301" s="2">
        <v>40241</v>
      </c>
      <c r="F3301" t="str">
        <f>"9780199706396"</f>
        <v>9780199706396</v>
      </c>
      <c r="G3301" t="str">
        <f>"9780195373424"</f>
        <v>9780195373424</v>
      </c>
      <c r="H3301" t="s">
        <v>6787</v>
      </c>
      <c r="I3301">
        <v>158.69999999999999</v>
      </c>
      <c r="J3301" t="s">
        <v>6788</v>
      </c>
      <c r="K3301" t="s">
        <v>44</v>
      </c>
      <c r="N3301" t="s">
        <v>45</v>
      </c>
      <c r="O3301" t="s">
        <v>46</v>
      </c>
      <c r="P3301" t="s">
        <v>45</v>
      </c>
      <c r="Q3301" t="s">
        <v>47</v>
      </c>
      <c r="R3301" t="s">
        <v>44</v>
      </c>
      <c r="S3301">
        <v>0</v>
      </c>
      <c r="W3301" s="3">
        <v>1.7013888888888892E-3</v>
      </c>
      <c r="X3301" t="s">
        <v>6789</v>
      </c>
      <c r="Y3301">
        <v>11</v>
      </c>
      <c r="Z3301">
        <v>0</v>
      </c>
      <c r="AA3301" t="s">
        <v>49</v>
      </c>
      <c r="AB3301">
        <v>0</v>
      </c>
      <c r="AC3301" t="s">
        <v>49</v>
      </c>
      <c r="AD3301">
        <v>0</v>
      </c>
      <c r="AE3301">
        <v>10377949</v>
      </c>
      <c r="AF3301" t="s">
        <v>50</v>
      </c>
      <c r="AG3301" t="s">
        <v>6790</v>
      </c>
    </row>
    <row r="3302" spans="1:33" x14ac:dyDescent="0.35">
      <c r="A3302" s="1">
        <v>44736.912499999999</v>
      </c>
      <c r="B3302">
        <v>3301868</v>
      </c>
      <c r="C3302" t="s">
        <v>6684</v>
      </c>
      <c r="D3302" t="s">
        <v>5230</v>
      </c>
      <c r="E3302" s="2">
        <v>40360</v>
      </c>
      <c r="F3302" t="str">
        <f>"9780817911669"</f>
        <v>9780817911669</v>
      </c>
      <c r="G3302" t="str">
        <f>"9780817911645"</f>
        <v>9780817911645</v>
      </c>
      <c r="H3302" t="s">
        <v>3234</v>
      </c>
      <c r="I3302" t="s">
        <v>6685</v>
      </c>
      <c r="J3302" t="s">
        <v>6686</v>
      </c>
      <c r="K3302" t="s">
        <v>44</v>
      </c>
      <c r="N3302" t="s">
        <v>45</v>
      </c>
      <c r="O3302" t="s">
        <v>46</v>
      </c>
      <c r="P3302" t="s">
        <v>45</v>
      </c>
      <c r="Q3302" t="s">
        <v>47</v>
      </c>
      <c r="R3302" t="s">
        <v>44</v>
      </c>
      <c r="S3302">
        <v>0</v>
      </c>
      <c r="W3302" s="3">
        <v>5.7870370370370366E-5</v>
      </c>
      <c r="X3302" t="s">
        <v>121</v>
      </c>
      <c r="Y3302">
        <v>1</v>
      </c>
      <c r="Z3302">
        <v>0</v>
      </c>
      <c r="AA3302" t="s">
        <v>49</v>
      </c>
      <c r="AB3302">
        <v>0</v>
      </c>
      <c r="AC3302" t="s">
        <v>49</v>
      </c>
      <c r="AD3302">
        <v>0</v>
      </c>
      <c r="AE3302">
        <v>10622921</v>
      </c>
      <c r="AF3302" t="s">
        <v>50</v>
      </c>
      <c r="AG3302" t="s">
        <v>6551</v>
      </c>
    </row>
    <row r="3303" spans="1:33" x14ac:dyDescent="0.35">
      <c r="A3303" s="1">
        <v>44736.898611111108</v>
      </c>
      <c r="B3303">
        <v>958140</v>
      </c>
      <c r="C3303" t="s">
        <v>6649</v>
      </c>
      <c r="D3303" t="s">
        <v>76</v>
      </c>
      <c r="E3303" s="2">
        <v>40858</v>
      </c>
      <c r="F3303" t="str">
        <f>"9780203809273"</f>
        <v>9780203809273</v>
      </c>
      <c r="G3303" t="str">
        <f>"9780415782982"</f>
        <v>9780415782982</v>
      </c>
      <c r="H3303" t="s">
        <v>425</v>
      </c>
      <c r="I3303" t="s">
        <v>5608</v>
      </c>
      <c r="J3303" t="s">
        <v>6650</v>
      </c>
      <c r="K3303" t="s">
        <v>44</v>
      </c>
      <c r="N3303" t="s">
        <v>45</v>
      </c>
      <c r="O3303" t="s">
        <v>46</v>
      </c>
      <c r="P3303" t="s">
        <v>45</v>
      </c>
      <c r="Q3303" t="s">
        <v>47</v>
      </c>
      <c r="R3303" t="s">
        <v>44</v>
      </c>
      <c r="S3303">
        <v>0</v>
      </c>
      <c r="W3303" s="3">
        <v>8.449074074074075E-4</v>
      </c>
      <c r="X3303" t="s">
        <v>6791</v>
      </c>
      <c r="Y3303">
        <v>15</v>
      </c>
      <c r="Z3303">
        <v>0</v>
      </c>
      <c r="AA3303" t="s">
        <v>49</v>
      </c>
      <c r="AB3303">
        <v>0</v>
      </c>
      <c r="AC3303" t="s">
        <v>49</v>
      </c>
      <c r="AD3303">
        <v>0</v>
      </c>
      <c r="AE3303">
        <v>10610132</v>
      </c>
      <c r="AF3303" t="s">
        <v>50</v>
      </c>
      <c r="AG3303" t="s">
        <v>6551</v>
      </c>
    </row>
    <row r="3304" spans="1:33" x14ac:dyDescent="0.35">
      <c r="A3304" s="1">
        <v>44736.898611111108</v>
      </c>
      <c r="B3304">
        <v>3301868</v>
      </c>
      <c r="C3304" t="s">
        <v>6684</v>
      </c>
      <c r="D3304" t="s">
        <v>5230</v>
      </c>
      <c r="E3304" s="2">
        <v>40360</v>
      </c>
      <c r="F3304" t="str">
        <f>"9780817911669"</f>
        <v>9780817911669</v>
      </c>
      <c r="G3304" t="str">
        <f>"9780817911645"</f>
        <v>9780817911645</v>
      </c>
      <c r="H3304" t="s">
        <v>3234</v>
      </c>
      <c r="I3304" t="s">
        <v>6685</v>
      </c>
      <c r="J3304" t="s">
        <v>6686</v>
      </c>
      <c r="K3304" t="s">
        <v>44</v>
      </c>
      <c r="N3304" t="s">
        <v>45</v>
      </c>
      <c r="O3304" t="s">
        <v>46</v>
      </c>
      <c r="P3304" t="s">
        <v>45</v>
      </c>
      <c r="Q3304" t="s">
        <v>47</v>
      </c>
      <c r="R3304" t="s">
        <v>44</v>
      </c>
      <c r="S3304">
        <v>0</v>
      </c>
      <c r="W3304" s="3">
        <v>2.6504629629629625E-3</v>
      </c>
      <c r="X3304" t="s">
        <v>6792</v>
      </c>
      <c r="Y3304">
        <v>22</v>
      </c>
      <c r="Z3304">
        <v>0</v>
      </c>
      <c r="AA3304" t="s">
        <v>49</v>
      </c>
      <c r="AB3304">
        <v>0</v>
      </c>
      <c r="AC3304" t="s">
        <v>49</v>
      </c>
      <c r="AD3304">
        <v>0</v>
      </c>
      <c r="AE3304">
        <v>10622921</v>
      </c>
      <c r="AF3304" t="s">
        <v>50</v>
      </c>
      <c r="AG3304" t="s">
        <v>6551</v>
      </c>
    </row>
    <row r="3305" spans="1:33" x14ac:dyDescent="0.35">
      <c r="A3305" s="1">
        <v>44735.502083333333</v>
      </c>
      <c r="B3305">
        <v>1807217</v>
      </c>
      <c r="C3305" t="s">
        <v>6793</v>
      </c>
      <c r="D3305" t="s">
        <v>773</v>
      </c>
      <c r="E3305" s="2">
        <v>31413</v>
      </c>
      <c r="F3305" t="str">
        <f>"9781480441187"</f>
        <v>9781480441187</v>
      </c>
      <c r="G3305" t="str">
        <f>""</f>
        <v/>
      </c>
      <c r="H3305" t="s">
        <v>6794</v>
      </c>
      <c r="I3305" t="s">
        <v>6795</v>
      </c>
      <c r="J3305" t="s">
        <v>6796</v>
      </c>
      <c r="K3305" t="s">
        <v>44</v>
      </c>
      <c r="N3305" t="s">
        <v>45</v>
      </c>
      <c r="O3305" t="s">
        <v>46</v>
      </c>
      <c r="P3305" t="s">
        <v>45</v>
      </c>
      <c r="Q3305" t="s">
        <v>47</v>
      </c>
      <c r="R3305" t="s">
        <v>44</v>
      </c>
      <c r="S3305">
        <v>0</v>
      </c>
      <c r="W3305" s="3">
        <v>7.291666666666667E-4</v>
      </c>
      <c r="X3305" t="s">
        <v>6797</v>
      </c>
      <c r="Y3305">
        <v>10</v>
      </c>
      <c r="Z3305">
        <v>0</v>
      </c>
      <c r="AA3305" t="s">
        <v>49</v>
      </c>
      <c r="AB3305">
        <v>0</v>
      </c>
      <c r="AC3305" t="s">
        <v>49</v>
      </c>
      <c r="AD3305">
        <v>0</v>
      </c>
      <c r="AE3305">
        <v>-1</v>
      </c>
      <c r="AF3305" t="s">
        <v>50</v>
      </c>
      <c r="AG3305" t="s">
        <v>5049</v>
      </c>
    </row>
    <row r="3306" spans="1:33" x14ac:dyDescent="0.35">
      <c r="A3306" s="1">
        <v>44735.438194444447</v>
      </c>
      <c r="B3306">
        <v>1042470</v>
      </c>
      <c r="C3306" t="s">
        <v>6173</v>
      </c>
      <c r="D3306" t="s">
        <v>502</v>
      </c>
      <c r="E3306" s="2">
        <v>41316</v>
      </c>
      <c r="F3306" t="str">
        <f>"9781139782401"</f>
        <v>9781139782401</v>
      </c>
      <c r="G3306" t="str">
        <f>"9781107009097"</f>
        <v>9781107009097</v>
      </c>
      <c r="H3306" t="s">
        <v>1914</v>
      </c>
      <c r="I3306" t="s">
        <v>6174</v>
      </c>
      <c r="J3306" t="s">
        <v>6175</v>
      </c>
      <c r="K3306" t="s">
        <v>44</v>
      </c>
      <c r="N3306" t="s">
        <v>45</v>
      </c>
      <c r="O3306" t="s">
        <v>46</v>
      </c>
      <c r="P3306" t="s">
        <v>45</v>
      </c>
      <c r="Q3306" t="s">
        <v>47</v>
      </c>
      <c r="R3306" t="s">
        <v>44</v>
      </c>
      <c r="S3306">
        <v>0</v>
      </c>
      <c r="W3306" s="3">
        <v>4.6296296296296294E-5</v>
      </c>
      <c r="X3306" t="s">
        <v>6585</v>
      </c>
      <c r="Y3306">
        <v>1</v>
      </c>
      <c r="Z3306">
        <v>0</v>
      </c>
      <c r="AA3306" t="s">
        <v>49</v>
      </c>
      <c r="AB3306">
        <v>0</v>
      </c>
      <c r="AC3306" t="s">
        <v>49</v>
      </c>
      <c r="AD3306">
        <v>0</v>
      </c>
      <c r="AE3306">
        <v>10752968</v>
      </c>
      <c r="AF3306" t="s">
        <v>50</v>
      </c>
      <c r="AG3306" t="s">
        <v>2289</v>
      </c>
    </row>
    <row r="3307" spans="1:33" x14ac:dyDescent="0.35">
      <c r="A3307" s="1">
        <v>44735.314583333333</v>
      </c>
      <c r="B3307">
        <v>3019176</v>
      </c>
      <c r="C3307" t="s">
        <v>6798</v>
      </c>
      <c r="D3307" t="s">
        <v>137</v>
      </c>
      <c r="E3307" s="2">
        <v>41054</v>
      </c>
      <c r="F3307" t="str">
        <f>"9781612091983"</f>
        <v>9781612091983</v>
      </c>
      <c r="G3307" t="str">
        <f>"9781619426764"</f>
        <v>9781619426764</v>
      </c>
      <c r="H3307" t="s">
        <v>77</v>
      </c>
      <c r="I3307">
        <v>616.20899999999995</v>
      </c>
      <c r="J3307" t="s">
        <v>6799</v>
      </c>
      <c r="K3307" t="s">
        <v>44</v>
      </c>
      <c r="N3307" t="s">
        <v>45</v>
      </c>
      <c r="O3307" t="s">
        <v>46</v>
      </c>
      <c r="P3307" t="s">
        <v>177</v>
      </c>
      <c r="Q3307" t="s">
        <v>47</v>
      </c>
      <c r="R3307" t="s">
        <v>55</v>
      </c>
      <c r="S3307">
        <v>0</v>
      </c>
      <c r="W3307" s="3">
        <v>1.4351851851851854E-3</v>
      </c>
      <c r="X3307" t="s">
        <v>6800</v>
      </c>
      <c r="Y3307">
        <v>17</v>
      </c>
      <c r="Z3307">
        <v>0</v>
      </c>
      <c r="AA3307" t="s">
        <v>49</v>
      </c>
      <c r="AB3307">
        <v>0</v>
      </c>
      <c r="AC3307" t="s">
        <v>49</v>
      </c>
      <c r="AD3307">
        <v>0</v>
      </c>
      <c r="AE3307">
        <v>10662983</v>
      </c>
      <c r="AF3307" t="s">
        <v>50</v>
      </c>
      <c r="AG3307" t="s">
        <v>996</v>
      </c>
    </row>
    <row r="3308" spans="1:33" x14ac:dyDescent="0.35">
      <c r="A3308" s="1">
        <v>44734.964583333334</v>
      </c>
      <c r="B3308">
        <v>1699226</v>
      </c>
      <c r="C3308" t="s">
        <v>6670</v>
      </c>
      <c r="D3308" t="s">
        <v>6671</v>
      </c>
      <c r="E3308" s="2">
        <v>41780</v>
      </c>
      <c r="F3308" t="str">
        <f>"9780739179079"</f>
        <v>9780739179079</v>
      </c>
      <c r="G3308" t="str">
        <f>"9780739179062"</f>
        <v>9780739179062</v>
      </c>
      <c r="H3308" t="s">
        <v>162</v>
      </c>
      <c r="I3308">
        <v>297.08199999999999</v>
      </c>
      <c r="J3308" t="s">
        <v>6672</v>
      </c>
      <c r="K3308" t="s">
        <v>44</v>
      </c>
      <c r="N3308" t="s">
        <v>45</v>
      </c>
      <c r="O3308" t="s">
        <v>46</v>
      </c>
      <c r="P3308" t="s">
        <v>45</v>
      </c>
      <c r="Q3308" t="s">
        <v>47</v>
      </c>
      <c r="R3308" t="s">
        <v>44</v>
      </c>
      <c r="S3308">
        <v>0</v>
      </c>
      <c r="W3308" s="3">
        <v>5.7870370370370366E-5</v>
      </c>
      <c r="X3308" t="s">
        <v>1025</v>
      </c>
      <c r="Y3308">
        <v>1</v>
      </c>
      <c r="Z3308">
        <v>0</v>
      </c>
      <c r="AA3308" t="s">
        <v>49</v>
      </c>
      <c r="AB3308">
        <v>0</v>
      </c>
      <c r="AC3308" t="s">
        <v>49</v>
      </c>
      <c r="AD3308">
        <v>0</v>
      </c>
      <c r="AE3308">
        <v>10878893</v>
      </c>
      <c r="AF3308" t="s">
        <v>50</v>
      </c>
      <c r="AG3308" t="s">
        <v>6551</v>
      </c>
    </row>
    <row r="3309" spans="1:33" x14ac:dyDescent="0.35">
      <c r="A3309" s="1">
        <v>44734.929861111108</v>
      </c>
      <c r="B3309">
        <v>945533</v>
      </c>
      <c r="C3309" t="s">
        <v>6475</v>
      </c>
      <c r="D3309" t="s">
        <v>1922</v>
      </c>
      <c r="E3309" s="2">
        <v>40935</v>
      </c>
      <c r="F3309" t="str">
        <f>"9780857721464"</f>
        <v>9780857721464</v>
      </c>
      <c r="G3309" t="str">
        <f>"9781780761312"</f>
        <v>9781780761312</v>
      </c>
      <c r="H3309" t="s">
        <v>162</v>
      </c>
      <c r="I3309">
        <v>297.27999999999997</v>
      </c>
      <c r="J3309" t="s">
        <v>6476</v>
      </c>
      <c r="K3309" t="s">
        <v>55</v>
      </c>
      <c r="N3309" t="s">
        <v>79</v>
      </c>
      <c r="P3309" t="s">
        <v>97</v>
      </c>
      <c r="Q3309" t="s">
        <v>47</v>
      </c>
      <c r="R3309" t="s">
        <v>44</v>
      </c>
      <c r="S3309">
        <v>0</v>
      </c>
      <c r="W3309" s="3">
        <v>3.1250000000000001E-4</v>
      </c>
      <c r="X3309" t="s">
        <v>6801</v>
      </c>
      <c r="Y3309">
        <v>4</v>
      </c>
      <c r="Z3309">
        <v>5</v>
      </c>
      <c r="AA3309" t="s">
        <v>6802</v>
      </c>
      <c r="AB3309">
        <v>35</v>
      </c>
      <c r="AC3309" t="s">
        <v>49</v>
      </c>
      <c r="AD3309">
        <v>0</v>
      </c>
      <c r="AE3309">
        <v>10572542</v>
      </c>
      <c r="AF3309" t="s">
        <v>50</v>
      </c>
      <c r="AG3309" t="s">
        <v>6655</v>
      </c>
    </row>
    <row r="3310" spans="1:33" x14ac:dyDescent="0.35">
      <c r="A3310" s="1">
        <v>44734.921527777777</v>
      </c>
      <c r="B3310">
        <v>547817</v>
      </c>
      <c r="C3310" t="s">
        <v>6458</v>
      </c>
      <c r="D3310" t="s">
        <v>6459</v>
      </c>
      <c r="E3310" s="2">
        <v>39417</v>
      </c>
      <c r="F3310" t="str">
        <f>"9781589014633"</f>
        <v>9781589014633</v>
      </c>
      <c r="G3310" t="str">
        <f>"9781589011847"</f>
        <v>9781589011847</v>
      </c>
      <c r="H3310" t="s">
        <v>162</v>
      </c>
      <c r="I3310" t="s">
        <v>2910</v>
      </c>
      <c r="J3310" t="s">
        <v>6460</v>
      </c>
      <c r="K3310" t="s">
        <v>44</v>
      </c>
      <c r="N3310" t="s">
        <v>45</v>
      </c>
      <c r="O3310" t="s">
        <v>46</v>
      </c>
      <c r="P3310" t="s">
        <v>45</v>
      </c>
      <c r="Q3310" t="s">
        <v>47</v>
      </c>
      <c r="R3310" t="s">
        <v>44</v>
      </c>
      <c r="S3310">
        <v>0</v>
      </c>
      <c r="W3310" s="3">
        <v>0</v>
      </c>
      <c r="X3310" t="s">
        <v>49</v>
      </c>
      <c r="Y3310">
        <v>0</v>
      </c>
      <c r="Z3310">
        <v>1</v>
      </c>
      <c r="AA3310" t="s">
        <v>6803</v>
      </c>
      <c r="AB3310">
        <v>19</v>
      </c>
      <c r="AC3310" t="s">
        <v>49</v>
      </c>
      <c r="AD3310">
        <v>0</v>
      </c>
      <c r="AE3310">
        <v>10236729</v>
      </c>
      <c r="AF3310" t="s">
        <v>50</v>
      </c>
      <c r="AG3310" t="s">
        <v>5698</v>
      </c>
    </row>
    <row r="3311" spans="1:33" x14ac:dyDescent="0.35">
      <c r="A3311" s="1">
        <v>44734.902083333334</v>
      </c>
      <c r="B3311">
        <v>1042470</v>
      </c>
      <c r="C3311" t="s">
        <v>6173</v>
      </c>
      <c r="D3311" t="s">
        <v>502</v>
      </c>
      <c r="E3311" s="2">
        <v>41316</v>
      </c>
      <c r="F3311" t="str">
        <f>"9781139782401"</f>
        <v>9781139782401</v>
      </c>
      <c r="G3311" t="str">
        <f>"9781107009097"</f>
        <v>9781107009097</v>
      </c>
      <c r="H3311" t="s">
        <v>1914</v>
      </c>
      <c r="I3311" t="s">
        <v>6174</v>
      </c>
      <c r="J3311" t="s">
        <v>6175</v>
      </c>
      <c r="K3311" t="s">
        <v>44</v>
      </c>
      <c r="N3311" t="s">
        <v>45</v>
      </c>
      <c r="O3311" t="s">
        <v>46</v>
      </c>
      <c r="P3311" t="s">
        <v>45</v>
      </c>
      <c r="Q3311" t="s">
        <v>47</v>
      </c>
      <c r="R3311" t="s">
        <v>44</v>
      </c>
      <c r="S3311">
        <v>0</v>
      </c>
      <c r="W3311" s="3">
        <v>6.4814814814814813E-4</v>
      </c>
      <c r="X3311" t="s">
        <v>6804</v>
      </c>
      <c r="Y3311">
        <v>6</v>
      </c>
      <c r="Z3311">
        <v>0</v>
      </c>
      <c r="AA3311" t="s">
        <v>49</v>
      </c>
      <c r="AB3311">
        <v>0</v>
      </c>
      <c r="AC3311" t="s">
        <v>49</v>
      </c>
      <c r="AD3311">
        <v>0</v>
      </c>
      <c r="AE3311">
        <v>10752968</v>
      </c>
      <c r="AF3311" t="s">
        <v>50</v>
      </c>
      <c r="AG3311" t="s">
        <v>2289</v>
      </c>
    </row>
    <row r="3312" spans="1:33" x14ac:dyDescent="0.35">
      <c r="A3312" s="1">
        <v>44734.855555555558</v>
      </c>
      <c r="B3312">
        <v>547817</v>
      </c>
      <c r="C3312" t="s">
        <v>6458</v>
      </c>
      <c r="D3312" t="s">
        <v>6459</v>
      </c>
      <c r="E3312" s="2">
        <v>39417</v>
      </c>
      <c r="F3312" t="str">
        <f>"9781589014633"</f>
        <v>9781589014633</v>
      </c>
      <c r="G3312" t="str">
        <f>"9781589011847"</f>
        <v>9781589011847</v>
      </c>
      <c r="H3312" t="s">
        <v>162</v>
      </c>
      <c r="I3312" t="s">
        <v>2910</v>
      </c>
      <c r="J3312" t="s">
        <v>6460</v>
      </c>
      <c r="K3312" t="s">
        <v>44</v>
      </c>
      <c r="N3312" t="s">
        <v>45</v>
      </c>
      <c r="O3312" t="s">
        <v>46</v>
      </c>
      <c r="P3312" t="s">
        <v>45</v>
      </c>
      <c r="Q3312" t="s">
        <v>47</v>
      </c>
      <c r="R3312" t="s">
        <v>44</v>
      </c>
      <c r="S3312">
        <v>0</v>
      </c>
      <c r="W3312" s="3">
        <v>1.3310185185185185E-3</v>
      </c>
      <c r="X3312" t="s">
        <v>6805</v>
      </c>
      <c r="Y3312">
        <v>3</v>
      </c>
      <c r="Z3312">
        <v>0</v>
      </c>
      <c r="AA3312" t="s">
        <v>49</v>
      </c>
      <c r="AB3312">
        <v>0</v>
      </c>
      <c r="AC3312" t="s">
        <v>49</v>
      </c>
      <c r="AD3312">
        <v>0</v>
      </c>
      <c r="AE3312">
        <v>10236729</v>
      </c>
      <c r="AF3312" t="s">
        <v>50</v>
      </c>
      <c r="AG3312" t="s">
        <v>6551</v>
      </c>
    </row>
    <row r="3313" spans="1:33" x14ac:dyDescent="0.35">
      <c r="A3313" s="1">
        <v>44734.836805555555</v>
      </c>
      <c r="B3313">
        <v>547817</v>
      </c>
      <c r="C3313" t="s">
        <v>6458</v>
      </c>
      <c r="D3313" t="s">
        <v>6459</v>
      </c>
      <c r="E3313" s="2">
        <v>39417</v>
      </c>
      <c r="F3313" t="str">
        <f>"9781589014633"</f>
        <v>9781589014633</v>
      </c>
      <c r="G3313" t="str">
        <f>"9781589011847"</f>
        <v>9781589011847</v>
      </c>
      <c r="H3313" t="s">
        <v>162</v>
      </c>
      <c r="I3313" t="s">
        <v>2910</v>
      </c>
      <c r="J3313" t="s">
        <v>6460</v>
      </c>
      <c r="K3313" t="s">
        <v>44</v>
      </c>
      <c r="N3313" t="s">
        <v>45</v>
      </c>
      <c r="O3313" t="s">
        <v>46</v>
      </c>
      <c r="P3313" t="s">
        <v>45</v>
      </c>
      <c r="Q3313" t="s">
        <v>47</v>
      </c>
      <c r="R3313" t="s">
        <v>44</v>
      </c>
      <c r="S3313">
        <v>0</v>
      </c>
      <c r="W3313" s="3">
        <v>1.9594907407407405E-2</v>
      </c>
      <c r="X3313" t="s">
        <v>6806</v>
      </c>
      <c r="Y3313">
        <v>17</v>
      </c>
      <c r="Z3313">
        <v>0</v>
      </c>
      <c r="AA3313" t="s">
        <v>49</v>
      </c>
      <c r="AB3313">
        <v>0</v>
      </c>
      <c r="AC3313" t="s">
        <v>49</v>
      </c>
      <c r="AD3313">
        <v>0</v>
      </c>
      <c r="AE3313">
        <v>10236729</v>
      </c>
      <c r="AF3313" t="s">
        <v>50</v>
      </c>
      <c r="AG3313" t="s">
        <v>6655</v>
      </c>
    </row>
    <row r="3314" spans="1:33" x14ac:dyDescent="0.35">
      <c r="A3314" s="1">
        <v>44734.726388888892</v>
      </c>
      <c r="B3314">
        <v>258142</v>
      </c>
      <c r="C3314" t="s">
        <v>6807</v>
      </c>
      <c r="D3314" t="s">
        <v>844</v>
      </c>
      <c r="E3314" s="2">
        <v>38779</v>
      </c>
      <c r="F3314" t="str">
        <f>"9781845449216"</f>
        <v>9781845449216</v>
      </c>
      <c r="G3314" t="str">
        <f>"9781845449209"</f>
        <v>9781845449209</v>
      </c>
      <c r="H3314" t="s">
        <v>133</v>
      </c>
      <c r="I3314" t="s">
        <v>6808</v>
      </c>
      <c r="J3314" t="s">
        <v>6809</v>
      </c>
      <c r="K3314" t="s">
        <v>44</v>
      </c>
      <c r="N3314" t="s">
        <v>45</v>
      </c>
      <c r="O3314" t="s">
        <v>46</v>
      </c>
      <c r="P3314" t="s">
        <v>45</v>
      </c>
      <c r="Q3314" t="s">
        <v>47</v>
      </c>
      <c r="R3314" t="s">
        <v>44</v>
      </c>
      <c r="S3314">
        <v>0</v>
      </c>
      <c r="W3314" s="3">
        <v>1.6203703703703703E-4</v>
      </c>
      <c r="X3314" t="s">
        <v>1154</v>
      </c>
      <c r="Y3314">
        <v>3</v>
      </c>
      <c r="Z3314">
        <v>0</v>
      </c>
      <c r="AA3314" t="s">
        <v>49</v>
      </c>
      <c r="AB3314">
        <v>0</v>
      </c>
      <c r="AC3314" t="s">
        <v>49</v>
      </c>
      <c r="AD3314">
        <v>0</v>
      </c>
      <c r="AE3314">
        <v>10120682</v>
      </c>
      <c r="AF3314" t="s">
        <v>50</v>
      </c>
      <c r="AG3314" t="s">
        <v>6810</v>
      </c>
    </row>
    <row r="3315" spans="1:33" x14ac:dyDescent="0.35">
      <c r="A3315" s="1">
        <v>44734.725694444445</v>
      </c>
      <c r="B3315">
        <v>2077750</v>
      </c>
      <c r="C3315" t="s">
        <v>6811</v>
      </c>
      <c r="D3315" t="s">
        <v>2919</v>
      </c>
      <c r="E3315" s="2">
        <v>42187</v>
      </c>
      <c r="F3315" t="str">
        <f>"9780860376958"</f>
        <v>9780860376958</v>
      </c>
      <c r="G3315" t="str">
        <f>""</f>
        <v/>
      </c>
      <c r="H3315" t="s">
        <v>162</v>
      </c>
      <c r="I3315">
        <v>297.2</v>
      </c>
      <c r="J3315" t="s">
        <v>6812</v>
      </c>
      <c r="K3315" t="s">
        <v>44</v>
      </c>
      <c r="N3315" t="s">
        <v>45</v>
      </c>
      <c r="O3315" t="s">
        <v>46</v>
      </c>
      <c r="P3315" t="s">
        <v>45</v>
      </c>
      <c r="Q3315" t="s">
        <v>47</v>
      </c>
      <c r="R3315" t="s">
        <v>44</v>
      </c>
      <c r="S3315">
        <v>0</v>
      </c>
      <c r="W3315" s="3">
        <v>5.6712962962962956E-4</v>
      </c>
      <c r="X3315" t="s">
        <v>6813</v>
      </c>
      <c r="Y3315">
        <v>11</v>
      </c>
      <c r="Z3315">
        <v>0</v>
      </c>
      <c r="AA3315" t="s">
        <v>49</v>
      </c>
      <c r="AB3315">
        <v>0</v>
      </c>
      <c r="AC3315" t="s">
        <v>49</v>
      </c>
      <c r="AD3315">
        <v>0</v>
      </c>
      <c r="AE3315">
        <v>11077357</v>
      </c>
      <c r="AF3315" t="s">
        <v>50</v>
      </c>
      <c r="AG3315" t="s">
        <v>6810</v>
      </c>
    </row>
    <row r="3316" spans="1:33" x14ac:dyDescent="0.35">
      <c r="A3316" s="1">
        <v>44734.67083333333</v>
      </c>
      <c r="B3316">
        <v>3019176</v>
      </c>
      <c r="C3316" t="s">
        <v>6798</v>
      </c>
      <c r="D3316" t="s">
        <v>137</v>
      </c>
      <c r="E3316" s="2">
        <v>41054</v>
      </c>
      <c r="F3316" t="str">
        <f>"9781612091983"</f>
        <v>9781612091983</v>
      </c>
      <c r="G3316" t="str">
        <f>"9781619426764"</f>
        <v>9781619426764</v>
      </c>
      <c r="H3316" t="s">
        <v>77</v>
      </c>
      <c r="I3316">
        <v>616.20899999999995</v>
      </c>
      <c r="J3316" t="s">
        <v>6799</v>
      </c>
      <c r="K3316" t="s">
        <v>44</v>
      </c>
      <c r="N3316" t="s">
        <v>45</v>
      </c>
      <c r="O3316" t="s">
        <v>46</v>
      </c>
      <c r="P3316" t="s">
        <v>177</v>
      </c>
      <c r="Q3316" t="s">
        <v>47</v>
      </c>
      <c r="R3316" t="s">
        <v>55</v>
      </c>
      <c r="S3316">
        <v>0</v>
      </c>
      <c r="W3316" s="3">
        <v>1.25E-3</v>
      </c>
      <c r="X3316" t="s">
        <v>6814</v>
      </c>
      <c r="Y3316">
        <v>8</v>
      </c>
      <c r="Z3316">
        <v>0</v>
      </c>
      <c r="AA3316" t="s">
        <v>49</v>
      </c>
      <c r="AB3316">
        <v>0</v>
      </c>
      <c r="AC3316" t="s">
        <v>49</v>
      </c>
      <c r="AD3316">
        <v>0</v>
      </c>
      <c r="AE3316">
        <v>10662983</v>
      </c>
      <c r="AF3316" t="s">
        <v>50</v>
      </c>
      <c r="AG3316" t="s">
        <v>996</v>
      </c>
    </row>
    <row r="3317" spans="1:33" x14ac:dyDescent="0.35">
      <c r="A3317" s="1">
        <v>44734.579861111109</v>
      </c>
      <c r="B3317">
        <v>4774509</v>
      </c>
      <c r="C3317" t="s">
        <v>6815</v>
      </c>
      <c r="D3317" t="s">
        <v>59</v>
      </c>
      <c r="E3317" s="2">
        <v>42814</v>
      </c>
      <c r="F3317" t="str">
        <f>"9781118900215"</f>
        <v>9781118900215</v>
      </c>
      <c r="G3317" t="str">
        <f>"9781118900246"</f>
        <v>9781118900246</v>
      </c>
      <c r="H3317" t="s">
        <v>579</v>
      </c>
      <c r="I3317">
        <v>629.25023999999996</v>
      </c>
      <c r="J3317" t="s">
        <v>6816</v>
      </c>
      <c r="K3317" t="s">
        <v>44</v>
      </c>
      <c r="N3317" t="s">
        <v>45</v>
      </c>
      <c r="O3317" t="s">
        <v>46</v>
      </c>
      <c r="P3317" t="s">
        <v>45</v>
      </c>
      <c r="Q3317" t="s">
        <v>47</v>
      </c>
      <c r="R3317" t="s">
        <v>44</v>
      </c>
      <c r="S3317">
        <v>0</v>
      </c>
      <c r="W3317" s="3">
        <v>4.3981481481481481E-4</v>
      </c>
      <c r="X3317" t="s">
        <v>6817</v>
      </c>
      <c r="Y3317">
        <v>5</v>
      </c>
      <c r="Z3317">
        <v>0</v>
      </c>
      <c r="AA3317" t="s">
        <v>49</v>
      </c>
      <c r="AB3317">
        <v>0</v>
      </c>
      <c r="AC3317" t="s">
        <v>49</v>
      </c>
      <c r="AD3317">
        <v>0</v>
      </c>
      <c r="AE3317">
        <v>11321547</v>
      </c>
      <c r="AF3317" t="s">
        <v>50</v>
      </c>
      <c r="AG3317" t="s">
        <v>6818</v>
      </c>
    </row>
    <row r="3318" spans="1:33" x14ac:dyDescent="0.35">
      <c r="A3318" s="1">
        <v>44734.565972222219</v>
      </c>
      <c r="B3318">
        <v>1998068</v>
      </c>
      <c r="C3318" t="s">
        <v>6819</v>
      </c>
      <c r="D3318" t="s">
        <v>105</v>
      </c>
      <c r="E3318" s="2">
        <v>42086</v>
      </c>
      <c r="F3318" t="str">
        <f>"9783319156842"</f>
        <v>9783319156842</v>
      </c>
      <c r="G3318" t="str">
        <f>"9783319156835"</f>
        <v>9783319156835</v>
      </c>
      <c r="H3318" t="s">
        <v>252</v>
      </c>
      <c r="I3318">
        <v>621</v>
      </c>
      <c r="J3318" t="s">
        <v>6820</v>
      </c>
      <c r="K3318" t="s">
        <v>55</v>
      </c>
      <c r="N3318" t="s">
        <v>79</v>
      </c>
      <c r="P3318" t="s">
        <v>97</v>
      </c>
      <c r="Q3318" t="s">
        <v>47</v>
      </c>
      <c r="R3318" t="s">
        <v>44</v>
      </c>
      <c r="S3318">
        <v>0</v>
      </c>
      <c r="W3318" s="3">
        <v>2.685185185185185E-3</v>
      </c>
      <c r="X3318" t="s">
        <v>6821</v>
      </c>
      <c r="Y3318">
        <v>4</v>
      </c>
      <c r="Z3318">
        <v>0</v>
      </c>
      <c r="AA3318" t="s">
        <v>49</v>
      </c>
      <c r="AB3318">
        <v>0</v>
      </c>
      <c r="AC3318" t="s">
        <v>49</v>
      </c>
      <c r="AD3318">
        <v>0</v>
      </c>
      <c r="AE3318">
        <v>11029212</v>
      </c>
      <c r="AF3318" t="s">
        <v>50</v>
      </c>
      <c r="AG3318" t="s">
        <v>6822</v>
      </c>
    </row>
    <row r="3319" spans="1:33" x14ac:dyDescent="0.35">
      <c r="A3319" s="1">
        <v>44734.560416666667</v>
      </c>
      <c r="B3319">
        <v>767121</v>
      </c>
      <c r="C3319" t="s">
        <v>5383</v>
      </c>
      <c r="D3319" t="s">
        <v>507</v>
      </c>
      <c r="E3319" s="2">
        <v>40755</v>
      </c>
      <c r="F3319" t="str">
        <f>"9780748647569"</f>
        <v>9780748647569</v>
      </c>
      <c r="G3319" t="str">
        <f>"9780748639878"</f>
        <v>9780748639878</v>
      </c>
      <c r="H3319" t="s">
        <v>425</v>
      </c>
      <c r="I3319">
        <v>297.27199999999999</v>
      </c>
      <c r="J3319" t="s">
        <v>5384</v>
      </c>
      <c r="K3319" t="s">
        <v>44</v>
      </c>
      <c r="N3319" t="s">
        <v>45</v>
      </c>
      <c r="O3319" t="s">
        <v>46</v>
      </c>
      <c r="P3319" t="s">
        <v>45</v>
      </c>
      <c r="Q3319" t="s">
        <v>47</v>
      </c>
      <c r="R3319" t="s">
        <v>44</v>
      </c>
      <c r="S3319">
        <v>0</v>
      </c>
      <c r="W3319" s="3">
        <v>1.8518518518518518E-4</v>
      </c>
      <c r="X3319" t="s">
        <v>6823</v>
      </c>
      <c r="Y3319">
        <v>3</v>
      </c>
      <c r="Z3319">
        <v>0</v>
      </c>
      <c r="AA3319" t="s">
        <v>49</v>
      </c>
      <c r="AB3319">
        <v>0</v>
      </c>
      <c r="AC3319" t="s">
        <v>49</v>
      </c>
      <c r="AD3319">
        <v>0</v>
      </c>
      <c r="AE3319">
        <v>10496770</v>
      </c>
      <c r="AF3319" t="s">
        <v>50</v>
      </c>
      <c r="AG3319" t="s">
        <v>6551</v>
      </c>
    </row>
    <row r="3320" spans="1:33" x14ac:dyDescent="0.35">
      <c r="A3320" s="1">
        <v>44734.52847222222</v>
      </c>
      <c r="B3320">
        <v>547817</v>
      </c>
      <c r="C3320" t="s">
        <v>6458</v>
      </c>
      <c r="D3320" t="s">
        <v>6459</v>
      </c>
      <c r="E3320" s="2">
        <v>39417</v>
      </c>
      <c r="F3320" t="str">
        <f>"9781589014633"</f>
        <v>9781589014633</v>
      </c>
      <c r="G3320" t="str">
        <f>"9781589011847"</f>
        <v>9781589011847</v>
      </c>
      <c r="H3320" t="s">
        <v>162</v>
      </c>
      <c r="I3320" t="s">
        <v>2910</v>
      </c>
      <c r="J3320" t="s">
        <v>6460</v>
      </c>
      <c r="K3320" t="s">
        <v>44</v>
      </c>
      <c r="N3320" t="s">
        <v>45</v>
      </c>
      <c r="O3320" t="s">
        <v>46</v>
      </c>
      <c r="P3320" t="s">
        <v>45</v>
      </c>
      <c r="Q3320" t="s">
        <v>47</v>
      </c>
      <c r="R3320" t="s">
        <v>44</v>
      </c>
      <c r="S3320">
        <v>0</v>
      </c>
      <c r="W3320" s="3">
        <v>6.3657407407407402E-4</v>
      </c>
      <c r="X3320" t="s">
        <v>6824</v>
      </c>
      <c r="Y3320">
        <v>4</v>
      </c>
      <c r="Z3320">
        <v>0</v>
      </c>
      <c r="AA3320" t="s">
        <v>49</v>
      </c>
      <c r="AB3320">
        <v>0</v>
      </c>
      <c r="AC3320" t="s">
        <v>49</v>
      </c>
      <c r="AD3320">
        <v>0</v>
      </c>
      <c r="AE3320">
        <v>10236729</v>
      </c>
      <c r="AF3320" t="s">
        <v>50</v>
      </c>
      <c r="AG3320" t="s">
        <v>6825</v>
      </c>
    </row>
    <row r="3321" spans="1:33" x14ac:dyDescent="0.35">
      <c r="A3321" s="1">
        <v>44734.521527777775</v>
      </c>
      <c r="B3321">
        <v>1477522</v>
      </c>
      <c r="C3321" t="s">
        <v>3625</v>
      </c>
      <c r="D3321" t="s">
        <v>2022</v>
      </c>
      <c r="E3321" s="2">
        <v>41542</v>
      </c>
      <c r="F3321" t="str">
        <f>"9781443852760"</f>
        <v>9781443852760</v>
      </c>
      <c r="G3321" t="str">
        <f>"9781443848275"</f>
        <v>9781443848275</v>
      </c>
      <c r="H3321" t="s">
        <v>474</v>
      </c>
      <c r="I3321">
        <v>197</v>
      </c>
      <c r="J3321" t="s">
        <v>3626</v>
      </c>
      <c r="K3321" t="s">
        <v>44</v>
      </c>
      <c r="N3321" t="s">
        <v>45</v>
      </c>
      <c r="O3321" t="s">
        <v>46</v>
      </c>
      <c r="P3321" t="s">
        <v>45</v>
      </c>
      <c r="Q3321" t="s">
        <v>47</v>
      </c>
      <c r="R3321" t="s">
        <v>44</v>
      </c>
      <c r="S3321">
        <v>0</v>
      </c>
      <c r="W3321" s="3">
        <v>3.5879629629629635E-4</v>
      </c>
      <c r="X3321" t="s">
        <v>6826</v>
      </c>
      <c r="Y3321">
        <v>2</v>
      </c>
      <c r="Z3321">
        <v>0</v>
      </c>
      <c r="AA3321" t="s">
        <v>49</v>
      </c>
      <c r="AB3321">
        <v>0</v>
      </c>
      <c r="AC3321" t="s">
        <v>49</v>
      </c>
      <c r="AD3321">
        <v>0</v>
      </c>
      <c r="AE3321">
        <v>10778085</v>
      </c>
      <c r="AF3321" t="s">
        <v>50</v>
      </c>
      <c r="AG3321" t="s">
        <v>5698</v>
      </c>
    </row>
    <row r="3322" spans="1:33" x14ac:dyDescent="0.35">
      <c r="A3322" s="1">
        <v>44734.520138888889</v>
      </c>
      <c r="B3322">
        <v>776553</v>
      </c>
      <c r="C3322" t="s">
        <v>6652</v>
      </c>
      <c r="D3322" t="s">
        <v>2754</v>
      </c>
      <c r="E3322" s="2">
        <v>40729</v>
      </c>
      <c r="F3322" t="str">
        <f>"9780816678327"</f>
        <v>9780816678327</v>
      </c>
      <c r="G3322" t="str">
        <f>"9780816651344"</f>
        <v>9780816651344</v>
      </c>
      <c r="H3322" t="s">
        <v>1046</v>
      </c>
      <c r="I3322">
        <v>305.42096400000003</v>
      </c>
      <c r="J3322" t="s">
        <v>6653</v>
      </c>
      <c r="K3322" t="s">
        <v>44</v>
      </c>
      <c r="N3322" t="s">
        <v>45</v>
      </c>
      <c r="O3322" t="s">
        <v>46</v>
      </c>
      <c r="P3322" t="s">
        <v>45</v>
      </c>
      <c r="Q3322" t="s">
        <v>47</v>
      </c>
      <c r="R3322" t="s">
        <v>44</v>
      </c>
      <c r="S3322">
        <v>0</v>
      </c>
      <c r="W3322" s="3">
        <v>3.2407407407407406E-4</v>
      </c>
      <c r="X3322" t="s">
        <v>6827</v>
      </c>
      <c r="Y3322">
        <v>3</v>
      </c>
      <c r="Z3322">
        <v>0</v>
      </c>
      <c r="AA3322" t="s">
        <v>49</v>
      </c>
      <c r="AB3322">
        <v>0</v>
      </c>
      <c r="AC3322" t="s">
        <v>49</v>
      </c>
      <c r="AD3322">
        <v>0</v>
      </c>
      <c r="AE3322">
        <v>10500268</v>
      </c>
      <c r="AF3322" t="s">
        <v>50</v>
      </c>
      <c r="AG3322" t="s">
        <v>5698</v>
      </c>
    </row>
    <row r="3323" spans="1:33" x14ac:dyDescent="0.35">
      <c r="A3323" s="1">
        <v>44734.513888888891</v>
      </c>
      <c r="B3323">
        <v>1699226</v>
      </c>
      <c r="C3323" t="s">
        <v>6670</v>
      </c>
      <c r="D3323" t="s">
        <v>6671</v>
      </c>
      <c r="E3323" s="2">
        <v>41780</v>
      </c>
      <c r="F3323" t="str">
        <f>"9780739179079"</f>
        <v>9780739179079</v>
      </c>
      <c r="G3323" t="str">
        <f>"9780739179062"</f>
        <v>9780739179062</v>
      </c>
      <c r="H3323" t="s">
        <v>162</v>
      </c>
      <c r="I3323">
        <v>297.08199999999999</v>
      </c>
      <c r="J3323" t="s">
        <v>6672</v>
      </c>
      <c r="K3323" t="s">
        <v>44</v>
      </c>
      <c r="N3323" t="s">
        <v>45</v>
      </c>
      <c r="O3323" t="s">
        <v>46</v>
      </c>
      <c r="P3323" t="s">
        <v>45</v>
      </c>
      <c r="Q3323" t="s">
        <v>47</v>
      </c>
      <c r="R3323" t="s">
        <v>44</v>
      </c>
      <c r="S3323">
        <v>0</v>
      </c>
      <c r="W3323" s="3">
        <v>1.3796296296296298E-2</v>
      </c>
      <c r="X3323" t="s">
        <v>6828</v>
      </c>
      <c r="Y3323">
        <v>8</v>
      </c>
      <c r="Z3323">
        <v>1</v>
      </c>
      <c r="AA3323" t="s">
        <v>6829</v>
      </c>
      <c r="AB3323">
        <v>25</v>
      </c>
      <c r="AC3323" t="s">
        <v>49</v>
      </c>
      <c r="AD3323">
        <v>0</v>
      </c>
      <c r="AE3323">
        <v>10878893</v>
      </c>
      <c r="AF3323" t="s">
        <v>50</v>
      </c>
      <c r="AG3323" t="s">
        <v>6551</v>
      </c>
    </row>
    <row r="3324" spans="1:33" x14ac:dyDescent="0.35">
      <c r="A3324" s="1">
        <v>44734.505555555559</v>
      </c>
      <c r="B3324">
        <v>465345</v>
      </c>
      <c r="C3324" t="s">
        <v>6748</v>
      </c>
      <c r="D3324" t="s">
        <v>76</v>
      </c>
      <c r="E3324" s="2">
        <v>40150</v>
      </c>
      <c r="F3324" t="str">
        <f>"9780203865118"</f>
        <v>9780203865118</v>
      </c>
      <c r="G3324" t="str">
        <f>"9780415557207"</f>
        <v>9780415557207</v>
      </c>
      <c r="H3324" t="s">
        <v>498</v>
      </c>
      <c r="I3324" t="s">
        <v>6749</v>
      </c>
      <c r="J3324" t="s">
        <v>6750</v>
      </c>
      <c r="K3324" t="s">
        <v>44</v>
      </c>
      <c r="N3324" t="s">
        <v>45</v>
      </c>
      <c r="O3324" t="s">
        <v>46</v>
      </c>
      <c r="P3324" t="s">
        <v>45</v>
      </c>
      <c r="Q3324" t="s">
        <v>47</v>
      </c>
      <c r="R3324" t="s">
        <v>44</v>
      </c>
      <c r="S3324">
        <v>0</v>
      </c>
      <c r="W3324" s="3">
        <v>6.9444444444444444E-5</v>
      </c>
      <c r="X3324" t="s">
        <v>3690</v>
      </c>
      <c r="Y3324">
        <v>2</v>
      </c>
      <c r="Z3324">
        <v>0</v>
      </c>
      <c r="AA3324" t="s">
        <v>49</v>
      </c>
      <c r="AB3324">
        <v>0</v>
      </c>
      <c r="AC3324" t="s">
        <v>49</v>
      </c>
      <c r="AD3324">
        <v>0</v>
      </c>
      <c r="AE3324">
        <v>10349581</v>
      </c>
      <c r="AF3324" t="s">
        <v>50</v>
      </c>
      <c r="AG3324" t="s">
        <v>6551</v>
      </c>
    </row>
    <row r="3325" spans="1:33" x14ac:dyDescent="0.35">
      <c r="A3325" s="1">
        <v>44734.505555555559</v>
      </c>
      <c r="B3325">
        <v>1767592</v>
      </c>
      <c r="C3325" t="s">
        <v>6830</v>
      </c>
      <c r="D3325" t="s">
        <v>1224</v>
      </c>
      <c r="E3325" s="2">
        <v>42051</v>
      </c>
      <c r="F3325" t="str">
        <f>"9781501501357"</f>
        <v>9781501501357</v>
      </c>
      <c r="G3325" t="str">
        <f>"9781501510359"</f>
        <v>9781501510359</v>
      </c>
      <c r="H3325" t="s">
        <v>498</v>
      </c>
      <c r="I3325">
        <v>181.92</v>
      </c>
      <c r="J3325" t="s">
        <v>6831</v>
      </c>
      <c r="K3325" t="s">
        <v>44</v>
      </c>
      <c r="N3325" t="s">
        <v>45</v>
      </c>
      <c r="O3325" t="s">
        <v>46</v>
      </c>
      <c r="P3325" t="s">
        <v>45</v>
      </c>
      <c r="Q3325" t="s">
        <v>47</v>
      </c>
      <c r="R3325" t="s">
        <v>44</v>
      </c>
      <c r="S3325">
        <v>0</v>
      </c>
      <c r="W3325" s="3">
        <v>3.4722222222222222E-5</v>
      </c>
      <c r="X3325" t="s">
        <v>121</v>
      </c>
      <c r="Y3325">
        <v>1</v>
      </c>
      <c r="Z3325">
        <v>0</v>
      </c>
      <c r="AA3325" t="s">
        <v>49</v>
      </c>
      <c r="AB3325">
        <v>0</v>
      </c>
      <c r="AC3325" t="s">
        <v>49</v>
      </c>
      <c r="AD3325">
        <v>0</v>
      </c>
      <c r="AE3325">
        <v>11049334</v>
      </c>
      <c r="AF3325" t="s">
        <v>50</v>
      </c>
      <c r="AG3325" t="s">
        <v>6551</v>
      </c>
    </row>
    <row r="3326" spans="1:33" x14ac:dyDescent="0.35">
      <c r="A3326" s="1">
        <v>44734.474305555559</v>
      </c>
      <c r="B3326">
        <v>536977</v>
      </c>
      <c r="C3326" t="s">
        <v>1900</v>
      </c>
      <c r="D3326" t="s">
        <v>507</v>
      </c>
      <c r="E3326" s="2">
        <v>40043</v>
      </c>
      <c r="F3326" t="str">
        <f>"9780748637942"</f>
        <v>9780748637942</v>
      </c>
      <c r="G3326" t="str">
        <f>"9780748637928"</f>
        <v>9780748637928</v>
      </c>
      <c r="H3326" t="s">
        <v>162</v>
      </c>
      <c r="I3326">
        <v>297</v>
      </c>
      <c r="J3326" t="s">
        <v>1901</v>
      </c>
      <c r="K3326" t="s">
        <v>44</v>
      </c>
      <c r="N3326" t="s">
        <v>45</v>
      </c>
      <c r="O3326" t="s">
        <v>46</v>
      </c>
      <c r="P3326" t="s">
        <v>45</v>
      </c>
      <c r="Q3326" t="s">
        <v>47</v>
      </c>
      <c r="R3326" t="s">
        <v>44</v>
      </c>
      <c r="S3326">
        <v>0</v>
      </c>
      <c r="W3326" s="3">
        <v>6.9444444444444444E-5</v>
      </c>
      <c r="X3326" t="s">
        <v>121</v>
      </c>
      <c r="Y3326">
        <v>1</v>
      </c>
      <c r="Z3326">
        <v>0</v>
      </c>
      <c r="AA3326" t="s">
        <v>49</v>
      </c>
      <c r="AB3326">
        <v>0</v>
      </c>
      <c r="AC3326" t="s">
        <v>49</v>
      </c>
      <c r="AD3326">
        <v>0</v>
      </c>
      <c r="AE3326">
        <v>10391780</v>
      </c>
      <c r="AF3326" t="s">
        <v>50</v>
      </c>
      <c r="AG3326" t="s">
        <v>6542</v>
      </c>
    </row>
    <row r="3327" spans="1:33" x14ac:dyDescent="0.35">
      <c r="A3327" s="1">
        <v>44734.473611111112</v>
      </c>
      <c r="B3327">
        <v>1344599</v>
      </c>
      <c r="C3327" t="s">
        <v>6832</v>
      </c>
      <c r="D3327" t="s">
        <v>76</v>
      </c>
      <c r="E3327" s="2">
        <v>41514</v>
      </c>
      <c r="F3327" t="str">
        <f>"9781135007959"</f>
        <v>9781135007959</v>
      </c>
      <c r="G3327" t="str">
        <f>"9780415780858"</f>
        <v>9780415780858</v>
      </c>
      <c r="H3327" t="s">
        <v>162</v>
      </c>
      <c r="I3327">
        <v>297</v>
      </c>
      <c r="J3327" t="s">
        <v>6833</v>
      </c>
      <c r="K3327" t="s">
        <v>44</v>
      </c>
      <c r="N3327" t="s">
        <v>45</v>
      </c>
      <c r="O3327" t="s">
        <v>46</v>
      </c>
      <c r="P3327" t="s">
        <v>45</v>
      </c>
      <c r="Q3327" t="s">
        <v>47</v>
      </c>
      <c r="R3327" t="s">
        <v>44</v>
      </c>
      <c r="S3327">
        <v>0</v>
      </c>
      <c r="W3327" s="3">
        <v>4.6296296296296294E-5</v>
      </c>
      <c r="X3327" t="s">
        <v>121</v>
      </c>
      <c r="Y3327">
        <v>1</v>
      </c>
      <c r="Z3327">
        <v>0</v>
      </c>
      <c r="AA3327" t="s">
        <v>49</v>
      </c>
      <c r="AB3327">
        <v>0</v>
      </c>
      <c r="AC3327" t="s">
        <v>49</v>
      </c>
      <c r="AD3327">
        <v>0</v>
      </c>
      <c r="AE3327">
        <v>10747206</v>
      </c>
      <c r="AF3327" t="s">
        <v>50</v>
      </c>
      <c r="AG3327" t="s">
        <v>6551</v>
      </c>
    </row>
    <row r="3328" spans="1:33" x14ac:dyDescent="0.35">
      <c r="A3328" s="1">
        <v>44734.473611111112</v>
      </c>
      <c r="B3328">
        <v>1699226</v>
      </c>
      <c r="C3328" t="s">
        <v>6670</v>
      </c>
      <c r="D3328" t="s">
        <v>6671</v>
      </c>
      <c r="E3328" s="2">
        <v>41780</v>
      </c>
      <c r="F3328" t="str">
        <f>"9780739179079"</f>
        <v>9780739179079</v>
      </c>
      <c r="G3328" t="str">
        <f>"9780739179062"</f>
        <v>9780739179062</v>
      </c>
      <c r="H3328" t="s">
        <v>162</v>
      </c>
      <c r="I3328">
        <v>297.08199999999999</v>
      </c>
      <c r="J3328" t="s">
        <v>6672</v>
      </c>
      <c r="K3328" t="s">
        <v>44</v>
      </c>
      <c r="N3328" t="s">
        <v>45</v>
      </c>
      <c r="O3328" t="s">
        <v>46</v>
      </c>
      <c r="P3328" t="s">
        <v>45</v>
      </c>
      <c r="Q3328" t="s">
        <v>47</v>
      </c>
      <c r="R3328" t="s">
        <v>44</v>
      </c>
      <c r="S3328">
        <v>0</v>
      </c>
      <c r="W3328" s="3">
        <v>8.1018518518518516E-4</v>
      </c>
      <c r="X3328" t="s">
        <v>6834</v>
      </c>
      <c r="Y3328">
        <v>12</v>
      </c>
      <c r="Z3328">
        <v>0</v>
      </c>
      <c r="AA3328" t="s">
        <v>49</v>
      </c>
      <c r="AB3328">
        <v>0</v>
      </c>
      <c r="AC3328" t="s">
        <v>49</v>
      </c>
      <c r="AD3328">
        <v>0</v>
      </c>
      <c r="AE3328">
        <v>10878893</v>
      </c>
      <c r="AF3328" t="s">
        <v>50</v>
      </c>
      <c r="AG3328" t="s">
        <v>2289</v>
      </c>
    </row>
    <row r="3329" spans="1:33" x14ac:dyDescent="0.35">
      <c r="A3329" s="1">
        <v>44734.47152777778</v>
      </c>
      <c r="B3329">
        <v>547817</v>
      </c>
      <c r="C3329" t="s">
        <v>6458</v>
      </c>
      <c r="D3329" t="s">
        <v>6459</v>
      </c>
      <c r="E3329" s="2">
        <v>39417</v>
      </c>
      <c r="F3329" t="str">
        <f>"9781589014633"</f>
        <v>9781589014633</v>
      </c>
      <c r="G3329" t="str">
        <f>"9781589011847"</f>
        <v>9781589011847</v>
      </c>
      <c r="H3329" t="s">
        <v>162</v>
      </c>
      <c r="I3329" t="s">
        <v>2910</v>
      </c>
      <c r="J3329" t="s">
        <v>6460</v>
      </c>
      <c r="K3329" t="s">
        <v>44</v>
      </c>
      <c r="N3329" t="s">
        <v>45</v>
      </c>
      <c r="O3329" t="s">
        <v>46</v>
      </c>
      <c r="P3329" t="s">
        <v>45</v>
      </c>
      <c r="Q3329" t="s">
        <v>47</v>
      </c>
      <c r="R3329" t="s">
        <v>44</v>
      </c>
      <c r="S3329">
        <v>0</v>
      </c>
      <c r="W3329" s="3">
        <v>1.0416666666666667E-4</v>
      </c>
      <c r="X3329" t="s">
        <v>205</v>
      </c>
      <c r="Y3329">
        <v>2</v>
      </c>
      <c r="Z3329">
        <v>0</v>
      </c>
      <c r="AA3329" t="s">
        <v>49</v>
      </c>
      <c r="AB3329">
        <v>0</v>
      </c>
      <c r="AC3329" t="s">
        <v>49</v>
      </c>
      <c r="AD3329">
        <v>0</v>
      </c>
      <c r="AE3329">
        <v>10236729</v>
      </c>
      <c r="AF3329" t="s">
        <v>50</v>
      </c>
      <c r="AG3329" t="s">
        <v>6825</v>
      </c>
    </row>
    <row r="3330" spans="1:33" x14ac:dyDescent="0.35">
      <c r="A3330" s="1">
        <v>44734.47152777778</v>
      </c>
      <c r="B3330">
        <v>468456</v>
      </c>
      <c r="C3330" t="s">
        <v>6835</v>
      </c>
      <c r="D3330" t="s">
        <v>473</v>
      </c>
      <c r="E3330" s="2">
        <v>39035</v>
      </c>
      <c r="F3330" t="str">
        <f>"9789047410546"</f>
        <v>9789047410546</v>
      </c>
      <c r="G3330" t="str">
        <f>"9789004152953"</f>
        <v>9789004152953</v>
      </c>
      <c r="H3330" t="s">
        <v>1046</v>
      </c>
      <c r="I3330" t="s">
        <v>6836</v>
      </c>
      <c r="J3330" t="s">
        <v>6837</v>
      </c>
      <c r="K3330" t="s">
        <v>44</v>
      </c>
      <c r="N3330" t="s">
        <v>45</v>
      </c>
      <c r="O3330" t="s">
        <v>46</v>
      </c>
      <c r="P3330" t="s">
        <v>45</v>
      </c>
      <c r="Q3330" t="s">
        <v>47</v>
      </c>
      <c r="R3330" t="s">
        <v>44</v>
      </c>
      <c r="S3330">
        <v>0</v>
      </c>
      <c r="W3330" s="3">
        <v>0</v>
      </c>
      <c r="X3330" t="s">
        <v>49</v>
      </c>
      <c r="Y3330">
        <v>0</v>
      </c>
      <c r="Z3330">
        <v>0</v>
      </c>
      <c r="AA3330" t="s">
        <v>49</v>
      </c>
      <c r="AB3330">
        <v>0</v>
      </c>
      <c r="AC3330" t="s">
        <v>49</v>
      </c>
      <c r="AD3330">
        <v>0</v>
      </c>
      <c r="AE3330">
        <v>10234832</v>
      </c>
      <c r="AF3330" t="s">
        <v>50</v>
      </c>
      <c r="AG3330" t="s">
        <v>6551</v>
      </c>
    </row>
    <row r="3331" spans="1:33" x14ac:dyDescent="0.35">
      <c r="A3331" s="1">
        <v>44734.47152777778</v>
      </c>
      <c r="B3331">
        <v>2083307</v>
      </c>
      <c r="C3331" t="s">
        <v>6838</v>
      </c>
      <c r="D3331" t="s">
        <v>2919</v>
      </c>
      <c r="E3331" s="2">
        <v>42187</v>
      </c>
      <c r="F3331" t="str">
        <f>"9780860376903"</f>
        <v>9780860376903</v>
      </c>
      <c r="G3331" t="str">
        <f>""</f>
        <v/>
      </c>
      <c r="H3331" t="s">
        <v>162</v>
      </c>
      <c r="I3331">
        <v>297</v>
      </c>
      <c r="J3331" t="s">
        <v>6839</v>
      </c>
      <c r="K3331" t="s">
        <v>44</v>
      </c>
      <c r="N3331" t="s">
        <v>45</v>
      </c>
      <c r="O3331" t="s">
        <v>46</v>
      </c>
      <c r="P3331" t="s">
        <v>45</v>
      </c>
      <c r="Q3331" t="s">
        <v>47</v>
      </c>
      <c r="R3331" t="s">
        <v>44</v>
      </c>
      <c r="S3331">
        <v>0</v>
      </c>
      <c r="W3331" s="3">
        <v>6.7129629629629625E-4</v>
      </c>
      <c r="X3331" t="s">
        <v>6840</v>
      </c>
      <c r="Y3331">
        <v>5</v>
      </c>
      <c r="Z3331">
        <v>0</v>
      </c>
      <c r="AA3331" t="s">
        <v>49</v>
      </c>
      <c r="AB3331">
        <v>0</v>
      </c>
      <c r="AC3331" t="s">
        <v>49</v>
      </c>
      <c r="AD3331">
        <v>0</v>
      </c>
      <c r="AE3331">
        <v>11077384</v>
      </c>
      <c r="AF3331" t="s">
        <v>50</v>
      </c>
      <c r="AG3331" t="s">
        <v>2289</v>
      </c>
    </row>
    <row r="3332" spans="1:33" x14ac:dyDescent="0.35">
      <c r="A3332" s="1">
        <v>44734.470138888886</v>
      </c>
      <c r="B3332">
        <v>601743</v>
      </c>
      <c r="C3332" t="s">
        <v>6841</v>
      </c>
      <c r="D3332" t="s">
        <v>497</v>
      </c>
      <c r="E3332" s="2">
        <v>40360</v>
      </c>
      <c r="F3332" t="str">
        <f>"9781441123336"</f>
        <v>9781441123336</v>
      </c>
      <c r="G3332" t="str">
        <f>"9781847064776"</f>
        <v>9781847064776</v>
      </c>
      <c r="H3332" t="s">
        <v>162</v>
      </c>
      <c r="I3332">
        <v>297</v>
      </c>
      <c r="J3332" t="s">
        <v>6842</v>
      </c>
      <c r="K3332" t="s">
        <v>44</v>
      </c>
      <c r="N3332" t="s">
        <v>45</v>
      </c>
      <c r="O3332" t="s">
        <v>46</v>
      </c>
      <c r="P3332" t="s">
        <v>45</v>
      </c>
      <c r="Q3332" t="s">
        <v>47</v>
      </c>
      <c r="R3332" t="s">
        <v>44</v>
      </c>
      <c r="S3332">
        <v>0</v>
      </c>
      <c r="W3332" s="3">
        <v>8.1018518518518516E-4</v>
      </c>
      <c r="X3332" t="s">
        <v>6843</v>
      </c>
      <c r="Y3332">
        <v>8</v>
      </c>
      <c r="Z3332">
        <v>0</v>
      </c>
      <c r="AA3332" t="s">
        <v>49</v>
      </c>
      <c r="AB3332">
        <v>0</v>
      </c>
      <c r="AC3332" t="s">
        <v>49</v>
      </c>
      <c r="AD3332">
        <v>0</v>
      </c>
      <c r="AE3332">
        <v>10427329</v>
      </c>
      <c r="AF3332" t="s">
        <v>50</v>
      </c>
      <c r="AG3332" t="s">
        <v>6551</v>
      </c>
    </row>
    <row r="3333" spans="1:33" x14ac:dyDescent="0.35">
      <c r="A3333" s="1">
        <v>44734.469444444447</v>
      </c>
      <c r="B3333">
        <v>1694382</v>
      </c>
      <c r="C3333" t="s">
        <v>6844</v>
      </c>
      <c r="D3333" t="s">
        <v>76</v>
      </c>
      <c r="E3333" s="2">
        <v>38275</v>
      </c>
      <c r="F3333" t="str">
        <f>"9781136776595"</f>
        <v>9781136776595</v>
      </c>
      <c r="G3333" t="str">
        <f>"9780789025166"</f>
        <v>9780789025166</v>
      </c>
      <c r="H3333" t="s">
        <v>162</v>
      </c>
      <c r="I3333" t="s">
        <v>6845</v>
      </c>
      <c r="J3333" t="s">
        <v>6846</v>
      </c>
      <c r="K3333" t="s">
        <v>44</v>
      </c>
      <c r="N3333" t="s">
        <v>45</v>
      </c>
      <c r="O3333" t="s">
        <v>46</v>
      </c>
      <c r="P3333" t="s">
        <v>45</v>
      </c>
      <c r="Q3333" t="s">
        <v>47</v>
      </c>
      <c r="R3333" t="s">
        <v>44</v>
      </c>
      <c r="S3333">
        <v>0</v>
      </c>
      <c r="W3333" s="3">
        <v>3.4722222222222222E-5</v>
      </c>
      <c r="X3333" t="s">
        <v>121</v>
      </c>
      <c r="Y3333">
        <v>1</v>
      </c>
      <c r="Z3333">
        <v>0</v>
      </c>
      <c r="AA3333" t="s">
        <v>49</v>
      </c>
      <c r="AB3333">
        <v>0</v>
      </c>
      <c r="AC3333" t="s">
        <v>49</v>
      </c>
      <c r="AD3333">
        <v>0</v>
      </c>
      <c r="AE3333">
        <v>10876542</v>
      </c>
      <c r="AF3333" t="s">
        <v>50</v>
      </c>
      <c r="AG3333" t="s">
        <v>6551</v>
      </c>
    </row>
    <row r="3334" spans="1:33" x14ac:dyDescent="0.35">
      <c r="A3334" s="1">
        <v>44734.469444444447</v>
      </c>
      <c r="B3334">
        <v>1699226</v>
      </c>
      <c r="C3334" t="s">
        <v>6670</v>
      </c>
      <c r="D3334" t="s">
        <v>6671</v>
      </c>
      <c r="E3334" s="2">
        <v>41780</v>
      </c>
      <c r="F3334" t="str">
        <f>"9780739179079"</f>
        <v>9780739179079</v>
      </c>
      <c r="G3334" t="str">
        <f>"9780739179062"</f>
        <v>9780739179062</v>
      </c>
      <c r="H3334" t="s">
        <v>162</v>
      </c>
      <c r="I3334">
        <v>297.08199999999999</v>
      </c>
      <c r="J3334" t="s">
        <v>6672</v>
      </c>
      <c r="K3334" t="s">
        <v>44</v>
      </c>
      <c r="N3334" t="s">
        <v>45</v>
      </c>
      <c r="O3334" t="s">
        <v>46</v>
      </c>
      <c r="P3334" t="s">
        <v>45</v>
      </c>
      <c r="Q3334" t="s">
        <v>47</v>
      </c>
      <c r="R3334" t="s">
        <v>44</v>
      </c>
      <c r="S3334">
        <v>0</v>
      </c>
      <c r="W3334" s="3">
        <v>2.0833333333333335E-4</v>
      </c>
      <c r="X3334" t="s">
        <v>205</v>
      </c>
      <c r="Y3334">
        <v>2</v>
      </c>
      <c r="Z3334">
        <v>0</v>
      </c>
      <c r="AA3334" t="s">
        <v>49</v>
      </c>
      <c r="AB3334">
        <v>0</v>
      </c>
      <c r="AC3334" t="s">
        <v>49</v>
      </c>
      <c r="AD3334">
        <v>0</v>
      </c>
      <c r="AE3334">
        <v>10878893</v>
      </c>
      <c r="AF3334" t="s">
        <v>50</v>
      </c>
      <c r="AG3334" t="s">
        <v>6551</v>
      </c>
    </row>
    <row r="3335" spans="1:33" x14ac:dyDescent="0.35">
      <c r="A3335" s="1">
        <v>44734.464583333334</v>
      </c>
      <c r="B3335">
        <v>547817</v>
      </c>
      <c r="C3335" t="s">
        <v>6458</v>
      </c>
      <c r="D3335" t="s">
        <v>6459</v>
      </c>
      <c r="E3335" s="2">
        <v>39417</v>
      </c>
      <c r="F3335" t="str">
        <f>"9781589014633"</f>
        <v>9781589014633</v>
      </c>
      <c r="G3335" t="str">
        <f>"9781589011847"</f>
        <v>9781589011847</v>
      </c>
      <c r="H3335" t="s">
        <v>162</v>
      </c>
      <c r="I3335" t="s">
        <v>2910</v>
      </c>
      <c r="J3335" t="s">
        <v>6460</v>
      </c>
      <c r="K3335" t="s">
        <v>44</v>
      </c>
      <c r="N3335" t="s">
        <v>45</v>
      </c>
      <c r="O3335" t="s">
        <v>46</v>
      </c>
      <c r="P3335" t="s">
        <v>45</v>
      </c>
      <c r="Q3335" t="s">
        <v>47</v>
      </c>
      <c r="R3335" t="s">
        <v>44</v>
      </c>
      <c r="S3335">
        <v>0</v>
      </c>
      <c r="W3335" s="3">
        <v>4.9421296296296288E-3</v>
      </c>
      <c r="X3335" t="s">
        <v>6847</v>
      </c>
      <c r="Y3335">
        <v>22</v>
      </c>
      <c r="Z3335">
        <v>0</v>
      </c>
      <c r="AA3335" t="s">
        <v>49</v>
      </c>
      <c r="AB3335">
        <v>0</v>
      </c>
      <c r="AC3335" t="s">
        <v>49</v>
      </c>
      <c r="AD3335">
        <v>0</v>
      </c>
      <c r="AE3335">
        <v>10236729</v>
      </c>
      <c r="AF3335" t="s">
        <v>50</v>
      </c>
      <c r="AG3335" t="s">
        <v>2289</v>
      </c>
    </row>
    <row r="3336" spans="1:33" x14ac:dyDescent="0.35">
      <c r="A3336" s="1">
        <v>44734.462500000001</v>
      </c>
      <c r="B3336">
        <v>1192537</v>
      </c>
      <c r="C3336" t="s">
        <v>6848</v>
      </c>
      <c r="D3336" t="s">
        <v>473</v>
      </c>
      <c r="E3336" s="2">
        <v>41402</v>
      </c>
      <c r="F3336" t="str">
        <f>"9789004251403"</f>
        <v>9789004251403</v>
      </c>
      <c r="G3336" t="str">
        <f>"9789004251359"</f>
        <v>9789004251359</v>
      </c>
      <c r="H3336" t="s">
        <v>157</v>
      </c>
      <c r="K3336" t="s">
        <v>44</v>
      </c>
      <c r="N3336" t="s">
        <v>45</v>
      </c>
      <c r="O3336" t="s">
        <v>46</v>
      </c>
      <c r="P3336" t="s">
        <v>45</v>
      </c>
      <c r="Q3336" t="s">
        <v>47</v>
      </c>
      <c r="R3336" t="s">
        <v>44</v>
      </c>
      <c r="S3336">
        <v>0</v>
      </c>
      <c r="W3336" s="3">
        <v>6.8287037037037025E-4</v>
      </c>
      <c r="X3336" t="s">
        <v>2249</v>
      </c>
      <c r="Y3336">
        <v>6</v>
      </c>
      <c r="Z3336">
        <v>0</v>
      </c>
      <c r="AA3336" t="s">
        <v>49</v>
      </c>
      <c r="AB3336">
        <v>0</v>
      </c>
      <c r="AC3336" t="s">
        <v>49</v>
      </c>
      <c r="AD3336">
        <v>0</v>
      </c>
      <c r="AE3336">
        <v>10714564</v>
      </c>
      <c r="AF3336" t="s">
        <v>50</v>
      </c>
      <c r="AG3336" t="s">
        <v>2289</v>
      </c>
    </row>
    <row r="3337" spans="1:33" x14ac:dyDescent="0.35">
      <c r="A3337" s="1">
        <v>44734.460416666669</v>
      </c>
      <c r="B3337">
        <v>3408517</v>
      </c>
      <c r="C3337" t="s">
        <v>6481</v>
      </c>
      <c r="D3337" t="s">
        <v>645</v>
      </c>
      <c r="E3337" s="2">
        <v>38201</v>
      </c>
      <c r="F3337" t="str">
        <f>"9780791485040"</f>
        <v>9780791485040</v>
      </c>
      <c r="G3337" t="str">
        <f>"9780791460955"</f>
        <v>9780791460955</v>
      </c>
      <c r="H3337" t="s">
        <v>162</v>
      </c>
      <c r="I3337" t="s">
        <v>6482</v>
      </c>
      <c r="J3337" t="s">
        <v>6483</v>
      </c>
      <c r="K3337" t="s">
        <v>44</v>
      </c>
      <c r="N3337" t="s">
        <v>45</v>
      </c>
      <c r="O3337" t="s">
        <v>46</v>
      </c>
      <c r="P3337" t="s">
        <v>45</v>
      </c>
      <c r="Q3337" t="s">
        <v>47</v>
      </c>
      <c r="R3337" t="s">
        <v>44</v>
      </c>
      <c r="S3337">
        <v>0</v>
      </c>
      <c r="W3337" s="3">
        <v>3.3564814814814812E-4</v>
      </c>
      <c r="X3337" t="s">
        <v>6849</v>
      </c>
      <c r="Y3337">
        <v>7</v>
      </c>
      <c r="Z3337">
        <v>0</v>
      </c>
      <c r="AA3337" t="s">
        <v>49</v>
      </c>
      <c r="AB3337">
        <v>0</v>
      </c>
      <c r="AC3337" t="s">
        <v>49</v>
      </c>
      <c r="AD3337">
        <v>0</v>
      </c>
      <c r="AE3337">
        <v>10594845</v>
      </c>
      <c r="AF3337" t="s">
        <v>50</v>
      </c>
      <c r="AG3337" t="s">
        <v>2289</v>
      </c>
    </row>
    <row r="3338" spans="1:33" x14ac:dyDescent="0.35">
      <c r="A3338" s="1">
        <v>44734.459027777775</v>
      </c>
      <c r="B3338">
        <v>547817</v>
      </c>
      <c r="C3338" t="s">
        <v>6458</v>
      </c>
      <c r="D3338" t="s">
        <v>6459</v>
      </c>
      <c r="E3338" s="2">
        <v>39417</v>
      </c>
      <c r="F3338" t="str">
        <f>"9781589014633"</f>
        <v>9781589014633</v>
      </c>
      <c r="G3338" t="str">
        <f>"9781589011847"</f>
        <v>9781589011847</v>
      </c>
      <c r="H3338" t="s">
        <v>162</v>
      </c>
      <c r="I3338" t="s">
        <v>2910</v>
      </c>
      <c r="J3338" t="s">
        <v>6460</v>
      </c>
      <c r="K3338" t="s">
        <v>44</v>
      </c>
      <c r="N3338" t="s">
        <v>45</v>
      </c>
      <c r="O3338" t="s">
        <v>46</v>
      </c>
      <c r="P3338" t="s">
        <v>45</v>
      </c>
      <c r="Q3338" t="s">
        <v>47</v>
      </c>
      <c r="R3338" t="s">
        <v>44</v>
      </c>
      <c r="S3338">
        <v>0</v>
      </c>
      <c r="W3338" s="3">
        <v>2.5578703703703705E-3</v>
      </c>
      <c r="X3338" t="s">
        <v>6850</v>
      </c>
      <c r="Y3338">
        <v>9</v>
      </c>
      <c r="Z3338">
        <v>2</v>
      </c>
      <c r="AA3338" t="s">
        <v>6851</v>
      </c>
      <c r="AB3338">
        <v>38</v>
      </c>
      <c r="AC3338" t="s">
        <v>49</v>
      </c>
      <c r="AD3338">
        <v>0</v>
      </c>
      <c r="AE3338">
        <v>10236729</v>
      </c>
      <c r="AF3338" t="s">
        <v>50</v>
      </c>
      <c r="AG3338" t="s">
        <v>6551</v>
      </c>
    </row>
    <row r="3339" spans="1:33" x14ac:dyDescent="0.35">
      <c r="A3339" s="1">
        <v>44734.407638888886</v>
      </c>
      <c r="B3339">
        <v>5236884</v>
      </c>
      <c r="C3339" t="s">
        <v>6852</v>
      </c>
      <c r="D3339" t="s">
        <v>125</v>
      </c>
      <c r="E3339" s="2">
        <v>43163</v>
      </c>
      <c r="F3339" t="str">
        <f>"9780191009655"</f>
        <v>9780191009655</v>
      </c>
      <c r="G3339" t="str">
        <f>"9780198704461"</f>
        <v>9780198704461</v>
      </c>
      <c r="H3339" t="s">
        <v>531</v>
      </c>
      <c r="I3339">
        <v>355.00941</v>
      </c>
      <c r="K3339" t="s">
        <v>55</v>
      </c>
      <c r="N3339" t="s">
        <v>79</v>
      </c>
      <c r="P3339" t="s">
        <v>1169</v>
      </c>
      <c r="Q3339" t="s">
        <v>47</v>
      </c>
      <c r="R3339" t="s">
        <v>44</v>
      </c>
      <c r="S3339">
        <v>0</v>
      </c>
      <c r="W3339" s="3">
        <v>9.6064814814814808E-4</v>
      </c>
      <c r="X3339" t="s">
        <v>6853</v>
      </c>
      <c r="Y3339">
        <v>17</v>
      </c>
      <c r="Z3339">
        <v>0</v>
      </c>
      <c r="AA3339" t="s">
        <v>49</v>
      </c>
      <c r="AB3339">
        <v>0</v>
      </c>
      <c r="AC3339" t="s">
        <v>49</v>
      </c>
      <c r="AD3339">
        <v>0</v>
      </c>
      <c r="AE3339">
        <v>11502626</v>
      </c>
      <c r="AF3339" t="s">
        <v>50</v>
      </c>
      <c r="AG3339" t="s">
        <v>6551</v>
      </c>
    </row>
    <row r="3340" spans="1:33" x14ac:dyDescent="0.35">
      <c r="A3340" s="1">
        <v>44734.38958333333</v>
      </c>
      <c r="B3340">
        <v>547817</v>
      </c>
      <c r="C3340" t="s">
        <v>6458</v>
      </c>
      <c r="D3340" t="s">
        <v>6459</v>
      </c>
      <c r="E3340" s="2">
        <v>39417</v>
      </c>
      <c r="F3340" t="str">
        <f>"9781589014633"</f>
        <v>9781589014633</v>
      </c>
      <c r="G3340" t="str">
        <f>"9781589011847"</f>
        <v>9781589011847</v>
      </c>
      <c r="H3340" t="s">
        <v>162</v>
      </c>
      <c r="I3340" t="s">
        <v>2910</v>
      </c>
      <c r="J3340" t="s">
        <v>6460</v>
      </c>
      <c r="K3340" t="s">
        <v>44</v>
      </c>
      <c r="N3340" t="s">
        <v>45</v>
      </c>
      <c r="O3340" t="s">
        <v>46</v>
      </c>
      <c r="P3340" t="s">
        <v>45</v>
      </c>
      <c r="Q3340" t="s">
        <v>47</v>
      </c>
      <c r="R3340" t="s">
        <v>44</v>
      </c>
      <c r="S3340">
        <v>0</v>
      </c>
      <c r="W3340" s="3">
        <v>1.6550925925925926E-3</v>
      </c>
      <c r="X3340" t="s">
        <v>6854</v>
      </c>
      <c r="Y3340">
        <v>22</v>
      </c>
      <c r="Z3340">
        <v>0</v>
      </c>
      <c r="AA3340" t="s">
        <v>49</v>
      </c>
      <c r="AB3340">
        <v>0</v>
      </c>
      <c r="AC3340" t="s">
        <v>49</v>
      </c>
      <c r="AD3340">
        <v>0</v>
      </c>
      <c r="AE3340">
        <v>10236729</v>
      </c>
      <c r="AF3340" t="s">
        <v>50</v>
      </c>
      <c r="AG3340" t="s">
        <v>6551</v>
      </c>
    </row>
    <row r="3341" spans="1:33" x14ac:dyDescent="0.35">
      <c r="A3341" s="1">
        <v>44734.045138888891</v>
      </c>
      <c r="B3341">
        <v>4396433</v>
      </c>
      <c r="C3341" t="s">
        <v>6855</v>
      </c>
      <c r="D3341" t="s">
        <v>2066</v>
      </c>
      <c r="E3341" s="2">
        <v>42323</v>
      </c>
      <c r="F3341" t="str">
        <f>"9781783717118"</f>
        <v>9781783717118</v>
      </c>
      <c r="G3341" t="str">
        <f>"9780745336565"</f>
        <v>9780745336565</v>
      </c>
      <c r="H3341" t="s">
        <v>1540</v>
      </c>
      <c r="I3341">
        <v>320.55700000000002</v>
      </c>
      <c r="J3341" t="s">
        <v>6856</v>
      </c>
      <c r="K3341" t="s">
        <v>44</v>
      </c>
      <c r="N3341" t="s">
        <v>45</v>
      </c>
      <c r="O3341" t="s">
        <v>46</v>
      </c>
      <c r="P3341" t="s">
        <v>45</v>
      </c>
      <c r="Q3341" t="s">
        <v>47</v>
      </c>
      <c r="R3341" t="s">
        <v>44</v>
      </c>
      <c r="S3341">
        <v>0</v>
      </c>
      <c r="W3341" s="3">
        <v>6.9444444444444444E-5</v>
      </c>
      <c r="X3341" t="s">
        <v>2333</v>
      </c>
      <c r="Y3341">
        <v>1</v>
      </c>
      <c r="Z3341">
        <v>0</v>
      </c>
      <c r="AA3341" t="s">
        <v>49</v>
      </c>
      <c r="AB3341">
        <v>0</v>
      </c>
      <c r="AC3341" t="s">
        <v>49</v>
      </c>
      <c r="AD3341">
        <v>0</v>
      </c>
      <c r="AE3341">
        <v>11155514</v>
      </c>
      <c r="AF3341" t="s">
        <v>50</v>
      </c>
      <c r="AG3341" t="s">
        <v>6551</v>
      </c>
    </row>
    <row r="3342" spans="1:33" x14ac:dyDescent="0.35">
      <c r="A3342" s="1">
        <v>44733.974999999999</v>
      </c>
      <c r="B3342">
        <v>547817</v>
      </c>
      <c r="C3342" t="s">
        <v>6458</v>
      </c>
      <c r="D3342" t="s">
        <v>6459</v>
      </c>
      <c r="E3342" s="2">
        <v>39417</v>
      </c>
      <c r="F3342" t="str">
        <f>"9781589014633"</f>
        <v>9781589014633</v>
      </c>
      <c r="G3342" t="str">
        <f>"9781589011847"</f>
        <v>9781589011847</v>
      </c>
      <c r="H3342" t="s">
        <v>162</v>
      </c>
      <c r="I3342" t="s">
        <v>2910</v>
      </c>
      <c r="J3342" t="s">
        <v>6460</v>
      </c>
      <c r="K3342" t="s">
        <v>44</v>
      </c>
      <c r="N3342" t="s">
        <v>45</v>
      </c>
      <c r="O3342" t="s">
        <v>46</v>
      </c>
      <c r="P3342" t="s">
        <v>45</v>
      </c>
      <c r="Q3342" t="s">
        <v>47</v>
      </c>
      <c r="R3342" t="s">
        <v>44</v>
      </c>
      <c r="S3342">
        <v>0</v>
      </c>
      <c r="W3342" s="3">
        <v>1.2384259259259258E-3</v>
      </c>
      <c r="X3342" t="s">
        <v>6857</v>
      </c>
      <c r="Y3342">
        <v>13</v>
      </c>
      <c r="Z3342">
        <v>0</v>
      </c>
      <c r="AA3342" t="s">
        <v>49</v>
      </c>
      <c r="AB3342">
        <v>0</v>
      </c>
      <c r="AC3342" t="s">
        <v>49</v>
      </c>
      <c r="AD3342">
        <v>0</v>
      </c>
      <c r="AE3342">
        <v>10236729</v>
      </c>
      <c r="AF3342" t="s">
        <v>63</v>
      </c>
      <c r="AG3342" t="s">
        <v>6551</v>
      </c>
    </row>
    <row r="3343" spans="1:33" x14ac:dyDescent="0.35">
      <c r="A3343" s="1">
        <v>44733.963194444441</v>
      </c>
      <c r="B3343">
        <v>465345</v>
      </c>
      <c r="C3343" t="s">
        <v>6748</v>
      </c>
      <c r="D3343" t="s">
        <v>76</v>
      </c>
      <c r="E3343" s="2">
        <v>40150</v>
      </c>
      <c r="F3343" t="str">
        <f>"9780203865118"</f>
        <v>9780203865118</v>
      </c>
      <c r="G3343" t="str">
        <f>"9780415557207"</f>
        <v>9780415557207</v>
      </c>
      <c r="H3343" t="s">
        <v>498</v>
      </c>
      <c r="I3343" t="s">
        <v>6749</v>
      </c>
      <c r="J3343" t="s">
        <v>6750</v>
      </c>
      <c r="K3343" t="s">
        <v>44</v>
      </c>
      <c r="N3343" t="s">
        <v>45</v>
      </c>
      <c r="O3343" t="s">
        <v>46</v>
      </c>
      <c r="P3343" t="s">
        <v>45</v>
      </c>
      <c r="Q3343" t="s">
        <v>47</v>
      </c>
      <c r="R3343" t="s">
        <v>44</v>
      </c>
      <c r="S3343">
        <v>0</v>
      </c>
      <c r="W3343" s="3">
        <v>8.2060185185185187E-3</v>
      </c>
      <c r="X3343" t="s">
        <v>6858</v>
      </c>
      <c r="Y3343">
        <v>26</v>
      </c>
      <c r="Z3343">
        <v>0</v>
      </c>
      <c r="AA3343" t="s">
        <v>49</v>
      </c>
      <c r="AB3343">
        <v>0</v>
      </c>
      <c r="AC3343" t="s">
        <v>49</v>
      </c>
      <c r="AD3343">
        <v>0</v>
      </c>
      <c r="AE3343">
        <v>10349581</v>
      </c>
      <c r="AF3343" t="s">
        <v>50</v>
      </c>
      <c r="AG3343" t="s">
        <v>6859</v>
      </c>
    </row>
    <row r="3344" spans="1:33" x14ac:dyDescent="0.35">
      <c r="A3344" s="1">
        <v>44733.959722222222</v>
      </c>
      <c r="B3344">
        <v>1699226</v>
      </c>
      <c r="C3344" t="s">
        <v>6670</v>
      </c>
      <c r="D3344" t="s">
        <v>6671</v>
      </c>
      <c r="E3344" s="2">
        <v>41780</v>
      </c>
      <c r="F3344" t="str">
        <f>"9780739179079"</f>
        <v>9780739179079</v>
      </c>
      <c r="G3344" t="str">
        <f>"9780739179062"</f>
        <v>9780739179062</v>
      </c>
      <c r="H3344" t="s">
        <v>162</v>
      </c>
      <c r="I3344">
        <v>297.08199999999999</v>
      </c>
      <c r="J3344" t="s">
        <v>6672</v>
      </c>
      <c r="K3344" t="s">
        <v>44</v>
      </c>
      <c r="N3344" t="s">
        <v>45</v>
      </c>
      <c r="O3344" t="s">
        <v>46</v>
      </c>
      <c r="P3344" t="s">
        <v>45</v>
      </c>
      <c r="Q3344" t="s">
        <v>47</v>
      </c>
      <c r="R3344" t="s">
        <v>44</v>
      </c>
      <c r="S3344">
        <v>0</v>
      </c>
      <c r="W3344" s="3">
        <v>1.423611111111111E-3</v>
      </c>
      <c r="X3344" t="s">
        <v>6860</v>
      </c>
      <c r="Y3344">
        <v>8</v>
      </c>
      <c r="Z3344">
        <v>0</v>
      </c>
      <c r="AA3344" t="s">
        <v>49</v>
      </c>
      <c r="AB3344">
        <v>0</v>
      </c>
      <c r="AC3344" t="s">
        <v>49</v>
      </c>
      <c r="AD3344">
        <v>0</v>
      </c>
      <c r="AE3344">
        <v>10878893</v>
      </c>
      <c r="AF3344" t="s">
        <v>50</v>
      </c>
      <c r="AG3344" t="s">
        <v>6655</v>
      </c>
    </row>
    <row r="3345" spans="1:33" x14ac:dyDescent="0.35">
      <c r="A3345" s="1">
        <v>44733.957638888889</v>
      </c>
      <c r="B3345">
        <v>776553</v>
      </c>
      <c r="C3345" t="s">
        <v>6652</v>
      </c>
      <c r="D3345" t="s">
        <v>2754</v>
      </c>
      <c r="E3345" s="2">
        <v>40729</v>
      </c>
      <c r="F3345" t="str">
        <f>"9780816678327"</f>
        <v>9780816678327</v>
      </c>
      <c r="G3345" t="str">
        <f>"9780816651344"</f>
        <v>9780816651344</v>
      </c>
      <c r="H3345" t="s">
        <v>1046</v>
      </c>
      <c r="I3345">
        <v>305.42096400000003</v>
      </c>
      <c r="J3345" t="s">
        <v>6653</v>
      </c>
      <c r="K3345" t="s">
        <v>44</v>
      </c>
      <c r="N3345" t="s">
        <v>45</v>
      </c>
      <c r="O3345" t="s">
        <v>46</v>
      </c>
      <c r="P3345" t="s">
        <v>45</v>
      </c>
      <c r="Q3345" t="s">
        <v>47</v>
      </c>
      <c r="R3345" t="s">
        <v>44</v>
      </c>
      <c r="S3345">
        <v>0</v>
      </c>
      <c r="W3345" s="3">
        <v>3.3680555555555551E-3</v>
      </c>
      <c r="X3345" t="s">
        <v>6861</v>
      </c>
      <c r="Y3345">
        <v>3</v>
      </c>
      <c r="Z3345">
        <v>0</v>
      </c>
      <c r="AA3345" t="s">
        <v>49</v>
      </c>
      <c r="AB3345">
        <v>0</v>
      </c>
      <c r="AC3345" t="s">
        <v>49</v>
      </c>
      <c r="AD3345">
        <v>0</v>
      </c>
      <c r="AE3345">
        <v>10500268</v>
      </c>
      <c r="AF3345" t="s">
        <v>50</v>
      </c>
      <c r="AG3345" t="s">
        <v>6655</v>
      </c>
    </row>
    <row r="3346" spans="1:33" x14ac:dyDescent="0.35">
      <c r="A3346" s="1">
        <v>44733.950694444444</v>
      </c>
      <c r="B3346">
        <v>3407075</v>
      </c>
      <c r="C3346" t="s">
        <v>6862</v>
      </c>
      <c r="D3346" t="s">
        <v>645</v>
      </c>
      <c r="E3346" s="2">
        <v>40817</v>
      </c>
      <c r="F3346" t="str">
        <f>"9781438437446"</f>
        <v>9781438437446</v>
      </c>
      <c r="G3346" t="str">
        <f>"9781438437439"</f>
        <v>9781438437439</v>
      </c>
      <c r="H3346" t="s">
        <v>498</v>
      </c>
      <c r="I3346" t="s">
        <v>6749</v>
      </c>
      <c r="J3346" t="s">
        <v>6863</v>
      </c>
      <c r="K3346" t="s">
        <v>44</v>
      </c>
      <c r="N3346" t="s">
        <v>45</v>
      </c>
      <c r="O3346" t="s">
        <v>46</v>
      </c>
      <c r="P3346" t="s">
        <v>45</v>
      </c>
      <c r="Q3346" t="s">
        <v>47</v>
      </c>
      <c r="R3346" t="s">
        <v>44</v>
      </c>
      <c r="S3346">
        <v>0</v>
      </c>
      <c r="W3346" s="3">
        <v>1.689814814814815E-3</v>
      </c>
      <c r="X3346" t="s">
        <v>6864</v>
      </c>
      <c r="Y3346">
        <v>10</v>
      </c>
      <c r="Z3346">
        <v>0</v>
      </c>
      <c r="AA3346" t="s">
        <v>49</v>
      </c>
      <c r="AB3346">
        <v>0</v>
      </c>
      <c r="AC3346" t="s">
        <v>49</v>
      </c>
      <c r="AD3346">
        <v>0</v>
      </c>
      <c r="AE3346">
        <v>10573936</v>
      </c>
      <c r="AF3346" t="s">
        <v>50</v>
      </c>
      <c r="AG3346" t="s">
        <v>6859</v>
      </c>
    </row>
    <row r="3347" spans="1:33" x14ac:dyDescent="0.35">
      <c r="A3347" s="1">
        <v>44733.949305555558</v>
      </c>
      <c r="B3347">
        <v>299551</v>
      </c>
      <c r="C3347" t="s">
        <v>6865</v>
      </c>
      <c r="D3347" t="s">
        <v>507</v>
      </c>
      <c r="E3347" s="2">
        <v>39213</v>
      </c>
      <c r="F3347" t="str">
        <f>"9780748629275"</f>
        <v>9780748629275</v>
      </c>
      <c r="G3347" t="str">
        <f>"9780748622160"</f>
        <v>9780748622160</v>
      </c>
      <c r="H3347" t="s">
        <v>498</v>
      </c>
      <c r="I3347">
        <v>181.0703</v>
      </c>
      <c r="J3347" t="s">
        <v>6866</v>
      </c>
      <c r="K3347" t="s">
        <v>44</v>
      </c>
      <c r="N3347" t="s">
        <v>45</v>
      </c>
      <c r="O3347" t="s">
        <v>46</v>
      </c>
      <c r="P3347" t="s">
        <v>45</v>
      </c>
      <c r="Q3347" t="s">
        <v>47</v>
      </c>
      <c r="R3347" t="s">
        <v>44</v>
      </c>
      <c r="S3347">
        <v>0</v>
      </c>
      <c r="W3347" s="3">
        <v>3.7037037037037035E-4</v>
      </c>
      <c r="X3347" t="s">
        <v>6867</v>
      </c>
      <c r="Y3347">
        <v>5</v>
      </c>
      <c r="Z3347">
        <v>0</v>
      </c>
      <c r="AA3347" t="s">
        <v>49</v>
      </c>
      <c r="AB3347">
        <v>0</v>
      </c>
      <c r="AC3347" t="s">
        <v>49</v>
      </c>
      <c r="AD3347">
        <v>0</v>
      </c>
      <c r="AE3347">
        <v>10435314</v>
      </c>
      <c r="AF3347" t="s">
        <v>50</v>
      </c>
      <c r="AG3347" t="s">
        <v>6859</v>
      </c>
    </row>
    <row r="3348" spans="1:33" x14ac:dyDescent="0.35">
      <c r="A3348" s="1">
        <v>44733.947916666664</v>
      </c>
      <c r="B3348">
        <v>1477522</v>
      </c>
      <c r="C3348" t="s">
        <v>3625</v>
      </c>
      <c r="D3348" t="s">
        <v>2022</v>
      </c>
      <c r="E3348" s="2">
        <v>41542</v>
      </c>
      <c r="F3348" t="str">
        <f>"9781443852760"</f>
        <v>9781443852760</v>
      </c>
      <c r="G3348" t="str">
        <f>"9781443848275"</f>
        <v>9781443848275</v>
      </c>
      <c r="H3348" t="s">
        <v>474</v>
      </c>
      <c r="I3348">
        <v>197</v>
      </c>
      <c r="J3348" t="s">
        <v>3626</v>
      </c>
      <c r="K3348" t="s">
        <v>44</v>
      </c>
      <c r="N3348" t="s">
        <v>45</v>
      </c>
      <c r="O3348" t="s">
        <v>46</v>
      </c>
      <c r="P3348" t="s">
        <v>45</v>
      </c>
      <c r="Q3348" t="s">
        <v>47</v>
      </c>
      <c r="R3348" t="s">
        <v>44</v>
      </c>
      <c r="S3348">
        <v>0</v>
      </c>
      <c r="W3348" s="3">
        <v>1.2384259259259258E-3</v>
      </c>
      <c r="X3348" t="s">
        <v>6868</v>
      </c>
      <c r="Y3348">
        <v>13</v>
      </c>
      <c r="Z3348">
        <v>0</v>
      </c>
      <c r="AA3348" t="s">
        <v>49</v>
      </c>
      <c r="AB3348">
        <v>0</v>
      </c>
      <c r="AC3348" t="s">
        <v>49</v>
      </c>
      <c r="AD3348">
        <v>0</v>
      </c>
      <c r="AE3348">
        <v>10778085</v>
      </c>
      <c r="AF3348" t="s">
        <v>50</v>
      </c>
      <c r="AG3348" t="s">
        <v>6859</v>
      </c>
    </row>
    <row r="3349" spans="1:33" x14ac:dyDescent="0.35">
      <c r="A3349" s="1">
        <v>44733.918749999997</v>
      </c>
      <c r="B3349">
        <v>945533</v>
      </c>
      <c r="C3349" t="s">
        <v>6475</v>
      </c>
      <c r="D3349" t="s">
        <v>1922</v>
      </c>
      <c r="E3349" s="2">
        <v>40935</v>
      </c>
      <c r="F3349" t="str">
        <f>"9780857721464"</f>
        <v>9780857721464</v>
      </c>
      <c r="G3349" t="str">
        <f>"9781780761312"</f>
        <v>9781780761312</v>
      </c>
      <c r="H3349" t="s">
        <v>162</v>
      </c>
      <c r="I3349">
        <v>297.27999999999997</v>
      </c>
      <c r="J3349" t="s">
        <v>6476</v>
      </c>
      <c r="K3349" t="s">
        <v>55</v>
      </c>
      <c r="N3349" t="s">
        <v>79</v>
      </c>
      <c r="P3349" t="s">
        <v>97</v>
      </c>
      <c r="Q3349" t="s">
        <v>47</v>
      </c>
      <c r="R3349" t="s">
        <v>44</v>
      </c>
      <c r="S3349">
        <v>2</v>
      </c>
      <c r="T3349">
        <v>1</v>
      </c>
      <c r="U3349" s="1">
        <v>44733.918749999997</v>
      </c>
      <c r="V3349" s="1">
        <v>44734.918749999997</v>
      </c>
      <c r="W3349" s="3">
        <v>2.5497685185185189E-2</v>
      </c>
      <c r="X3349" t="s">
        <v>6869</v>
      </c>
      <c r="Y3349">
        <v>14</v>
      </c>
      <c r="Z3349">
        <v>0</v>
      </c>
      <c r="AA3349" t="s">
        <v>49</v>
      </c>
      <c r="AB3349">
        <v>0</v>
      </c>
      <c r="AC3349" t="s">
        <v>6870</v>
      </c>
      <c r="AD3349">
        <v>1</v>
      </c>
      <c r="AE3349">
        <v>10572542</v>
      </c>
      <c r="AF3349" t="s">
        <v>63</v>
      </c>
      <c r="AG3349" t="s">
        <v>6551</v>
      </c>
    </row>
    <row r="3350" spans="1:33" x14ac:dyDescent="0.35">
      <c r="A3350" s="1">
        <v>44733.915972222225</v>
      </c>
      <c r="B3350">
        <v>945533</v>
      </c>
      <c r="C3350" t="s">
        <v>6475</v>
      </c>
      <c r="D3350" t="s">
        <v>1922</v>
      </c>
      <c r="E3350" s="2">
        <v>40935</v>
      </c>
      <c r="F3350" t="str">
        <f>"9780857721464"</f>
        <v>9780857721464</v>
      </c>
      <c r="G3350" t="str">
        <f>"9781780761312"</f>
        <v>9781780761312</v>
      </c>
      <c r="H3350" t="s">
        <v>162</v>
      </c>
      <c r="I3350">
        <v>297.27999999999997</v>
      </c>
      <c r="J3350" t="s">
        <v>6476</v>
      </c>
      <c r="K3350" t="s">
        <v>55</v>
      </c>
      <c r="N3350" t="s">
        <v>79</v>
      </c>
      <c r="P3350" t="s">
        <v>97</v>
      </c>
      <c r="Q3350" t="s">
        <v>47</v>
      </c>
      <c r="R3350" t="s">
        <v>44</v>
      </c>
      <c r="S3350">
        <v>0</v>
      </c>
      <c r="W3350" s="3">
        <v>2.6620370370370374E-3</v>
      </c>
      <c r="X3350" t="s">
        <v>6871</v>
      </c>
      <c r="Y3350">
        <v>8</v>
      </c>
      <c r="Z3350">
        <v>1</v>
      </c>
      <c r="AA3350" t="s">
        <v>6872</v>
      </c>
      <c r="AB3350">
        <v>7</v>
      </c>
      <c r="AC3350" t="s">
        <v>49</v>
      </c>
      <c r="AD3350">
        <v>0</v>
      </c>
      <c r="AE3350">
        <v>10572542</v>
      </c>
      <c r="AF3350" t="s">
        <v>63</v>
      </c>
      <c r="AG3350" t="s">
        <v>6551</v>
      </c>
    </row>
    <row r="3351" spans="1:33" x14ac:dyDescent="0.35">
      <c r="A3351" s="1">
        <v>44733.876388888886</v>
      </c>
      <c r="B3351">
        <v>945533</v>
      </c>
      <c r="C3351" t="s">
        <v>6475</v>
      </c>
      <c r="D3351" t="s">
        <v>1922</v>
      </c>
      <c r="E3351" s="2">
        <v>40935</v>
      </c>
      <c r="F3351" t="str">
        <f>"9780857721464"</f>
        <v>9780857721464</v>
      </c>
      <c r="G3351" t="str">
        <f>"9781780761312"</f>
        <v>9781780761312</v>
      </c>
      <c r="H3351" t="s">
        <v>162</v>
      </c>
      <c r="I3351">
        <v>297.27999999999997</v>
      </c>
      <c r="J3351" t="s">
        <v>6476</v>
      </c>
      <c r="K3351" t="s">
        <v>55</v>
      </c>
      <c r="N3351" t="s">
        <v>79</v>
      </c>
      <c r="P3351" t="s">
        <v>97</v>
      </c>
      <c r="Q3351" t="s">
        <v>47</v>
      </c>
      <c r="R3351" t="s">
        <v>44</v>
      </c>
      <c r="S3351">
        <v>0</v>
      </c>
      <c r="W3351" s="3">
        <v>4.7222222222222223E-3</v>
      </c>
      <c r="X3351" t="s">
        <v>6873</v>
      </c>
      <c r="Y3351">
        <v>13</v>
      </c>
      <c r="Z3351">
        <v>0</v>
      </c>
      <c r="AA3351" t="s">
        <v>49</v>
      </c>
      <c r="AB3351">
        <v>0</v>
      </c>
      <c r="AC3351" t="s">
        <v>49</v>
      </c>
      <c r="AD3351">
        <v>0</v>
      </c>
      <c r="AE3351">
        <v>10572542</v>
      </c>
      <c r="AF3351" t="s">
        <v>63</v>
      </c>
      <c r="AG3351" t="s">
        <v>6551</v>
      </c>
    </row>
    <row r="3352" spans="1:33" x14ac:dyDescent="0.35">
      <c r="A3352" s="1">
        <v>44733.875</v>
      </c>
      <c r="B3352">
        <v>547817</v>
      </c>
      <c r="C3352" t="s">
        <v>6458</v>
      </c>
      <c r="D3352" t="s">
        <v>6459</v>
      </c>
      <c r="E3352" s="2">
        <v>39417</v>
      </c>
      <c r="F3352" t="str">
        <f>"9781589014633"</f>
        <v>9781589014633</v>
      </c>
      <c r="G3352" t="str">
        <f>"9781589011847"</f>
        <v>9781589011847</v>
      </c>
      <c r="H3352" t="s">
        <v>162</v>
      </c>
      <c r="I3352" t="s">
        <v>2910</v>
      </c>
      <c r="J3352" t="s">
        <v>6460</v>
      </c>
      <c r="K3352" t="s">
        <v>44</v>
      </c>
      <c r="N3352" t="s">
        <v>45</v>
      </c>
      <c r="O3352" t="s">
        <v>46</v>
      </c>
      <c r="P3352" t="s">
        <v>45</v>
      </c>
      <c r="Q3352" t="s">
        <v>47</v>
      </c>
      <c r="R3352" t="s">
        <v>44</v>
      </c>
      <c r="S3352">
        <v>0</v>
      </c>
      <c r="W3352" s="3">
        <v>5.7870370370370366E-5</v>
      </c>
      <c r="X3352" t="s">
        <v>121</v>
      </c>
      <c r="Y3352">
        <v>1</v>
      </c>
      <c r="Z3352">
        <v>0</v>
      </c>
      <c r="AA3352" t="s">
        <v>49</v>
      </c>
      <c r="AB3352">
        <v>0</v>
      </c>
      <c r="AC3352" t="s">
        <v>49</v>
      </c>
      <c r="AD3352">
        <v>0</v>
      </c>
      <c r="AE3352">
        <v>10236729</v>
      </c>
      <c r="AF3352" t="s">
        <v>50</v>
      </c>
      <c r="AG3352" t="s">
        <v>6551</v>
      </c>
    </row>
    <row r="3353" spans="1:33" x14ac:dyDescent="0.35">
      <c r="A3353" s="1">
        <v>44733.711805555555</v>
      </c>
      <c r="B3353">
        <v>3420994</v>
      </c>
      <c r="C3353" t="s">
        <v>6874</v>
      </c>
      <c r="D3353" t="s">
        <v>347</v>
      </c>
      <c r="E3353" s="2">
        <v>40316</v>
      </c>
      <c r="F3353" t="str">
        <f>"9780300159141"</f>
        <v>9780300159141</v>
      </c>
      <c r="G3353" t="str">
        <f>"9780300159110"</f>
        <v>9780300159110</v>
      </c>
      <c r="H3353" t="s">
        <v>162</v>
      </c>
      <c r="I3353" t="s">
        <v>6875</v>
      </c>
      <c r="J3353" t="s">
        <v>6876</v>
      </c>
      <c r="K3353" t="s">
        <v>44</v>
      </c>
      <c r="N3353" t="s">
        <v>45</v>
      </c>
      <c r="O3353" t="s">
        <v>46</v>
      </c>
      <c r="P3353" t="s">
        <v>45</v>
      </c>
      <c r="Q3353" t="s">
        <v>47</v>
      </c>
      <c r="R3353" t="s">
        <v>44</v>
      </c>
      <c r="S3353">
        <v>0</v>
      </c>
      <c r="W3353" s="3">
        <v>6.7129629629629625E-4</v>
      </c>
      <c r="X3353" t="s">
        <v>6877</v>
      </c>
      <c r="Y3353">
        <v>3</v>
      </c>
      <c r="Z3353">
        <v>1</v>
      </c>
      <c r="AA3353" t="s">
        <v>6878</v>
      </c>
      <c r="AB3353">
        <v>39</v>
      </c>
      <c r="AC3353" t="s">
        <v>49</v>
      </c>
      <c r="AD3353">
        <v>0</v>
      </c>
      <c r="AE3353">
        <v>10579393</v>
      </c>
      <c r="AF3353" t="s">
        <v>50</v>
      </c>
      <c r="AG3353" t="s">
        <v>5698</v>
      </c>
    </row>
    <row r="3354" spans="1:33" x14ac:dyDescent="0.35">
      <c r="A3354" s="1">
        <v>44733.709722222222</v>
      </c>
      <c r="B3354">
        <v>1074773</v>
      </c>
      <c r="C3354" t="s">
        <v>6879</v>
      </c>
      <c r="D3354" t="s">
        <v>76</v>
      </c>
      <c r="E3354" s="2">
        <v>37526</v>
      </c>
      <c r="F3354" t="str">
        <f>"9781136133060"</f>
        <v>9781136133060</v>
      </c>
      <c r="G3354" t="str">
        <f>"9780700717316"</f>
        <v>9780700717316</v>
      </c>
      <c r="H3354" t="s">
        <v>162</v>
      </c>
      <c r="I3354" t="s">
        <v>5323</v>
      </c>
      <c r="J3354" t="s">
        <v>6880</v>
      </c>
      <c r="K3354" t="s">
        <v>44</v>
      </c>
      <c r="N3354" t="s">
        <v>45</v>
      </c>
      <c r="O3354" t="s">
        <v>46</v>
      </c>
      <c r="P3354" t="s">
        <v>45</v>
      </c>
      <c r="Q3354" t="s">
        <v>47</v>
      </c>
      <c r="R3354" t="s">
        <v>44</v>
      </c>
      <c r="S3354">
        <v>0</v>
      </c>
      <c r="W3354" s="3">
        <v>7.6388888888888893E-4</v>
      </c>
      <c r="X3354" t="s">
        <v>6881</v>
      </c>
      <c r="Y3354">
        <v>6</v>
      </c>
      <c r="Z3354">
        <v>1</v>
      </c>
      <c r="AA3354" t="s">
        <v>6882</v>
      </c>
      <c r="AB3354">
        <v>13</v>
      </c>
      <c r="AC3354" t="s">
        <v>49</v>
      </c>
      <c r="AD3354">
        <v>0</v>
      </c>
      <c r="AE3354">
        <v>10630189</v>
      </c>
      <c r="AF3354" t="s">
        <v>50</v>
      </c>
      <c r="AG3354" t="s">
        <v>5698</v>
      </c>
    </row>
    <row r="3355" spans="1:33" x14ac:dyDescent="0.35">
      <c r="A3355" s="1">
        <v>44733.709027777775</v>
      </c>
      <c r="B3355">
        <v>3420994</v>
      </c>
      <c r="C3355" t="s">
        <v>6874</v>
      </c>
      <c r="D3355" t="s">
        <v>347</v>
      </c>
      <c r="E3355" s="2">
        <v>40316</v>
      </c>
      <c r="F3355" t="str">
        <f>"9780300159141"</f>
        <v>9780300159141</v>
      </c>
      <c r="G3355" t="str">
        <f>"9780300159110"</f>
        <v>9780300159110</v>
      </c>
      <c r="H3355" t="s">
        <v>162</v>
      </c>
      <c r="I3355" t="s">
        <v>6875</v>
      </c>
      <c r="J3355" t="s">
        <v>6876</v>
      </c>
      <c r="K3355" t="s">
        <v>44</v>
      </c>
      <c r="N3355" t="s">
        <v>45</v>
      </c>
      <c r="O3355" t="s">
        <v>46</v>
      </c>
      <c r="P3355" t="s">
        <v>45</v>
      </c>
      <c r="Q3355" t="s">
        <v>47</v>
      </c>
      <c r="R3355" t="s">
        <v>44</v>
      </c>
      <c r="S3355">
        <v>0</v>
      </c>
      <c r="W3355" s="3">
        <v>4.9768518518518521E-4</v>
      </c>
      <c r="X3355" t="s">
        <v>6883</v>
      </c>
      <c r="Y3355">
        <v>4</v>
      </c>
      <c r="Z3355">
        <v>1</v>
      </c>
      <c r="AA3355" t="s">
        <v>6878</v>
      </c>
      <c r="AB3355">
        <v>39</v>
      </c>
      <c r="AC3355" t="s">
        <v>49</v>
      </c>
      <c r="AD3355">
        <v>0</v>
      </c>
      <c r="AE3355">
        <v>10579393</v>
      </c>
      <c r="AF3355" t="s">
        <v>50</v>
      </c>
      <c r="AG3355" t="s">
        <v>6655</v>
      </c>
    </row>
    <row r="3356" spans="1:33" x14ac:dyDescent="0.35">
      <c r="A3356" s="1">
        <v>44733.703472222223</v>
      </c>
      <c r="B3356">
        <v>957786</v>
      </c>
      <c r="C3356" t="s">
        <v>6884</v>
      </c>
      <c r="D3356" t="s">
        <v>76</v>
      </c>
      <c r="E3356" s="2">
        <v>40505</v>
      </c>
      <c r="F3356" t="str">
        <f>"9780203841822"</f>
        <v>9780203841822</v>
      </c>
      <c r="G3356" t="str">
        <f>"9780415781466"</f>
        <v>9780415781466</v>
      </c>
      <c r="H3356" t="s">
        <v>162</v>
      </c>
      <c r="I3356" t="s">
        <v>2910</v>
      </c>
      <c r="J3356" t="s">
        <v>6885</v>
      </c>
      <c r="K3356" t="s">
        <v>44</v>
      </c>
      <c r="N3356" t="s">
        <v>45</v>
      </c>
      <c r="O3356" t="s">
        <v>46</v>
      </c>
      <c r="P3356" t="s">
        <v>45</v>
      </c>
      <c r="Q3356" t="s">
        <v>47</v>
      </c>
      <c r="R3356" t="s">
        <v>44</v>
      </c>
      <c r="S3356">
        <v>0</v>
      </c>
      <c r="W3356" s="3">
        <v>9.3750000000000007E-4</v>
      </c>
      <c r="X3356" t="s">
        <v>6886</v>
      </c>
      <c r="Y3356">
        <v>10</v>
      </c>
      <c r="Z3356">
        <v>0</v>
      </c>
      <c r="AA3356" t="s">
        <v>49</v>
      </c>
      <c r="AB3356">
        <v>0</v>
      </c>
      <c r="AC3356" t="s">
        <v>49</v>
      </c>
      <c r="AD3356">
        <v>0</v>
      </c>
      <c r="AE3356">
        <v>10433398</v>
      </c>
      <c r="AF3356" t="s">
        <v>50</v>
      </c>
      <c r="AG3356" t="s">
        <v>6655</v>
      </c>
    </row>
    <row r="3357" spans="1:33" x14ac:dyDescent="0.35">
      <c r="A3357" s="1">
        <v>44733.695833333331</v>
      </c>
      <c r="B3357">
        <v>4183001</v>
      </c>
      <c r="C3357" t="s">
        <v>6887</v>
      </c>
      <c r="D3357" t="s">
        <v>59</v>
      </c>
      <c r="E3357" s="2">
        <v>42359</v>
      </c>
      <c r="F3357" t="str">
        <f>"9781118972311"</f>
        <v>9781118972311</v>
      </c>
      <c r="G3357" t="str">
        <f>"9781118972304"</f>
        <v>9781118972304</v>
      </c>
      <c r="H3357" t="s">
        <v>162</v>
      </c>
      <c r="I3357">
        <v>297</v>
      </c>
      <c r="J3357" t="s">
        <v>6888</v>
      </c>
      <c r="K3357" t="s">
        <v>44</v>
      </c>
      <c r="N3357" t="s">
        <v>45</v>
      </c>
      <c r="O3357" t="s">
        <v>46</v>
      </c>
      <c r="P3357" t="s">
        <v>45</v>
      </c>
      <c r="Q3357" t="s">
        <v>47</v>
      </c>
      <c r="R3357" t="s">
        <v>44</v>
      </c>
      <c r="S3357">
        <v>0</v>
      </c>
      <c r="W3357" s="3">
        <v>0</v>
      </c>
      <c r="X3357" t="s">
        <v>49</v>
      </c>
      <c r="Y3357">
        <v>0</v>
      </c>
      <c r="Z3357">
        <v>1</v>
      </c>
      <c r="AA3357" t="s">
        <v>6889</v>
      </c>
      <c r="AB3357">
        <v>32</v>
      </c>
      <c r="AC3357" t="s">
        <v>49</v>
      </c>
      <c r="AD3357">
        <v>0</v>
      </c>
      <c r="AE3357">
        <v>11124854</v>
      </c>
      <c r="AF3357" t="s">
        <v>50</v>
      </c>
      <c r="AG3357" t="s">
        <v>6655</v>
      </c>
    </row>
    <row r="3358" spans="1:33" x14ac:dyDescent="0.35">
      <c r="A3358" s="1">
        <v>44733.534722222219</v>
      </c>
      <c r="B3358">
        <v>3111665</v>
      </c>
      <c r="C3358" t="s">
        <v>6890</v>
      </c>
      <c r="D3358" t="s">
        <v>738</v>
      </c>
      <c r="E3358" s="2">
        <v>38893</v>
      </c>
      <c r="F3358" t="str">
        <f>"9781600864650"</f>
        <v>9781600864650</v>
      </c>
      <c r="G3358" t="str">
        <f>"9781563478284"</f>
        <v>9781563478284</v>
      </c>
      <c r="H3358" t="s">
        <v>542</v>
      </c>
      <c r="I3358">
        <v>621.38485000000003</v>
      </c>
      <c r="J3358" t="s">
        <v>6891</v>
      </c>
      <c r="K3358" t="s">
        <v>44</v>
      </c>
      <c r="N3358" t="s">
        <v>45</v>
      </c>
      <c r="O3358" t="s">
        <v>46</v>
      </c>
      <c r="P3358" t="s">
        <v>45</v>
      </c>
      <c r="Q3358" t="s">
        <v>47</v>
      </c>
      <c r="R3358" t="s">
        <v>44</v>
      </c>
      <c r="S3358">
        <v>0</v>
      </c>
      <c r="W3358" s="3">
        <v>7.0601851851851847E-4</v>
      </c>
      <c r="X3358" t="s">
        <v>6892</v>
      </c>
      <c r="Y3358">
        <v>5</v>
      </c>
      <c r="Z3358">
        <v>0</v>
      </c>
      <c r="AA3358" t="s">
        <v>49</v>
      </c>
      <c r="AB3358">
        <v>0</v>
      </c>
      <c r="AC3358" t="s">
        <v>49</v>
      </c>
      <c r="AD3358">
        <v>0</v>
      </c>
      <c r="AE3358">
        <v>10516770</v>
      </c>
      <c r="AF3358" t="s">
        <v>50</v>
      </c>
      <c r="AG3358" t="s">
        <v>6893</v>
      </c>
    </row>
    <row r="3359" spans="1:33" x14ac:dyDescent="0.35">
      <c r="A3359" s="1">
        <v>44733.50277777778</v>
      </c>
      <c r="B3359">
        <v>4205846</v>
      </c>
      <c r="C3359" t="s">
        <v>6894</v>
      </c>
      <c r="D3359" t="s">
        <v>59</v>
      </c>
      <c r="E3359" s="2">
        <v>42368</v>
      </c>
      <c r="F3359" t="str">
        <f>"9781119078425"</f>
        <v>9781119078425</v>
      </c>
      <c r="G3359" t="str">
        <f>"9781119078418"</f>
        <v>9781119078418</v>
      </c>
      <c r="H3359" t="s">
        <v>77</v>
      </c>
      <c r="I3359">
        <v>616.07500000000005</v>
      </c>
      <c r="J3359" t="s">
        <v>6895</v>
      </c>
      <c r="K3359" t="s">
        <v>44</v>
      </c>
      <c r="N3359" t="s">
        <v>45</v>
      </c>
      <c r="O3359" t="s">
        <v>46</v>
      </c>
      <c r="P3359" t="s">
        <v>45</v>
      </c>
      <c r="Q3359" t="s">
        <v>47</v>
      </c>
      <c r="R3359" t="s">
        <v>44</v>
      </c>
      <c r="S3359">
        <v>0</v>
      </c>
      <c r="W3359" s="3">
        <v>1.6620370370370372E-2</v>
      </c>
      <c r="X3359" t="s">
        <v>6896</v>
      </c>
      <c r="Y3359">
        <v>33</v>
      </c>
      <c r="Z3359">
        <v>0</v>
      </c>
      <c r="AA3359" t="s">
        <v>49</v>
      </c>
      <c r="AB3359">
        <v>0</v>
      </c>
      <c r="AC3359" t="s">
        <v>49</v>
      </c>
      <c r="AD3359">
        <v>0</v>
      </c>
      <c r="AE3359">
        <v>11152482</v>
      </c>
      <c r="AF3359" t="s">
        <v>50</v>
      </c>
      <c r="AG3359" t="s">
        <v>6893</v>
      </c>
    </row>
    <row r="3360" spans="1:33" x14ac:dyDescent="0.35">
      <c r="A3360" s="1">
        <v>44733.474999999999</v>
      </c>
      <c r="B3360">
        <v>3420544</v>
      </c>
      <c r="C3360" t="s">
        <v>2447</v>
      </c>
      <c r="D3360" t="s">
        <v>347</v>
      </c>
      <c r="E3360" s="2">
        <v>39931</v>
      </c>
      <c r="F3360" t="str">
        <f>"9780300158854"</f>
        <v>9780300158854</v>
      </c>
      <c r="G3360" t="str">
        <f>"9780300139310"</f>
        <v>9780300139310</v>
      </c>
      <c r="H3360" t="s">
        <v>1984</v>
      </c>
      <c r="I3360" t="s">
        <v>2448</v>
      </c>
      <c r="J3360" t="s">
        <v>2449</v>
      </c>
      <c r="K3360" t="s">
        <v>44</v>
      </c>
      <c r="N3360" t="s">
        <v>45</v>
      </c>
      <c r="O3360" t="s">
        <v>46</v>
      </c>
      <c r="P3360" t="s">
        <v>45</v>
      </c>
      <c r="Q3360" t="s">
        <v>47</v>
      </c>
      <c r="R3360" t="s">
        <v>44</v>
      </c>
      <c r="S3360">
        <v>0</v>
      </c>
      <c r="W3360" s="3">
        <v>2.8935185185185189E-4</v>
      </c>
      <c r="X3360" t="s">
        <v>6897</v>
      </c>
      <c r="Y3360">
        <v>3</v>
      </c>
      <c r="Z3360">
        <v>0</v>
      </c>
      <c r="AA3360" t="s">
        <v>49</v>
      </c>
      <c r="AB3360">
        <v>0</v>
      </c>
      <c r="AC3360" t="s">
        <v>49</v>
      </c>
      <c r="AD3360">
        <v>0</v>
      </c>
      <c r="AE3360">
        <v>10348439</v>
      </c>
      <c r="AF3360" t="s">
        <v>50</v>
      </c>
      <c r="AG3360" t="s">
        <v>493</v>
      </c>
    </row>
    <row r="3361" spans="1:33" x14ac:dyDescent="0.35">
      <c r="A3361" s="1">
        <v>44733.474999999999</v>
      </c>
      <c r="B3361">
        <v>3239806</v>
      </c>
      <c r="C3361" t="s">
        <v>6898</v>
      </c>
      <c r="D3361" t="s">
        <v>6899</v>
      </c>
      <c r="E3361" s="2">
        <v>42186</v>
      </c>
      <c r="F3361" t="str">
        <f>"9780823251247"</f>
        <v>9780823251247</v>
      </c>
      <c r="G3361" t="str">
        <f>"9780823251230"</f>
        <v>9780823251230</v>
      </c>
      <c r="H3361" t="s">
        <v>162</v>
      </c>
      <c r="I3361" t="s">
        <v>6900</v>
      </c>
      <c r="J3361" t="s">
        <v>6901</v>
      </c>
      <c r="K3361" t="s">
        <v>44</v>
      </c>
      <c r="N3361" t="s">
        <v>45</v>
      </c>
      <c r="O3361" t="s">
        <v>46</v>
      </c>
      <c r="P3361" t="s">
        <v>45</v>
      </c>
      <c r="Q3361" t="s">
        <v>47</v>
      </c>
      <c r="R3361" t="s">
        <v>44</v>
      </c>
      <c r="S3361">
        <v>0</v>
      </c>
      <c r="W3361" s="3">
        <v>3.4722222222222222E-5</v>
      </c>
      <c r="X3361" t="s">
        <v>121</v>
      </c>
      <c r="Y3361">
        <v>1</v>
      </c>
      <c r="Z3361">
        <v>0</v>
      </c>
      <c r="AA3361" t="s">
        <v>49</v>
      </c>
      <c r="AB3361">
        <v>0</v>
      </c>
      <c r="AC3361" t="s">
        <v>49</v>
      </c>
      <c r="AD3361">
        <v>0</v>
      </c>
      <c r="AE3361">
        <v>10687099</v>
      </c>
      <c r="AF3361" t="s">
        <v>50</v>
      </c>
      <c r="AG3361" t="s">
        <v>493</v>
      </c>
    </row>
    <row r="3362" spans="1:33" x14ac:dyDescent="0.35">
      <c r="A3362" s="1">
        <v>44733.474999999999</v>
      </c>
      <c r="B3362">
        <v>2077750</v>
      </c>
      <c r="C3362" t="s">
        <v>6811</v>
      </c>
      <c r="D3362" t="s">
        <v>2919</v>
      </c>
      <c r="E3362" s="2">
        <v>42187</v>
      </c>
      <c r="F3362" t="str">
        <f>"9780860376958"</f>
        <v>9780860376958</v>
      </c>
      <c r="G3362" t="str">
        <f>""</f>
        <v/>
      </c>
      <c r="H3362" t="s">
        <v>162</v>
      </c>
      <c r="I3362">
        <v>297.2</v>
      </c>
      <c r="J3362" t="s">
        <v>6812</v>
      </c>
      <c r="K3362" t="s">
        <v>44</v>
      </c>
      <c r="N3362" t="s">
        <v>45</v>
      </c>
      <c r="O3362" t="s">
        <v>46</v>
      </c>
      <c r="P3362" t="s">
        <v>45</v>
      </c>
      <c r="Q3362" t="s">
        <v>47</v>
      </c>
      <c r="R3362" t="s">
        <v>44</v>
      </c>
      <c r="S3362">
        <v>0</v>
      </c>
      <c r="W3362" s="3">
        <v>4.2708333333333339E-3</v>
      </c>
      <c r="X3362" t="s">
        <v>6902</v>
      </c>
      <c r="Y3362">
        <v>5</v>
      </c>
      <c r="Z3362">
        <v>0</v>
      </c>
      <c r="AA3362" t="s">
        <v>49</v>
      </c>
      <c r="AB3362">
        <v>0</v>
      </c>
      <c r="AC3362" t="s">
        <v>49</v>
      </c>
      <c r="AD3362">
        <v>0</v>
      </c>
      <c r="AE3362">
        <v>11077357</v>
      </c>
      <c r="AF3362" t="s">
        <v>50</v>
      </c>
      <c r="AG3362" t="s">
        <v>493</v>
      </c>
    </row>
    <row r="3363" spans="1:33" x14ac:dyDescent="0.35">
      <c r="A3363" s="1">
        <v>44733.474999999999</v>
      </c>
      <c r="B3363">
        <v>4649182</v>
      </c>
      <c r="C3363" t="s">
        <v>6903</v>
      </c>
      <c r="D3363" t="s">
        <v>2817</v>
      </c>
      <c r="E3363" s="2">
        <v>42213</v>
      </c>
      <c r="F3363" t="str">
        <f>"9780815653448"</f>
        <v>9780815653448</v>
      </c>
      <c r="G3363" t="str">
        <f>"9780815634102"</f>
        <v>9780815634102</v>
      </c>
      <c r="H3363" t="s">
        <v>900</v>
      </c>
      <c r="I3363">
        <v>330.95357000000001</v>
      </c>
      <c r="J3363" t="s">
        <v>6904</v>
      </c>
      <c r="K3363" t="s">
        <v>44</v>
      </c>
      <c r="N3363" t="s">
        <v>45</v>
      </c>
      <c r="O3363" t="s">
        <v>46</v>
      </c>
      <c r="P3363" t="s">
        <v>45</v>
      </c>
      <c r="Q3363" t="s">
        <v>47</v>
      </c>
      <c r="R3363" t="s">
        <v>44</v>
      </c>
      <c r="S3363">
        <v>0</v>
      </c>
      <c r="W3363" s="3">
        <v>3.2523148148148151E-3</v>
      </c>
      <c r="X3363" t="s">
        <v>1715</v>
      </c>
      <c r="Y3363">
        <v>5</v>
      </c>
      <c r="Z3363">
        <v>0</v>
      </c>
      <c r="AA3363" t="s">
        <v>49</v>
      </c>
      <c r="AB3363">
        <v>0</v>
      </c>
      <c r="AC3363" t="s">
        <v>49</v>
      </c>
      <c r="AD3363">
        <v>0</v>
      </c>
      <c r="AE3363">
        <v>11250063</v>
      </c>
      <c r="AF3363" t="s">
        <v>50</v>
      </c>
      <c r="AG3363" t="s">
        <v>493</v>
      </c>
    </row>
    <row r="3364" spans="1:33" x14ac:dyDescent="0.35">
      <c r="A3364" s="1">
        <v>44733.474999999999</v>
      </c>
      <c r="B3364">
        <v>1877212</v>
      </c>
      <c r="C3364" t="s">
        <v>6905</v>
      </c>
      <c r="D3364" t="s">
        <v>473</v>
      </c>
      <c r="E3364" s="2">
        <v>41971</v>
      </c>
      <c r="F3364" t="str">
        <f>"9789004282537"</f>
        <v>9789004282537</v>
      </c>
      <c r="G3364" t="str">
        <f>"9789004282520"</f>
        <v>9789004282520</v>
      </c>
      <c r="H3364" t="s">
        <v>353</v>
      </c>
      <c r="I3364" t="s">
        <v>6906</v>
      </c>
      <c r="J3364" t="s">
        <v>6907</v>
      </c>
      <c r="K3364" t="s">
        <v>44</v>
      </c>
      <c r="N3364" t="s">
        <v>45</v>
      </c>
      <c r="O3364" t="s">
        <v>46</v>
      </c>
      <c r="P3364" t="s">
        <v>45</v>
      </c>
      <c r="Q3364" t="s">
        <v>47</v>
      </c>
      <c r="R3364" t="s">
        <v>44</v>
      </c>
      <c r="S3364">
        <v>0</v>
      </c>
      <c r="W3364" s="3">
        <v>2.2916666666666667E-3</v>
      </c>
      <c r="X3364" t="s">
        <v>593</v>
      </c>
      <c r="Y3364">
        <v>2</v>
      </c>
      <c r="Z3364">
        <v>0</v>
      </c>
      <c r="AA3364" t="s">
        <v>49</v>
      </c>
      <c r="AB3364">
        <v>0</v>
      </c>
      <c r="AC3364" t="s">
        <v>49</v>
      </c>
      <c r="AD3364">
        <v>0</v>
      </c>
      <c r="AE3364">
        <v>10992564</v>
      </c>
      <c r="AF3364" t="s">
        <v>50</v>
      </c>
      <c r="AG3364" t="s">
        <v>493</v>
      </c>
    </row>
    <row r="3365" spans="1:33" x14ac:dyDescent="0.35">
      <c r="A3365" s="1">
        <v>44733.474999999999</v>
      </c>
      <c r="B3365">
        <v>351636</v>
      </c>
      <c r="C3365" t="s">
        <v>6908</v>
      </c>
      <c r="D3365" t="s">
        <v>59</v>
      </c>
      <c r="E3365" s="2">
        <v>39426</v>
      </c>
      <c r="F3365" t="str">
        <f>"9780470724101"</f>
        <v>9780470724101</v>
      </c>
      <c r="G3365" t="str">
        <f>"9780470030691"</f>
        <v>9780470030691</v>
      </c>
      <c r="H3365" t="s">
        <v>900</v>
      </c>
      <c r="I3365" t="s">
        <v>6909</v>
      </c>
      <c r="J3365" t="s">
        <v>6910</v>
      </c>
      <c r="K3365" t="s">
        <v>44</v>
      </c>
      <c r="N3365" t="s">
        <v>45</v>
      </c>
      <c r="O3365" t="s">
        <v>46</v>
      </c>
      <c r="P3365" t="s">
        <v>45</v>
      </c>
      <c r="Q3365" t="s">
        <v>47</v>
      </c>
      <c r="R3365" t="s">
        <v>44</v>
      </c>
      <c r="S3365">
        <v>0</v>
      </c>
      <c r="W3365" s="3">
        <v>1.6550925925925926E-3</v>
      </c>
      <c r="X3365" t="s">
        <v>205</v>
      </c>
      <c r="Y3365">
        <v>2</v>
      </c>
      <c r="Z3365">
        <v>0</v>
      </c>
      <c r="AA3365" t="s">
        <v>49</v>
      </c>
      <c r="AB3365">
        <v>0</v>
      </c>
      <c r="AC3365" t="s">
        <v>49</v>
      </c>
      <c r="AD3365">
        <v>0</v>
      </c>
      <c r="AE3365">
        <v>10233239</v>
      </c>
      <c r="AF3365" t="s">
        <v>50</v>
      </c>
      <c r="AG3365" t="s">
        <v>493</v>
      </c>
    </row>
    <row r="3366" spans="1:33" x14ac:dyDescent="0.35">
      <c r="A3366" s="1">
        <v>44733.474999999999</v>
      </c>
      <c r="B3366">
        <v>258142</v>
      </c>
      <c r="C3366" t="s">
        <v>6807</v>
      </c>
      <c r="D3366" t="s">
        <v>844</v>
      </c>
      <c r="E3366" s="2">
        <v>38779</v>
      </c>
      <c r="F3366" t="str">
        <f>"9781845449216"</f>
        <v>9781845449216</v>
      </c>
      <c r="G3366" t="str">
        <f>"9781845449209"</f>
        <v>9781845449209</v>
      </c>
      <c r="H3366" t="s">
        <v>133</v>
      </c>
      <c r="I3366" t="s">
        <v>6808</v>
      </c>
      <c r="J3366" t="s">
        <v>6809</v>
      </c>
      <c r="K3366" t="s">
        <v>44</v>
      </c>
      <c r="N3366" t="s">
        <v>45</v>
      </c>
      <c r="O3366" t="s">
        <v>46</v>
      </c>
      <c r="P3366" t="s">
        <v>45</v>
      </c>
      <c r="Q3366" t="s">
        <v>47</v>
      </c>
      <c r="R3366" t="s">
        <v>44</v>
      </c>
      <c r="S3366">
        <v>0</v>
      </c>
      <c r="W3366" s="3">
        <v>1.4699074074074074E-3</v>
      </c>
      <c r="X3366" t="s">
        <v>6911</v>
      </c>
      <c r="Y3366">
        <v>3</v>
      </c>
      <c r="Z3366">
        <v>0</v>
      </c>
      <c r="AA3366" t="s">
        <v>49</v>
      </c>
      <c r="AB3366">
        <v>0</v>
      </c>
      <c r="AC3366" t="s">
        <v>49</v>
      </c>
      <c r="AD3366">
        <v>0</v>
      </c>
      <c r="AE3366">
        <v>10120682</v>
      </c>
      <c r="AF3366" t="s">
        <v>50</v>
      </c>
      <c r="AG3366" t="s">
        <v>493</v>
      </c>
    </row>
    <row r="3367" spans="1:33" x14ac:dyDescent="0.35">
      <c r="A3367" s="1">
        <v>44733.474999999999</v>
      </c>
      <c r="B3367">
        <v>3050326</v>
      </c>
      <c r="C3367" t="s">
        <v>6912</v>
      </c>
      <c r="D3367" t="s">
        <v>6913</v>
      </c>
      <c r="E3367" s="2">
        <v>36266</v>
      </c>
      <c r="F3367" t="str">
        <f>"9780889208551"</f>
        <v>9780889208551</v>
      </c>
      <c r="G3367" t="str">
        <f>"9780889203259"</f>
        <v>9780889203259</v>
      </c>
      <c r="H3367" t="s">
        <v>77</v>
      </c>
      <c r="J3367" t="s">
        <v>6914</v>
      </c>
      <c r="K3367" t="s">
        <v>44</v>
      </c>
      <c r="N3367" t="s">
        <v>45</v>
      </c>
      <c r="O3367" t="s">
        <v>46</v>
      </c>
      <c r="P3367" t="s">
        <v>45</v>
      </c>
      <c r="Q3367" t="s">
        <v>47</v>
      </c>
      <c r="R3367" t="s">
        <v>44</v>
      </c>
      <c r="S3367">
        <v>0</v>
      </c>
      <c r="W3367" s="3">
        <v>9.4907407407407408E-4</v>
      </c>
      <c r="X3367" t="s">
        <v>6915</v>
      </c>
      <c r="Y3367">
        <v>2</v>
      </c>
      <c r="Z3367">
        <v>0</v>
      </c>
      <c r="AA3367" t="s">
        <v>49</v>
      </c>
      <c r="AB3367">
        <v>0</v>
      </c>
      <c r="AC3367" t="s">
        <v>49</v>
      </c>
      <c r="AD3367">
        <v>0</v>
      </c>
      <c r="AE3367">
        <v>10147354</v>
      </c>
      <c r="AF3367" t="s">
        <v>50</v>
      </c>
      <c r="AG3367" t="s">
        <v>493</v>
      </c>
    </row>
    <row r="3368" spans="1:33" x14ac:dyDescent="0.35">
      <c r="A3368" s="1">
        <v>44733.419444444444</v>
      </c>
      <c r="B3368">
        <v>4205846</v>
      </c>
      <c r="C3368" t="s">
        <v>6894</v>
      </c>
      <c r="D3368" t="s">
        <v>59</v>
      </c>
      <c r="E3368" s="2">
        <v>42368</v>
      </c>
      <c r="F3368" t="str">
        <f>"9781119078425"</f>
        <v>9781119078425</v>
      </c>
      <c r="G3368" t="str">
        <f>"9781119078418"</f>
        <v>9781119078418</v>
      </c>
      <c r="H3368" t="s">
        <v>77</v>
      </c>
      <c r="I3368">
        <v>616.07500000000005</v>
      </c>
      <c r="J3368" t="s">
        <v>6895</v>
      </c>
      <c r="K3368" t="s">
        <v>44</v>
      </c>
      <c r="N3368" t="s">
        <v>45</v>
      </c>
      <c r="O3368" t="s">
        <v>46</v>
      </c>
      <c r="P3368" t="s">
        <v>45</v>
      </c>
      <c r="Q3368" t="s">
        <v>47</v>
      </c>
      <c r="R3368" t="s">
        <v>44</v>
      </c>
      <c r="S3368">
        <v>0</v>
      </c>
      <c r="W3368" s="3">
        <v>8.5879629629629622E-3</v>
      </c>
      <c r="X3368" t="s">
        <v>6916</v>
      </c>
      <c r="Y3368">
        <v>25</v>
      </c>
      <c r="Z3368">
        <v>1</v>
      </c>
      <c r="AA3368" t="s">
        <v>6917</v>
      </c>
      <c r="AB3368">
        <v>3</v>
      </c>
      <c r="AC3368" t="s">
        <v>6918</v>
      </c>
      <c r="AD3368">
        <v>1</v>
      </c>
      <c r="AE3368">
        <v>11152482</v>
      </c>
      <c r="AF3368" t="s">
        <v>50</v>
      </c>
      <c r="AG3368" t="s">
        <v>6893</v>
      </c>
    </row>
    <row r="3369" spans="1:33" x14ac:dyDescent="0.35">
      <c r="A3369" s="1">
        <v>44733.383333333331</v>
      </c>
      <c r="B3369">
        <v>1209554</v>
      </c>
      <c r="C3369" t="s">
        <v>6919</v>
      </c>
      <c r="D3369" t="s">
        <v>76</v>
      </c>
      <c r="E3369" s="2">
        <v>41425</v>
      </c>
      <c r="F3369" t="str">
        <f>"9781134609987"</f>
        <v>9781134609987</v>
      </c>
      <c r="G3369" t="str">
        <f>"9780415830812"</f>
        <v>9780415830812</v>
      </c>
      <c r="H3369" t="s">
        <v>712</v>
      </c>
      <c r="I3369">
        <v>340.59</v>
      </c>
      <c r="J3369" t="s">
        <v>6920</v>
      </c>
      <c r="K3369" t="s">
        <v>44</v>
      </c>
      <c r="N3369" t="s">
        <v>45</v>
      </c>
      <c r="O3369" t="s">
        <v>46</v>
      </c>
      <c r="P3369" t="s">
        <v>45</v>
      </c>
      <c r="Q3369" t="s">
        <v>47</v>
      </c>
      <c r="R3369" t="s">
        <v>44</v>
      </c>
      <c r="S3369">
        <v>0</v>
      </c>
      <c r="W3369" s="3">
        <v>3.1250000000000001E-4</v>
      </c>
      <c r="X3369" t="s">
        <v>6921</v>
      </c>
      <c r="Y3369">
        <v>3</v>
      </c>
      <c r="Z3369">
        <v>0</v>
      </c>
      <c r="AA3369" t="s">
        <v>49</v>
      </c>
      <c r="AB3369">
        <v>0</v>
      </c>
      <c r="AC3369" t="s">
        <v>49</v>
      </c>
      <c r="AD3369">
        <v>0</v>
      </c>
      <c r="AE3369">
        <v>10716357</v>
      </c>
      <c r="AF3369" t="s">
        <v>50</v>
      </c>
      <c r="AG3369" t="s">
        <v>1476</v>
      </c>
    </row>
    <row r="3370" spans="1:33" x14ac:dyDescent="0.35">
      <c r="A3370" s="1">
        <v>44733.379861111112</v>
      </c>
      <c r="B3370">
        <v>547817</v>
      </c>
      <c r="C3370" t="s">
        <v>6458</v>
      </c>
      <c r="D3370" t="s">
        <v>6459</v>
      </c>
      <c r="E3370" s="2">
        <v>39417</v>
      </c>
      <c r="F3370" t="str">
        <f>"9781589014633"</f>
        <v>9781589014633</v>
      </c>
      <c r="G3370" t="str">
        <f>"9781589011847"</f>
        <v>9781589011847</v>
      </c>
      <c r="H3370" t="s">
        <v>162</v>
      </c>
      <c r="I3370" t="s">
        <v>2910</v>
      </c>
      <c r="J3370" t="s">
        <v>6460</v>
      </c>
      <c r="K3370" t="s">
        <v>44</v>
      </c>
      <c r="N3370" t="s">
        <v>45</v>
      </c>
      <c r="O3370" t="s">
        <v>46</v>
      </c>
      <c r="P3370" t="s">
        <v>45</v>
      </c>
      <c r="Q3370" t="s">
        <v>47</v>
      </c>
      <c r="R3370" t="s">
        <v>44</v>
      </c>
      <c r="S3370">
        <v>0</v>
      </c>
      <c r="W3370" s="3">
        <v>3.1250000000000001E-4</v>
      </c>
      <c r="X3370" t="s">
        <v>56</v>
      </c>
      <c r="Y3370">
        <v>3</v>
      </c>
      <c r="Z3370">
        <v>0</v>
      </c>
      <c r="AA3370" t="s">
        <v>49</v>
      </c>
      <c r="AB3370">
        <v>0</v>
      </c>
      <c r="AC3370" t="s">
        <v>49</v>
      </c>
      <c r="AD3370">
        <v>0</v>
      </c>
      <c r="AE3370">
        <v>10236729</v>
      </c>
      <c r="AF3370" t="s">
        <v>50</v>
      </c>
      <c r="AG3370" t="s">
        <v>6551</v>
      </c>
    </row>
    <row r="3371" spans="1:33" x14ac:dyDescent="0.35">
      <c r="A3371" s="1">
        <v>44733.379861111112</v>
      </c>
      <c r="B3371">
        <v>547817</v>
      </c>
      <c r="C3371" t="s">
        <v>6458</v>
      </c>
      <c r="D3371" t="s">
        <v>6459</v>
      </c>
      <c r="E3371" s="2">
        <v>39417</v>
      </c>
      <c r="F3371" t="str">
        <f>"9781589014633"</f>
        <v>9781589014633</v>
      </c>
      <c r="G3371" t="str">
        <f>"9781589011847"</f>
        <v>9781589011847</v>
      </c>
      <c r="H3371" t="s">
        <v>162</v>
      </c>
      <c r="I3371" t="s">
        <v>2910</v>
      </c>
      <c r="J3371" t="s">
        <v>6460</v>
      </c>
      <c r="K3371" t="s">
        <v>44</v>
      </c>
      <c r="N3371" t="s">
        <v>45</v>
      </c>
      <c r="O3371" t="s">
        <v>46</v>
      </c>
      <c r="P3371" t="s">
        <v>45</v>
      </c>
      <c r="Q3371" t="s">
        <v>47</v>
      </c>
      <c r="R3371" t="s">
        <v>44</v>
      </c>
      <c r="S3371">
        <v>0</v>
      </c>
      <c r="W3371" s="3">
        <v>1.1689814814814816E-3</v>
      </c>
      <c r="X3371" t="s">
        <v>6922</v>
      </c>
      <c r="Y3371">
        <v>13</v>
      </c>
      <c r="Z3371">
        <v>0</v>
      </c>
      <c r="AA3371" t="s">
        <v>49</v>
      </c>
      <c r="AB3371">
        <v>0</v>
      </c>
      <c r="AC3371" t="s">
        <v>49</v>
      </c>
      <c r="AD3371">
        <v>0</v>
      </c>
      <c r="AE3371">
        <v>10236729</v>
      </c>
      <c r="AF3371" t="s">
        <v>50</v>
      </c>
      <c r="AG3371" t="s">
        <v>1476</v>
      </c>
    </row>
    <row r="3372" spans="1:33" x14ac:dyDescent="0.35">
      <c r="A3372" s="1">
        <v>44732.568055555559</v>
      </c>
      <c r="B3372">
        <v>4772287</v>
      </c>
      <c r="C3372" t="s">
        <v>6923</v>
      </c>
      <c r="D3372" t="s">
        <v>59</v>
      </c>
      <c r="E3372" s="2">
        <v>42752</v>
      </c>
      <c r="F3372" t="str">
        <f>"9781118827765"</f>
        <v>9781118827765</v>
      </c>
      <c r="G3372" t="str">
        <f>"9781118827796"</f>
        <v>9781118827796</v>
      </c>
      <c r="H3372" t="s">
        <v>538</v>
      </c>
      <c r="I3372">
        <v>629.13499999999999</v>
      </c>
      <c r="J3372" t="s">
        <v>6924</v>
      </c>
      <c r="K3372" t="s">
        <v>44</v>
      </c>
      <c r="N3372" t="s">
        <v>45</v>
      </c>
      <c r="O3372" t="s">
        <v>46</v>
      </c>
      <c r="P3372" t="s">
        <v>45</v>
      </c>
      <c r="Q3372" t="s">
        <v>47</v>
      </c>
      <c r="R3372" t="s">
        <v>44</v>
      </c>
      <c r="S3372">
        <v>0</v>
      </c>
      <c r="W3372" s="3">
        <v>3.2407407407407406E-4</v>
      </c>
      <c r="X3372" t="s">
        <v>121</v>
      </c>
      <c r="Y3372">
        <v>1</v>
      </c>
      <c r="Z3372">
        <v>0</v>
      </c>
      <c r="AA3372" t="s">
        <v>49</v>
      </c>
      <c r="AB3372">
        <v>0</v>
      </c>
      <c r="AC3372" t="s">
        <v>49</v>
      </c>
      <c r="AD3372">
        <v>0</v>
      </c>
      <c r="AE3372">
        <v>11319736</v>
      </c>
      <c r="AF3372" t="s">
        <v>50</v>
      </c>
      <c r="AG3372" t="s">
        <v>6551</v>
      </c>
    </row>
    <row r="3373" spans="1:33" x14ac:dyDescent="0.35">
      <c r="A3373" s="1">
        <v>44732.434027777781</v>
      </c>
      <c r="B3373">
        <v>2056914</v>
      </c>
      <c r="C3373" t="s">
        <v>6925</v>
      </c>
      <c r="D3373" t="s">
        <v>65</v>
      </c>
      <c r="E3373" s="2">
        <v>42138</v>
      </c>
      <c r="F3373" t="str">
        <f>"9780128025918"</f>
        <v>9780128025918</v>
      </c>
      <c r="G3373" t="str">
        <f>"9780128024638"</f>
        <v>9780128024638</v>
      </c>
      <c r="H3373" t="s">
        <v>546</v>
      </c>
      <c r="I3373">
        <v>621.36699999999996</v>
      </c>
      <c r="J3373" t="s">
        <v>6926</v>
      </c>
      <c r="K3373" t="s">
        <v>44</v>
      </c>
      <c r="N3373" t="s">
        <v>45</v>
      </c>
      <c r="O3373" t="s">
        <v>46</v>
      </c>
      <c r="P3373" t="s">
        <v>45</v>
      </c>
      <c r="Q3373" t="s">
        <v>47</v>
      </c>
      <c r="R3373" t="s">
        <v>44</v>
      </c>
      <c r="S3373">
        <v>0</v>
      </c>
      <c r="W3373" s="3">
        <v>3.37962962962963E-3</v>
      </c>
      <c r="X3373" t="s">
        <v>6927</v>
      </c>
      <c r="Y3373">
        <v>44</v>
      </c>
      <c r="Z3373">
        <v>0</v>
      </c>
      <c r="AA3373" t="s">
        <v>49</v>
      </c>
      <c r="AB3373">
        <v>0</v>
      </c>
      <c r="AC3373" t="s">
        <v>49</v>
      </c>
      <c r="AD3373">
        <v>0</v>
      </c>
      <c r="AE3373">
        <v>11058678</v>
      </c>
      <c r="AF3373" t="s">
        <v>50</v>
      </c>
      <c r="AG3373" t="s">
        <v>6928</v>
      </c>
    </row>
    <row r="3374" spans="1:33" x14ac:dyDescent="0.35">
      <c r="A3374" s="1">
        <v>44732.424305555556</v>
      </c>
      <c r="B3374">
        <v>6821504</v>
      </c>
      <c r="C3374" t="s">
        <v>1005</v>
      </c>
      <c r="D3374" t="s">
        <v>213</v>
      </c>
      <c r="E3374" s="2">
        <v>44536</v>
      </c>
      <c r="F3374" t="str">
        <f>"9780128210796"</f>
        <v>9780128210796</v>
      </c>
      <c r="G3374" t="str">
        <f>"9780128210789"</f>
        <v>9780128210789</v>
      </c>
      <c r="H3374" t="s">
        <v>1006</v>
      </c>
      <c r="I3374">
        <v>668.9</v>
      </c>
      <c r="J3374" t="s">
        <v>1007</v>
      </c>
      <c r="K3374" t="s">
        <v>55</v>
      </c>
      <c r="N3374" t="s">
        <v>79</v>
      </c>
      <c r="P3374" t="s">
        <v>80</v>
      </c>
      <c r="Q3374" t="s">
        <v>47</v>
      </c>
      <c r="R3374" t="s">
        <v>44</v>
      </c>
      <c r="S3374">
        <v>1</v>
      </c>
      <c r="T3374">
        <v>90</v>
      </c>
      <c r="U3374" s="1">
        <v>44732.424305555556</v>
      </c>
      <c r="V3374" s="1">
        <v>44822.424305555556</v>
      </c>
      <c r="W3374" s="3">
        <v>0</v>
      </c>
      <c r="X3374" t="s">
        <v>49</v>
      </c>
      <c r="Y3374">
        <v>0</v>
      </c>
      <c r="Z3374">
        <v>6</v>
      </c>
      <c r="AA3374" t="s">
        <v>6929</v>
      </c>
      <c r="AB3374">
        <v>14</v>
      </c>
      <c r="AC3374" t="s">
        <v>49</v>
      </c>
      <c r="AD3374">
        <v>0</v>
      </c>
      <c r="AE3374">
        <v>-1</v>
      </c>
      <c r="AF3374" t="s">
        <v>63</v>
      </c>
      <c r="AG3374" t="s">
        <v>6551</v>
      </c>
    </row>
    <row r="3375" spans="1:33" x14ac:dyDescent="0.35">
      <c r="A3375" s="1">
        <v>44732.012499999997</v>
      </c>
      <c r="B3375">
        <v>5288034</v>
      </c>
      <c r="C3375" t="s">
        <v>6930</v>
      </c>
      <c r="D3375" t="s">
        <v>430</v>
      </c>
      <c r="E3375" s="2">
        <v>41061</v>
      </c>
      <c r="F3375" t="str">
        <f>"9781783322527"</f>
        <v>9781783322527</v>
      </c>
      <c r="G3375" t="str">
        <f>"9781842654002"</f>
        <v>9781842654002</v>
      </c>
      <c r="H3375" t="s">
        <v>43</v>
      </c>
      <c r="I3375">
        <v>512.5</v>
      </c>
      <c r="J3375" t="s">
        <v>6931</v>
      </c>
      <c r="K3375" t="s">
        <v>44</v>
      </c>
      <c r="N3375" t="s">
        <v>45</v>
      </c>
      <c r="O3375" t="s">
        <v>46</v>
      </c>
      <c r="P3375" t="s">
        <v>45</v>
      </c>
      <c r="Q3375" t="s">
        <v>47</v>
      </c>
      <c r="R3375" t="s">
        <v>44</v>
      </c>
      <c r="S3375">
        <v>0</v>
      </c>
      <c r="W3375" s="3">
        <v>1.3310185185185185E-3</v>
      </c>
      <c r="X3375" t="s">
        <v>6932</v>
      </c>
      <c r="Y3375">
        <v>13</v>
      </c>
      <c r="Z3375">
        <v>0</v>
      </c>
      <c r="AA3375" t="s">
        <v>49</v>
      </c>
      <c r="AB3375">
        <v>0</v>
      </c>
      <c r="AC3375" t="s">
        <v>49</v>
      </c>
      <c r="AD3375">
        <v>0</v>
      </c>
      <c r="AE3375">
        <v>11511213</v>
      </c>
      <c r="AF3375" t="s">
        <v>50</v>
      </c>
      <c r="AG3375" t="s">
        <v>2289</v>
      </c>
    </row>
    <row r="3376" spans="1:33" x14ac:dyDescent="0.35">
      <c r="A3376" s="1">
        <v>44731.725694444445</v>
      </c>
      <c r="B3376">
        <v>4825487</v>
      </c>
      <c r="C3376" t="s">
        <v>6933</v>
      </c>
      <c r="D3376" t="s">
        <v>59</v>
      </c>
      <c r="E3376" s="2">
        <v>42835</v>
      </c>
      <c r="F3376" t="str">
        <f>"9781119186724"</f>
        <v>9781119186724</v>
      </c>
      <c r="G3376" t="str">
        <f>"9781119186342"</f>
        <v>9781119186342</v>
      </c>
      <c r="H3376" t="s">
        <v>90</v>
      </c>
      <c r="I3376">
        <v>371.2</v>
      </c>
      <c r="J3376" t="s">
        <v>6934</v>
      </c>
      <c r="K3376" t="s">
        <v>44</v>
      </c>
      <c r="N3376" t="s">
        <v>45</v>
      </c>
      <c r="O3376" t="s">
        <v>46</v>
      </c>
      <c r="P3376" t="s">
        <v>45</v>
      </c>
      <c r="Q3376" t="s">
        <v>47</v>
      </c>
      <c r="R3376" t="s">
        <v>44</v>
      </c>
      <c r="S3376">
        <v>0</v>
      </c>
      <c r="W3376" s="3">
        <v>1.1273148148148148E-2</v>
      </c>
      <c r="X3376" t="s">
        <v>6935</v>
      </c>
      <c r="Y3376">
        <v>21</v>
      </c>
      <c r="Z3376">
        <v>0</v>
      </c>
      <c r="AA3376" t="s">
        <v>49</v>
      </c>
      <c r="AB3376">
        <v>0</v>
      </c>
      <c r="AC3376" t="s">
        <v>6936</v>
      </c>
      <c r="AD3376">
        <v>2</v>
      </c>
      <c r="AE3376">
        <v>11363647</v>
      </c>
      <c r="AF3376" t="s">
        <v>50</v>
      </c>
      <c r="AG3376" t="s">
        <v>699</v>
      </c>
    </row>
    <row r="3377" spans="1:33" x14ac:dyDescent="0.35">
      <c r="A3377" s="1">
        <v>44731.695833333331</v>
      </c>
      <c r="B3377">
        <v>765013</v>
      </c>
      <c r="C3377" t="s">
        <v>6937</v>
      </c>
      <c r="D3377" t="s">
        <v>76</v>
      </c>
      <c r="E3377" s="2">
        <v>38098</v>
      </c>
      <c r="F3377" t="str">
        <f>"9781849404426"</f>
        <v>9781849404426</v>
      </c>
      <c r="G3377" t="str">
        <f>"9781855753150"</f>
        <v>9781855753150</v>
      </c>
      <c r="H3377" t="s">
        <v>667</v>
      </c>
      <c r="I3377">
        <v>938.07092399999999</v>
      </c>
      <c r="J3377" t="s">
        <v>6938</v>
      </c>
      <c r="K3377" t="s">
        <v>44</v>
      </c>
      <c r="N3377" t="s">
        <v>45</v>
      </c>
      <c r="O3377" t="s">
        <v>46</v>
      </c>
      <c r="P3377" t="s">
        <v>45</v>
      </c>
      <c r="Q3377" t="s">
        <v>47</v>
      </c>
      <c r="R3377" t="s">
        <v>44</v>
      </c>
      <c r="S3377">
        <v>0</v>
      </c>
      <c r="W3377" s="3">
        <v>4.31712962962963E-3</v>
      </c>
      <c r="X3377" t="s">
        <v>56</v>
      </c>
      <c r="Y3377">
        <v>3</v>
      </c>
      <c r="Z3377">
        <v>0</v>
      </c>
      <c r="AA3377" t="s">
        <v>49</v>
      </c>
      <c r="AB3377">
        <v>0</v>
      </c>
      <c r="AC3377" t="s">
        <v>6701</v>
      </c>
      <c r="AD3377">
        <v>1</v>
      </c>
      <c r="AE3377">
        <v>10495806</v>
      </c>
      <c r="AF3377" t="s">
        <v>50</v>
      </c>
      <c r="AG3377" t="s">
        <v>699</v>
      </c>
    </row>
    <row r="3378" spans="1:33" x14ac:dyDescent="0.35">
      <c r="A3378" s="1">
        <v>44731.690972222219</v>
      </c>
      <c r="B3378">
        <v>510314</v>
      </c>
      <c r="C3378" t="s">
        <v>6786</v>
      </c>
      <c r="D3378" t="s">
        <v>125</v>
      </c>
      <c r="E3378" s="2">
        <v>40241</v>
      </c>
      <c r="F3378" t="str">
        <f>"9780199706396"</f>
        <v>9780199706396</v>
      </c>
      <c r="G3378" t="str">
        <f>"9780195373424"</f>
        <v>9780195373424</v>
      </c>
      <c r="H3378" t="s">
        <v>6787</v>
      </c>
      <c r="I3378">
        <v>158.69999999999999</v>
      </c>
      <c r="J3378" t="s">
        <v>6788</v>
      </c>
      <c r="K3378" t="s">
        <v>44</v>
      </c>
      <c r="N3378" t="s">
        <v>45</v>
      </c>
      <c r="O3378" t="s">
        <v>46</v>
      </c>
      <c r="P3378" t="s">
        <v>45</v>
      </c>
      <c r="Q3378" t="s">
        <v>47</v>
      </c>
      <c r="R3378" t="s">
        <v>44</v>
      </c>
      <c r="S3378">
        <v>0</v>
      </c>
      <c r="W3378" s="3">
        <v>4.6412037037037038E-3</v>
      </c>
      <c r="X3378" t="s">
        <v>6939</v>
      </c>
      <c r="Y3378">
        <v>12</v>
      </c>
      <c r="Z3378">
        <v>0</v>
      </c>
      <c r="AA3378" t="s">
        <v>49</v>
      </c>
      <c r="AB3378">
        <v>0</v>
      </c>
      <c r="AC3378" t="s">
        <v>1025</v>
      </c>
      <c r="AD3378">
        <v>1</v>
      </c>
      <c r="AE3378">
        <v>10377949</v>
      </c>
      <c r="AF3378" t="s">
        <v>50</v>
      </c>
      <c r="AG3378" t="s">
        <v>699</v>
      </c>
    </row>
    <row r="3379" spans="1:33" x14ac:dyDescent="0.35">
      <c r="A3379" s="1">
        <v>44731.69027777778</v>
      </c>
      <c r="B3379">
        <v>228375</v>
      </c>
      <c r="C3379" t="s">
        <v>6775</v>
      </c>
      <c r="D3379" t="s">
        <v>819</v>
      </c>
      <c r="E3379" s="2">
        <v>37032</v>
      </c>
      <c r="F3379" t="str">
        <f>"9780814426005"</f>
        <v>9780814426005</v>
      </c>
      <c r="G3379" t="str">
        <f>"9780814433072"</f>
        <v>9780814433072</v>
      </c>
      <c r="H3379" t="s">
        <v>60</v>
      </c>
      <c r="I3379" t="s">
        <v>1652</v>
      </c>
      <c r="J3379" t="s">
        <v>6776</v>
      </c>
      <c r="K3379" t="s">
        <v>44</v>
      </c>
      <c r="N3379" t="s">
        <v>45</v>
      </c>
      <c r="O3379" t="s">
        <v>46</v>
      </c>
      <c r="P3379" t="s">
        <v>45</v>
      </c>
      <c r="Q3379" t="s">
        <v>47</v>
      </c>
      <c r="R3379" t="s">
        <v>44</v>
      </c>
      <c r="S3379">
        <v>0</v>
      </c>
      <c r="W3379" s="3">
        <v>3.4490740740740745E-3</v>
      </c>
      <c r="X3379" t="s">
        <v>6940</v>
      </c>
      <c r="Y3379">
        <v>9</v>
      </c>
      <c r="Z3379">
        <v>0</v>
      </c>
      <c r="AA3379" t="s">
        <v>49</v>
      </c>
      <c r="AB3379">
        <v>0</v>
      </c>
      <c r="AC3379" t="s">
        <v>1029</v>
      </c>
      <c r="AD3379">
        <v>1</v>
      </c>
      <c r="AE3379">
        <v>10120182</v>
      </c>
      <c r="AF3379" t="s">
        <v>50</v>
      </c>
      <c r="AG3379" t="s">
        <v>699</v>
      </c>
    </row>
    <row r="3380" spans="1:33" x14ac:dyDescent="0.35">
      <c r="A3380" s="1">
        <v>44731.091666666667</v>
      </c>
      <c r="B3380">
        <v>765013</v>
      </c>
      <c r="C3380" t="s">
        <v>6937</v>
      </c>
      <c r="D3380" t="s">
        <v>76</v>
      </c>
      <c r="E3380" s="2">
        <v>38098</v>
      </c>
      <c r="F3380" t="str">
        <f>"9781849404426"</f>
        <v>9781849404426</v>
      </c>
      <c r="G3380" t="str">
        <f>"9781855753150"</f>
        <v>9781855753150</v>
      </c>
      <c r="H3380" t="s">
        <v>667</v>
      </c>
      <c r="I3380">
        <v>938.07092399999999</v>
      </c>
      <c r="J3380" t="s">
        <v>6938</v>
      </c>
      <c r="K3380" t="s">
        <v>44</v>
      </c>
      <c r="N3380" t="s">
        <v>45</v>
      </c>
      <c r="O3380" t="s">
        <v>46</v>
      </c>
      <c r="P3380" t="s">
        <v>45</v>
      </c>
      <c r="Q3380" t="s">
        <v>47</v>
      </c>
      <c r="R3380" t="s">
        <v>44</v>
      </c>
      <c r="S3380">
        <v>0</v>
      </c>
      <c r="W3380" s="3">
        <v>1.6550925925925926E-3</v>
      </c>
      <c r="X3380" t="s">
        <v>6941</v>
      </c>
      <c r="Y3380">
        <v>19</v>
      </c>
      <c r="Z3380">
        <v>0</v>
      </c>
      <c r="AA3380" t="s">
        <v>49</v>
      </c>
      <c r="AB3380">
        <v>0</v>
      </c>
      <c r="AC3380" t="s">
        <v>49</v>
      </c>
      <c r="AD3380">
        <v>0</v>
      </c>
      <c r="AE3380">
        <v>10495806</v>
      </c>
      <c r="AF3380" t="s">
        <v>50</v>
      </c>
      <c r="AG3380" t="s">
        <v>6551</v>
      </c>
    </row>
    <row r="3381" spans="1:33" x14ac:dyDescent="0.35">
      <c r="A3381" s="1">
        <v>44730.947222222225</v>
      </c>
      <c r="B3381">
        <v>510314</v>
      </c>
      <c r="C3381" t="s">
        <v>6786</v>
      </c>
      <c r="D3381" t="s">
        <v>125</v>
      </c>
      <c r="E3381" s="2">
        <v>40241</v>
      </c>
      <c r="F3381" t="str">
        <f>"9780199706396"</f>
        <v>9780199706396</v>
      </c>
      <c r="G3381" t="str">
        <f>"9780195373424"</f>
        <v>9780195373424</v>
      </c>
      <c r="H3381" t="s">
        <v>6787</v>
      </c>
      <c r="I3381">
        <v>158.69999999999999</v>
      </c>
      <c r="J3381" t="s">
        <v>6788</v>
      </c>
      <c r="K3381" t="s">
        <v>44</v>
      </c>
      <c r="N3381" t="s">
        <v>45</v>
      </c>
      <c r="O3381" t="s">
        <v>46</v>
      </c>
      <c r="P3381" t="s">
        <v>45</v>
      </c>
      <c r="Q3381" t="s">
        <v>47</v>
      </c>
      <c r="R3381" t="s">
        <v>44</v>
      </c>
      <c r="S3381">
        <v>0</v>
      </c>
      <c r="W3381" s="3">
        <v>2.8935185185185189E-4</v>
      </c>
      <c r="X3381" t="s">
        <v>6942</v>
      </c>
      <c r="Y3381">
        <v>3</v>
      </c>
      <c r="Z3381">
        <v>0</v>
      </c>
      <c r="AA3381" t="s">
        <v>49</v>
      </c>
      <c r="AB3381">
        <v>0</v>
      </c>
      <c r="AC3381" t="s">
        <v>49</v>
      </c>
      <c r="AD3381">
        <v>0</v>
      </c>
      <c r="AE3381">
        <v>10377949</v>
      </c>
      <c r="AF3381" t="s">
        <v>50</v>
      </c>
      <c r="AG3381" t="s">
        <v>699</v>
      </c>
    </row>
    <row r="3382" spans="1:33" x14ac:dyDescent="0.35">
      <c r="A3382" s="1">
        <v>44730.772916666669</v>
      </c>
      <c r="B3382">
        <v>765013</v>
      </c>
      <c r="C3382" t="s">
        <v>6937</v>
      </c>
      <c r="D3382" t="s">
        <v>76</v>
      </c>
      <c r="E3382" s="2">
        <v>38098</v>
      </c>
      <c r="F3382" t="str">
        <f>"9781849404426"</f>
        <v>9781849404426</v>
      </c>
      <c r="G3382" t="str">
        <f>"9781855753150"</f>
        <v>9781855753150</v>
      </c>
      <c r="H3382" t="s">
        <v>667</v>
      </c>
      <c r="I3382">
        <v>938.07092399999999</v>
      </c>
      <c r="J3382" t="s">
        <v>6938</v>
      </c>
      <c r="K3382" t="s">
        <v>44</v>
      </c>
      <c r="N3382" t="s">
        <v>45</v>
      </c>
      <c r="O3382" t="s">
        <v>46</v>
      </c>
      <c r="P3382" t="s">
        <v>45</v>
      </c>
      <c r="Q3382" t="s">
        <v>47</v>
      </c>
      <c r="R3382" t="s">
        <v>44</v>
      </c>
      <c r="S3382">
        <v>0</v>
      </c>
      <c r="W3382" s="3">
        <v>3.6226851851851854E-3</v>
      </c>
      <c r="X3382" t="s">
        <v>6943</v>
      </c>
      <c r="Y3382">
        <v>5</v>
      </c>
      <c r="Z3382">
        <v>0</v>
      </c>
      <c r="AA3382" t="s">
        <v>49</v>
      </c>
      <c r="AB3382">
        <v>0</v>
      </c>
      <c r="AC3382" t="s">
        <v>6944</v>
      </c>
      <c r="AD3382">
        <v>2</v>
      </c>
      <c r="AE3382">
        <v>10495806</v>
      </c>
      <c r="AF3382" t="s">
        <v>50</v>
      </c>
      <c r="AG3382" t="s">
        <v>699</v>
      </c>
    </row>
    <row r="3383" spans="1:33" x14ac:dyDescent="0.35">
      <c r="A3383" s="1">
        <v>44730.744444444441</v>
      </c>
      <c r="B3383">
        <v>228375</v>
      </c>
      <c r="C3383" t="s">
        <v>6775</v>
      </c>
      <c r="D3383" t="s">
        <v>819</v>
      </c>
      <c r="E3383" s="2">
        <v>37032</v>
      </c>
      <c r="F3383" t="str">
        <f>"9780814426005"</f>
        <v>9780814426005</v>
      </c>
      <c r="G3383" t="str">
        <f>"9780814433072"</f>
        <v>9780814433072</v>
      </c>
      <c r="H3383" t="s">
        <v>60</v>
      </c>
      <c r="I3383" t="s">
        <v>1652</v>
      </c>
      <c r="J3383" t="s">
        <v>6776</v>
      </c>
      <c r="K3383" t="s">
        <v>44</v>
      </c>
      <c r="N3383" t="s">
        <v>45</v>
      </c>
      <c r="O3383" t="s">
        <v>46</v>
      </c>
      <c r="P3383" t="s">
        <v>45</v>
      </c>
      <c r="Q3383" t="s">
        <v>47</v>
      </c>
      <c r="R3383" t="s">
        <v>44</v>
      </c>
      <c r="S3383">
        <v>0</v>
      </c>
      <c r="W3383" s="3">
        <v>1.3356481481481483E-2</v>
      </c>
      <c r="X3383" t="s">
        <v>6945</v>
      </c>
      <c r="Y3383">
        <v>8</v>
      </c>
      <c r="Z3383">
        <v>0</v>
      </c>
      <c r="AA3383" t="s">
        <v>49</v>
      </c>
      <c r="AB3383">
        <v>0</v>
      </c>
      <c r="AC3383" t="s">
        <v>6946</v>
      </c>
      <c r="AD3383">
        <v>10</v>
      </c>
      <c r="AE3383">
        <v>10120182</v>
      </c>
      <c r="AF3383" t="s">
        <v>50</v>
      </c>
      <c r="AG3383" t="s">
        <v>699</v>
      </c>
    </row>
    <row r="3384" spans="1:33" x14ac:dyDescent="0.35">
      <c r="A3384" s="1">
        <v>44730.729166666664</v>
      </c>
      <c r="B3384">
        <v>3018065</v>
      </c>
      <c r="C3384" t="s">
        <v>4758</v>
      </c>
      <c r="D3384" t="s">
        <v>137</v>
      </c>
      <c r="E3384" s="2">
        <v>40452</v>
      </c>
      <c r="F3384" t="str">
        <f>"9781617611698"</f>
        <v>9781617611698</v>
      </c>
      <c r="G3384" t="str">
        <f>"9781617289347"</f>
        <v>9781617289347</v>
      </c>
      <c r="H3384" t="s">
        <v>244</v>
      </c>
      <c r="I3384" t="s">
        <v>4759</v>
      </c>
      <c r="J3384" t="s">
        <v>4760</v>
      </c>
      <c r="K3384" t="s">
        <v>44</v>
      </c>
      <c r="N3384" t="s">
        <v>45</v>
      </c>
      <c r="O3384" t="s">
        <v>46</v>
      </c>
      <c r="P3384" t="s">
        <v>177</v>
      </c>
      <c r="Q3384" t="s">
        <v>47</v>
      </c>
      <c r="R3384" t="s">
        <v>55</v>
      </c>
      <c r="S3384">
        <v>0</v>
      </c>
      <c r="W3384" s="3">
        <v>2.8935185185185189E-4</v>
      </c>
      <c r="X3384" t="s">
        <v>6947</v>
      </c>
      <c r="Y3384">
        <v>8</v>
      </c>
      <c r="Z3384">
        <v>0</v>
      </c>
      <c r="AA3384" t="s">
        <v>49</v>
      </c>
      <c r="AB3384">
        <v>0</v>
      </c>
      <c r="AC3384" t="s">
        <v>49</v>
      </c>
      <c r="AD3384">
        <v>0</v>
      </c>
      <c r="AE3384">
        <v>10658987</v>
      </c>
      <c r="AF3384" t="s">
        <v>50</v>
      </c>
      <c r="AG3384" t="s">
        <v>699</v>
      </c>
    </row>
    <row r="3385" spans="1:33" x14ac:dyDescent="0.35">
      <c r="A3385" s="1">
        <v>44730.727777777778</v>
      </c>
      <c r="B3385">
        <v>289840</v>
      </c>
      <c r="C3385" t="s">
        <v>6948</v>
      </c>
      <c r="D3385" t="s">
        <v>844</v>
      </c>
      <c r="E3385" s="2">
        <v>38107</v>
      </c>
      <c r="F3385" t="str">
        <f>"9781845444136"</f>
        <v>9781845444136</v>
      </c>
      <c r="G3385" t="str">
        <f>"9780861769605"</f>
        <v>9780861769605</v>
      </c>
      <c r="H3385" t="s">
        <v>60</v>
      </c>
      <c r="I3385" t="s">
        <v>6949</v>
      </c>
      <c r="J3385" t="s">
        <v>6950</v>
      </c>
      <c r="K3385" t="s">
        <v>44</v>
      </c>
      <c r="N3385" t="s">
        <v>45</v>
      </c>
      <c r="O3385" t="s">
        <v>46</v>
      </c>
      <c r="P3385" t="s">
        <v>45</v>
      </c>
      <c r="Q3385" t="s">
        <v>47</v>
      </c>
      <c r="R3385" t="s">
        <v>44</v>
      </c>
      <c r="S3385">
        <v>0</v>
      </c>
      <c r="W3385" s="3">
        <v>2.8935185185185189E-4</v>
      </c>
      <c r="X3385" t="s">
        <v>6821</v>
      </c>
      <c r="Y3385">
        <v>4</v>
      </c>
      <c r="Z3385">
        <v>0</v>
      </c>
      <c r="AA3385" t="s">
        <v>49</v>
      </c>
      <c r="AB3385">
        <v>0</v>
      </c>
      <c r="AC3385" t="s">
        <v>49</v>
      </c>
      <c r="AD3385">
        <v>0</v>
      </c>
      <c r="AE3385">
        <v>10064574</v>
      </c>
      <c r="AF3385" t="s">
        <v>50</v>
      </c>
      <c r="AG3385" t="s">
        <v>699</v>
      </c>
    </row>
    <row r="3386" spans="1:33" x14ac:dyDescent="0.35">
      <c r="A3386" s="1">
        <v>44730.697222222225</v>
      </c>
      <c r="B3386">
        <v>510314</v>
      </c>
      <c r="C3386" t="s">
        <v>6786</v>
      </c>
      <c r="D3386" t="s">
        <v>125</v>
      </c>
      <c r="E3386" s="2">
        <v>40241</v>
      </c>
      <c r="F3386" t="str">
        <f>"9780199706396"</f>
        <v>9780199706396</v>
      </c>
      <c r="G3386" t="str">
        <f>"9780195373424"</f>
        <v>9780195373424</v>
      </c>
      <c r="H3386" t="s">
        <v>6787</v>
      </c>
      <c r="I3386">
        <v>158.69999999999999</v>
      </c>
      <c r="J3386" t="s">
        <v>6788</v>
      </c>
      <c r="K3386" t="s">
        <v>44</v>
      </c>
      <c r="N3386" t="s">
        <v>45</v>
      </c>
      <c r="O3386" t="s">
        <v>46</v>
      </c>
      <c r="P3386" t="s">
        <v>45</v>
      </c>
      <c r="Q3386" t="s">
        <v>47</v>
      </c>
      <c r="R3386" t="s">
        <v>44</v>
      </c>
      <c r="S3386">
        <v>0</v>
      </c>
      <c r="W3386" s="3">
        <v>6.1076388888888888E-2</v>
      </c>
      <c r="X3386" t="s">
        <v>6951</v>
      </c>
      <c r="Y3386">
        <v>23</v>
      </c>
      <c r="Z3386">
        <v>0</v>
      </c>
      <c r="AA3386" t="s">
        <v>49</v>
      </c>
      <c r="AB3386">
        <v>0</v>
      </c>
      <c r="AC3386" t="s">
        <v>6952</v>
      </c>
      <c r="AD3386">
        <v>11</v>
      </c>
      <c r="AE3386">
        <v>10377949</v>
      </c>
      <c r="AF3386" t="s">
        <v>50</v>
      </c>
      <c r="AG3386" t="s">
        <v>699</v>
      </c>
    </row>
    <row r="3387" spans="1:33" x14ac:dyDescent="0.35">
      <c r="A3387" s="1">
        <v>44730.65625</v>
      </c>
      <c r="B3387">
        <v>510314</v>
      </c>
      <c r="C3387" t="s">
        <v>6786</v>
      </c>
      <c r="D3387" t="s">
        <v>125</v>
      </c>
      <c r="E3387" s="2">
        <v>40241</v>
      </c>
      <c r="F3387" t="str">
        <f>"9780199706396"</f>
        <v>9780199706396</v>
      </c>
      <c r="G3387" t="str">
        <f>"9780195373424"</f>
        <v>9780195373424</v>
      </c>
      <c r="H3387" t="s">
        <v>6787</v>
      </c>
      <c r="I3387">
        <v>158.69999999999999</v>
      </c>
      <c r="J3387" t="s">
        <v>6788</v>
      </c>
      <c r="K3387" t="s">
        <v>44</v>
      </c>
      <c r="N3387" t="s">
        <v>45</v>
      </c>
      <c r="O3387" t="s">
        <v>46</v>
      </c>
      <c r="P3387" t="s">
        <v>45</v>
      </c>
      <c r="Q3387" t="s">
        <v>47</v>
      </c>
      <c r="R3387" t="s">
        <v>44</v>
      </c>
      <c r="S3387">
        <v>0</v>
      </c>
      <c r="W3387" s="3">
        <v>1.1273148148148148E-2</v>
      </c>
      <c r="X3387" t="s">
        <v>6953</v>
      </c>
      <c r="Y3387">
        <v>5</v>
      </c>
      <c r="Z3387">
        <v>0</v>
      </c>
      <c r="AA3387" t="s">
        <v>49</v>
      </c>
      <c r="AB3387">
        <v>0</v>
      </c>
      <c r="AC3387" t="s">
        <v>6954</v>
      </c>
      <c r="AD3387">
        <v>7</v>
      </c>
      <c r="AE3387">
        <v>10377949</v>
      </c>
      <c r="AF3387" t="s">
        <v>50</v>
      </c>
      <c r="AG3387" t="s">
        <v>699</v>
      </c>
    </row>
    <row r="3388" spans="1:33" x14ac:dyDescent="0.35">
      <c r="A3388" s="1">
        <v>44730.407638888886</v>
      </c>
      <c r="B3388">
        <v>668821</v>
      </c>
      <c r="C3388" t="s">
        <v>2731</v>
      </c>
      <c r="D3388" t="s">
        <v>76</v>
      </c>
      <c r="E3388" s="2">
        <v>40661</v>
      </c>
      <c r="F3388" t="str">
        <f>"9780203835043"</f>
        <v>9780203835043</v>
      </c>
      <c r="G3388" t="str">
        <f>"9780415548229"</f>
        <v>9780415548229</v>
      </c>
      <c r="H3388" t="s">
        <v>162</v>
      </c>
      <c r="I3388">
        <v>297.4092</v>
      </c>
      <c r="J3388" t="s">
        <v>2732</v>
      </c>
      <c r="K3388" t="s">
        <v>44</v>
      </c>
      <c r="N3388" t="s">
        <v>45</v>
      </c>
      <c r="O3388" t="s">
        <v>46</v>
      </c>
      <c r="P3388" t="s">
        <v>45</v>
      </c>
      <c r="Q3388" t="s">
        <v>47</v>
      </c>
      <c r="R3388" t="s">
        <v>44</v>
      </c>
      <c r="S3388">
        <v>0</v>
      </c>
      <c r="W3388" s="3">
        <v>5.4282407407407404E-3</v>
      </c>
      <c r="X3388" t="s">
        <v>6955</v>
      </c>
      <c r="Y3388">
        <v>21</v>
      </c>
      <c r="Z3388">
        <v>0</v>
      </c>
      <c r="AA3388" t="s">
        <v>49</v>
      </c>
      <c r="AB3388">
        <v>0</v>
      </c>
      <c r="AC3388" t="s">
        <v>49</v>
      </c>
      <c r="AD3388">
        <v>0</v>
      </c>
      <c r="AE3388">
        <v>10522474</v>
      </c>
      <c r="AF3388" t="s">
        <v>50</v>
      </c>
      <c r="AG3388" t="s">
        <v>5711</v>
      </c>
    </row>
    <row r="3389" spans="1:33" x14ac:dyDescent="0.35">
      <c r="A3389" s="1">
        <v>44730.034722222219</v>
      </c>
      <c r="B3389">
        <v>4789963</v>
      </c>
      <c r="C3389" t="s">
        <v>6956</v>
      </c>
      <c r="D3389" t="s">
        <v>59</v>
      </c>
      <c r="E3389" s="2">
        <v>42765</v>
      </c>
      <c r="F3389" t="str">
        <f>"9781119315544"</f>
        <v>9781119315544</v>
      </c>
      <c r="G3389" t="str">
        <f>"9781119315520"</f>
        <v>9781119315520</v>
      </c>
      <c r="H3389" t="s">
        <v>60</v>
      </c>
      <c r="I3389">
        <v>658.87206809999998</v>
      </c>
      <c r="J3389" t="s">
        <v>6957</v>
      </c>
      <c r="K3389" t="s">
        <v>44</v>
      </c>
      <c r="N3389" t="s">
        <v>45</v>
      </c>
      <c r="O3389" t="s">
        <v>46</v>
      </c>
      <c r="P3389" t="s">
        <v>45</v>
      </c>
      <c r="Q3389" t="s">
        <v>47</v>
      </c>
      <c r="R3389" t="s">
        <v>44</v>
      </c>
      <c r="S3389">
        <v>0</v>
      </c>
      <c r="W3389" s="3">
        <v>0</v>
      </c>
      <c r="X3389" t="s">
        <v>49</v>
      </c>
      <c r="Y3389">
        <v>0</v>
      </c>
      <c r="Z3389">
        <v>2</v>
      </c>
      <c r="AA3389" t="s">
        <v>6958</v>
      </c>
      <c r="AB3389">
        <v>82</v>
      </c>
      <c r="AC3389" t="s">
        <v>49</v>
      </c>
      <c r="AD3389">
        <v>0</v>
      </c>
      <c r="AE3389">
        <v>11332586</v>
      </c>
      <c r="AF3389" t="s">
        <v>50</v>
      </c>
      <c r="AG3389" t="s">
        <v>6959</v>
      </c>
    </row>
    <row r="3390" spans="1:33" x14ac:dyDescent="0.35">
      <c r="A3390" s="1">
        <v>44729.990972222222</v>
      </c>
      <c r="B3390">
        <v>349729</v>
      </c>
      <c r="C3390" t="s">
        <v>6960</v>
      </c>
      <c r="D3390" t="s">
        <v>6961</v>
      </c>
      <c r="E3390" s="2">
        <v>39417</v>
      </c>
      <c r="F3390" t="str">
        <f>"9781921513091"</f>
        <v>9781921513091</v>
      </c>
      <c r="G3390" t="str">
        <f>"9781875378760"</f>
        <v>9781875378760</v>
      </c>
      <c r="H3390" t="s">
        <v>60</v>
      </c>
      <c r="I3390" t="s">
        <v>6962</v>
      </c>
      <c r="J3390" t="s">
        <v>6963</v>
      </c>
      <c r="K3390" t="s">
        <v>44</v>
      </c>
      <c r="N3390" t="s">
        <v>45</v>
      </c>
      <c r="O3390" t="s">
        <v>46</v>
      </c>
      <c r="P3390" t="s">
        <v>45</v>
      </c>
      <c r="Q3390" t="s">
        <v>47</v>
      </c>
      <c r="R3390" t="s">
        <v>44</v>
      </c>
      <c r="S3390">
        <v>0</v>
      </c>
      <c r="W3390" s="3">
        <v>1.4930555555555556E-3</v>
      </c>
      <c r="X3390" t="s">
        <v>4042</v>
      </c>
      <c r="Y3390">
        <v>14</v>
      </c>
      <c r="Z3390">
        <v>0</v>
      </c>
      <c r="AA3390" t="s">
        <v>49</v>
      </c>
      <c r="AB3390">
        <v>0</v>
      </c>
      <c r="AC3390" t="s">
        <v>49</v>
      </c>
      <c r="AD3390">
        <v>0</v>
      </c>
      <c r="AE3390">
        <v>10551736</v>
      </c>
      <c r="AF3390" t="s">
        <v>50</v>
      </c>
      <c r="AG3390" t="s">
        <v>699</v>
      </c>
    </row>
    <row r="3391" spans="1:33" x14ac:dyDescent="0.35">
      <c r="A3391" s="1">
        <v>44729.988194444442</v>
      </c>
      <c r="B3391">
        <v>4744483</v>
      </c>
      <c r="C3391" t="s">
        <v>6964</v>
      </c>
      <c r="D3391" t="s">
        <v>2716</v>
      </c>
      <c r="E3391" s="2">
        <v>42795</v>
      </c>
      <c r="F3391" t="str">
        <f>"9781681237145"</f>
        <v>9781681237145</v>
      </c>
      <c r="G3391" t="str">
        <f>"9781681237121"</f>
        <v>9781681237121</v>
      </c>
      <c r="H3391" t="s">
        <v>90</v>
      </c>
      <c r="K3391" t="s">
        <v>44</v>
      </c>
      <c r="N3391" t="s">
        <v>45</v>
      </c>
      <c r="O3391" t="s">
        <v>46</v>
      </c>
      <c r="P3391" t="s">
        <v>45</v>
      </c>
      <c r="Q3391" t="s">
        <v>47</v>
      </c>
      <c r="R3391" t="s">
        <v>44</v>
      </c>
      <c r="S3391">
        <v>0</v>
      </c>
      <c r="W3391" s="3">
        <v>1.8865740740740742E-3</v>
      </c>
      <c r="X3391" t="s">
        <v>6965</v>
      </c>
      <c r="Y3391">
        <v>38</v>
      </c>
      <c r="Z3391">
        <v>0</v>
      </c>
      <c r="AA3391" t="s">
        <v>49</v>
      </c>
      <c r="AB3391">
        <v>0</v>
      </c>
      <c r="AC3391" t="s">
        <v>49</v>
      </c>
      <c r="AD3391">
        <v>0</v>
      </c>
      <c r="AE3391">
        <v>11299854</v>
      </c>
      <c r="AF3391" t="s">
        <v>50</v>
      </c>
      <c r="AG3391" t="s">
        <v>699</v>
      </c>
    </row>
    <row r="3392" spans="1:33" x14ac:dyDescent="0.35">
      <c r="A3392" s="1">
        <v>44729.972222222219</v>
      </c>
      <c r="B3392">
        <v>228375</v>
      </c>
      <c r="C3392" t="s">
        <v>6775</v>
      </c>
      <c r="D3392" t="s">
        <v>819</v>
      </c>
      <c r="E3392" s="2">
        <v>37032</v>
      </c>
      <c r="F3392" t="str">
        <f>"9780814426005"</f>
        <v>9780814426005</v>
      </c>
      <c r="G3392" t="str">
        <f>"9780814433072"</f>
        <v>9780814433072</v>
      </c>
      <c r="H3392" t="s">
        <v>60</v>
      </c>
      <c r="I3392" t="s">
        <v>1652</v>
      </c>
      <c r="J3392" t="s">
        <v>6776</v>
      </c>
      <c r="K3392" t="s">
        <v>44</v>
      </c>
      <c r="N3392" t="s">
        <v>45</v>
      </c>
      <c r="O3392" t="s">
        <v>46</v>
      </c>
      <c r="P3392" t="s">
        <v>45</v>
      </c>
      <c r="Q3392" t="s">
        <v>47</v>
      </c>
      <c r="R3392" t="s">
        <v>44</v>
      </c>
      <c r="S3392">
        <v>0</v>
      </c>
      <c r="W3392" s="3">
        <v>2.462962962962963E-2</v>
      </c>
      <c r="X3392" t="s">
        <v>6966</v>
      </c>
      <c r="Y3392">
        <v>17</v>
      </c>
      <c r="Z3392">
        <v>0</v>
      </c>
      <c r="AA3392" t="s">
        <v>49</v>
      </c>
      <c r="AB3392">
        <v>0</v>
      </c>
      <c r="AC3392" t="s">
        <v>6967</v>
      </c>
      <c r="AD3392">
        <v>3</v>
      </c>
      <c r="AE3392">
        <v>10120182</v>
      </c>
      <c r="AF3392" t="s">
        <v>50</v>
      </c>
      <c r="AG3392" t="s">
        <v>699</v>
      </c>
    </row>
    <row r="3393" spans="1:33" x14ac:dyDescent="0.35">
      <c r="A3393" s="1">
        <v>44729.929861111108</v>
      </c>
      <c r="B3393">
        <v>510314</v>
      </c>
      <c r="C3393" t="s">
        <v>6786</v>
      </c>
      <c r="D3393" t="s">
        <v>125</v>
      </c>
      <c r="E3393" s="2">
        <v>40241</v>
      </c>
      <c r="F3393" t="str">
        <f>"9780199706396"</f>
        <v>9780199706396</v>
      </c>
      <c r="G3393" t="str">
        <f>"9780195373424"</f>
        <v>9780195373424</v>
      </c>
      <c r="H3393" t="s">
        <v>6787</v>
      </c>
      <c r="I3393">
        <v>158.69999999999999</v>
      </c>
      <c r="J3393" t="s">
        <v>6788</v>
      </c>
      <c r="K3393" t="s">
        <v>44</v>
      </c>
      <c r="N3393" t="s">
        <v>45</v>
      </c>
      <c r="O3393" t="s">
        <v>46</v>
      </c>
      <c r="P3393" t="s">
        <v>45</v>
      </c>
      <c r="Q3393" t="s">
        <v>47</v>
      </c>
      <c r="R3393" t="s">
        <v>44</v>
      </c>
      <c r="S3393">
        <v>0</v>
      </c>
      <c r="W3393" s="3">
        <v>5.9837962962962961E-2</v>
      </c>
      <c r="X3393" t="s">
        <v>6968</v>
      </c>
      <c r="Y3393">
        <v>60</v>
      </c>
      <c r="Z3393">
        <v>0</v>
      </c>
      <c r="AA3393" t="s">
        <v>49</v>
      </c>
      <c r="AB3393">
        <v>0</v>
      </c>
      <c r="AC3393" t="s">
        <v>49</v>
      </c>
      <c r="AD3393">
        <v>0</v>
      </c>
      <c r="AE3393">
        <v>10377949</v>
      </c>
      <c r="AF3393" t="s">
        <v>50</v>
      </c>
      <c r="AG3393" t="s">
        <v>699</v>
      </c>
    </row>
    <row r="3394" spans="1:33" x14ac:dyDescent="0.35">
      <c r="A3394" s="1">
        <v>44729.922222222223</v>
      </c>
      <c r="B3394">
        <v>765013</v>
      </c>
      <c r="C3394" t="s">
        <v>6937</v>
      </c>
      <c r="D3394" t="s">
        <v>76</v>
      </c>
      <c r="E3394" s="2">
        <v>38098</v>
      </c>
      <c r="F3394" t="str">
        <f>"9781849404426"</f>
        <v>9781849404426</v>
      </c>
      <c r="G3394" t="str">
        <f>"9781855753150"</f>
        <v>9781855753150</v>
      </c>
      <c r="H3394" t="s">
        <v>667</v>
      </c>
      <c r="I3394">
        <v>938.07092399999999</v>
      </c>
      <c r="J3394" t="s">
        <v>6938</v>
      </c>
      <c r="K3394" t="s">
        <v>44</v>
      </c>
      <c r="N3394" t="s">
        <v>45</v>
      </c>
      <c r="O3394" t="s">
        <v>46</v>
      </c>
      <c r="P3394" t="s">
        <v>45</v>
      </c>
      <c r="Q3394" t="s">
        <v>47</v>
      </c>
      <c r="R3394" t="s">
        <v>44</v>
      </c>
      <c r="S3394">
        <v>0</v>
      </c>
      <c r="W3394" s="3">
        <v>7.4699074074074071E-2</v>
      </c>
      <c r="X3394" t="s">
        <v>6969</v>
      </c>
      <c r="Y3394">
        <v>116</v>
      </c>
      <c r="Z3394">
        <v>0</v>
      </c>
      <c r="AA3394" t="s">
        <v>49</v>
      </c>
      <c r="AB3394">
        <v>0</v>
      </c>
      <c r="AC3394" t="s">
        <v>49</v>
      </c>
      <c r="AD3394">
        <v>0</v>
      </c>
      <c r="AE3394">
        <v>10495806</v>
      </c>
      <c r="AF3394" t="s">
        <v>50</v>
      </c>
      <c r="AG3394" t="s">
        <v>699</v>
      </c>
    </row>
    <row r="3395" spans="1:33" x14ac:dyDescent="0.35">
      <c r="A3395" s="1">
        <v>44729.703472222223</v>
      </c>
      <c r="B3395">
        <v>945473</v>
      </c>
      <c r="C3395" t="s">
        <v>6970</v>
      </c>
      <c r="D3395" t="s">
        <v>76</v>
      </c>
      <c r="E3395" s="2">
        <v>41078</v>
      </c>
      <c r="F3395" t="str">
        <f>"9781439857847"</f>
        <v>9781439857847</v>
      </c>
      <c r="G3395" t="str">
        <f>"9781439857830"</f>
        <v>9781439857830</v>
      </c>
      <c r="H3395" t="s">
        <v>261</v>
      </c>
      <c r="I3395">
        <v>628.53200000000004</v>
      </c>
      <c r="J3395" t="s">
        <v>6971</v>
      </c>
      <c r="K3395" t="s">
        <v>44</v>
      </c>
      <c r="N3395" t="s">
        <v>45</v>
      </c>
      <c r="O3395" t="s">
        <v>46</v>
      </c>
      <c r="P3395" t="s">
        <v>45</v>
      </c>
      <c r="Q3395" t="s">
        <v>47</v>
      </c>
      <c r="R3395" t="s">
        <v>44</v>
      </c>
      <c r="S3395">
        <v>0</v>
      </c>
      <c r="W3395" s="3">
        <v>8.2175925925925917E-4</v>
      </c>
      <c r="X3395" t="s">
        <v>6972</v>
      </c>
      <c r="Y3395">
        <v>17</v>
      </c>
      <c r="Z3395">
        <v>0</v>
      </c>
      <c r="AA3395" t="s">
        <v>49</v>
      </c>
      <c r="AB3395">
        <v>0</v>
      </c>
      <c r="AC3395" t="s">
        <v>49</v>
      </c>
      <c r="AD3395">
        <v>0</v>
      </c>
      <c r="AE3395">
        <v>10572493</v>
      </c>
      <c r="AF3395" t="s">
        <v>63</v>
      </c>
      <c r="AG3395" t="s">
        <v>6551</v>
      </c>
    </row>
    <row r="3396" spans="1:33" x14ac:dyDescent="0.35">
      <c r="A3396" s="1">
        <v>44729.465277777781</v>
      </c>
      <c r="B3396">
        <v>5436138</v>
      </c>
      <c r="C3396" t="s">
        <v>6973</v>
      </c>
      <c r="D3396" t="s">
        <v>6974</v>
      </c>
      <c r="E3396" s="2">
        <v>42996</v>
      </c>
      <c r="F3396" t="str">
        <f>"9781940013404"</f>
        <v>9781940013404</v>
      </c>
      <c r="G3396" t="str">
        <f>"9781940013329"</f>
        <v>9781940013329</v>
      </c>
      <c r="H3396" t="s">
        <v>6975</v>
      </c>
      <c r="I3396">
        <v>613.70460000000003</v>
      </c>
      <c r="J3396" t="s">
        <v>6976</v>
      </c>
      <c r="K3396" t="s">
        <v>44</v>
      </c>
      <c r="N3396" t="s">
        <v>45</v>
      </c>
      <c r="O3396" t="s">
        <v>46</v>
      </c>
      <c r="P3396" t="s">
        <v>45</v>
      </c>
      <c r="Q3396" t="s">
        <v>47</v>
      </c>
      <c r="R3396" t="s">
        <v>44</v>
      </c>
      <c r="S3396">
        <v>0</v>
      </c>
      <c r="W3396" s="3">
        <v>7.9861111111111105E-4</v>
      </c>
      <c r="X3396" t="s">
        <v>6977</v>
      </c>
      <c r="Y3396">
        <v>19</v>
      </c>
      <c r="Z3396">
        <v>0</v>
      </c>
      <c r="AA3396" t="s">
        <v>49</v>
      </c>
      <c r="AB3396">
        <v>0</v>
      </c>
      <c r="AC3396" t="s">
        <v>49</v>
      </c>
      <c r="AD3396">
        <v>0</v>
      </c>
      <c r="AE3396">
        <v>11597820</v>
      </c>
      <c r="AF3396" t="s">
        <v>50</v>
      </c>
      <c r="AG3396" t="s">
        <v>6551</v>
      </c>
    </row>
    <row r="3397" spans="1:33" x14ac:dyDescent="0.35">
      <c r="A3397" s="1">
        <v>44728.897916666669</v>
      </c>
      <c r="B3397">
        <v>6632416</v>
      </c>
      <c r="C3397" t="s">
        <v>6978</v>
      </c>
      <c r="D3397" t="s">
        <v>6979</v>
      </c>
      <c r="E3397" s="2">
        <v>44344</v>
      </c>
      <c r="F3397" t="str">
        <f>"9781771701488"</f>
        <v>9781771701488</v>
      </c>
      <c r="G3397" t="str">
        <f>"9781771701495"</f>
        <v>9781771701495</v>
      </c>
      <c r="H3397" t="s">
        <v>6980</v>
      </c>
      <c r="I3397">
        <v>405</v>
      </c>
      <c r="J3397" t="s">
        <v>6981</v>
      </c>
      <c r="K3397" t="s">
        <v>44</v>
      </c>
      <c r="N3397" t="s">
        <v>45</v>
      </c>
      <c r="O3397" t="s">
        <v>46</v>
      </c>
      <c r="P3397" t="s">
        <v>45</v>
      </c>
      <c r="Q3397" t="s">
        <v>47</v>
      </c>
      <c r="R3397" t="s">
        <v>44</v>
      </c>
      <c r="S3397">
        <v>0</v>
      </c>
      <c r="W3397" s="3">
        <v>4.1435185185185179E-2</v>
      </c>
      <c r="X3397" t="s">
        <v>6982</v>
      </c>
      <c r="Y3397">
        <v>25</v>
      </c>
      <c r="Z3397">
        <v>0</v>
      </c>
      <c r="AA3397" t="s">
        <v>49</v>
      </c>
      <c r="AB3397">
        <v>0</v>
      </c>
      <c r="AC3397" t="s">
        <v>6983</v>
      </c>
      <c r="AD3397">
        <v>2</v>
      </c>
      <c r="AE3397">
        <v>-1</v>
      </c>
      <c r="AF3397" t="s">
        <v>50</v>
      </c>
      <c r="AG3397" t="s">
        <v>6551</v>
      </c>
    </row>
    <row r="3398" spans="1:33" x14ac:dyDescent="0.35">
      <c r="A3398" s="1">
        <v>44728.56527777778</v>
      </c>
      <c r="B3398">
        <v>452947</v>
      </c>
      <c r="C3398" t="s">
        <v>6984</v>
      </c>
      <c r="D3398" t="s">
        <v>65</v>
      </c>
      <c r="E3398" s="2">
        <v>40002</v>
      </c>
      <c r="F3398" t="str">
        <f>"9780080922515"</f>
        <v>9780080922515</v>
      </c>
      <c r="G3398" t="str">
        <f>"9780123744579"</f>
        <v>9780123744579</v>
      </c>
      <c r="H3398" t="s">
        <v>6985</v>
      </c>
      <c r="I3398">
        <v>621.36699999999996</v>
      </c>
      <c r="J3398" t="s">
        <v>6986</v>
      </c>
      <c r="K3398" t="s">
        <v>44</v>
      </c>
      <c r="N3398" t="s">
        <v>45</v>
      </c>
      <c r="O3398" t="s">
        <v>46</v>
      </c>
      <c r="P3398" t="s">
        <v>45</v>
      </c>
      <c r="Q3398" t="s">
        <v>47</v>
      </c>
      <c r="R3398" t="s">
        <v>44</v>
      </c>
      <c r="S3398">
        <v>0</v>
      </c>
      <c r="W3398" s="3">
        <v>5.0925925925925921E-4</v>
      </c>
      <c r="X3398" t="s">
        <v>196</v>
      </c>
      <c r="Y3398">
        <v>2</v>
      </c>
      <c r="Z3398">
        <v>0</v>
      </c>
      <c r="AA3398" t="s">
        <v>49</v>
      </c>
      <c r="AB3398">
        <v>0</v>
      </c>
      <c r="AC3398" t="s">
        <v>49</v>
      </c>
      <c r="AD3398">
        <v>0</v>
      </c>
      <c r="AE3398">
        <v>10310756</v>
      </c>
      <c r="AF3398" t="s">
        <v>50</v>
      </c>
      <c r="AG3398" t="s">
        <v>6987</v>
      </c>
    </row>
    <row r="3399" spans="1:33" x14ac:dyDescent="0.35">
      <c r="A3399" s="1">
        <v>44728.002083333333</v>
      </c>
      <c r="B3399">
        <v>1896062</v>
      </c>
      <c r="C3399" t="s">
        <v>6988</v>
      </c>
      <c r="D3399" t="s">
        <v>59</v>
      </c>
      <c r="E3399" s="2">
        <v>42177</v>
      </c>
      <c r="F3399" t="str">
        <f>"9783527672936"</f>
        <v>9783527672936</v>
      </c>
      <c r="G3399" t="str">
        <f>"9783527319022"</f>
        <v>9783527319022</v>
      </c>
      <c r="H3399" t="s">
        <v>542</v>
      </c>
      <c r="I3399">
        <v>621.31200000000001</v>
      </c>
      <c r="J3399" t="s">
        <v>6989</v>
      </c>
      <c r="K3399" t="s">
        <v>44</v>
      </c>
      <c r="N3399" t="s">
        <v>45</v>
      </c>
      <c r="O3399" t="s">
        <v>46</v>
      </c>
      <c r="P3399" t="s">
        <v>45</v>
      </c>
      <c r="Q3399" t="s">
        <v>47</v>
      </c>
      <c r="R3399" t="s">
        <v>44</v>
      </c>
      <c r="S3399">
        <v>1</v>
      </c>
      <c r="W3399" s="3">
        <v>0</v>
      </c>
      <c r="X3399" t="s">
        <v>49</v>
      </c>
      <c r="Y3399">
        <v>0</v>
      </c>
      <c r="Z3399">
        <v>0</v>
      </c>
      <c r="AA3399" t="s">
        <v>49</v>
      </c>
      <c r="AB3399">
        <v>0</v>
      </c>
      <c r="AC3399" t="s">
        <v>49</v>
      </c>
      <c r="AD3399">
        <v>0</v>
      </c>
      <c r="AE3399">
        <v>11047037</v>
      </c>
      <c r="AF3399" t="s">
        <v>63</v>
      </c>
      <c r="AG3399" t="s">
        <v>5850</v>
      </c>
    </row>
    <row r="3400" spans="1:33" x14ac:dyDescent="0.35">
      <c r="A3400" s="1">
        <v>44727.993750000001</v>
      </c>
      <c r="B3400">
        <v>5327239</v>
      </c>
      <c r="C3400" t="s">
        <v>6990</v>
      </c>
      <c r="D3400" t="s">
        <v>2116</v>
      </c>
      <c r="E3400" s="2">
        <v>42887</v>
      </c>
      <c r="F3400" t="str">
        <f>"9781945612718"</f>
        <v>9781945612718</v>
      </c>
      <c r="G3400" t="str">
        <f>"9781945612701"</f>
        <v>9781945612701</v>
      </c>
      <c r="H3400" t="s">
        <v>6991</v>
      </c>
      <c r="K3400" t="s">
        <v>44</v>
      </c>
      <c r="N3400" t="s">
        <v>45</v>
      </c>
      <c r="O3400" t="s">
        <v>46</v>
      </c>
      <c r="P3400" t="s">
        <v>45</v>
      </c>
      <c r="Q3400" t="s">
        <v>47</v>
      </c>
      <c r="R3400" t="s">
        <v>44</v>
      </c>
      <c r="S3400">
        <v>0</v>
      </c>
      <c r="W3400" s="3">
        <v>0</v>
      </c>
      <c r="X3400" t="s">
        <v>49</v>
      </c>
      <c r="Y3400">
        <v>0</v>
      </c>
      <c r="Z3400">
        <v>2</v>
      </c>
      <c r="AA3400" t="s">
        <v>6992</v>
      </c>
      <c r="AB3400">
        <v>18</v>
      </c>
      <c r="AC3400" t="s">
        <v>49</v>
      </c>
      <c r="AD3400">
        <v>0</v>
      </c>
      <c r="AE3400">
        <v>11533444</v>
      </c>
      <c r="AF3400" t="s">
        <v>50</v>
      </c>
      <c r="AG3400" t="s">
        <v>5850</v>
      </c>
    </row>
    <row r="3401" spans="1:33" x14ac:dyDescent="0.35">
      <c r="A3401" s="1">
        <v>44727.918055555558</v>
      </c>
      <c r="B3401">
        <v>699344</v>
      </c>
      <c r="C3401" t="s">
        <v>6993</v>
      </c>
      <c r="D3401" t="s">
        <v>59</v>
      </c>
      <c r="E3401" s="2">
        <v>40658</v>
      </c>
      <c r="F3401" t="str">
        <f>"9781119991168"</f>
        <v>9781119991168</v>
      </c>
      <c r="G3401" t="str">
        <f>"9780470682548"</f>
        <v>9780470682548</v>
      </c>
      <c r="H3401" t="s">
        <v>546</v>
      </c>
      <c r="I3401">
        <v>621.31299999999999</v>
      </c>
      <c r="J3401" t="s">
        <v>6994</v>
      </c>
      <c r="K3401" t="s">
        <v>44</v>
      </c>
      <c r="N3401" t="s">
        <v>45</v>
      </c>
      <c r="O3401" t="s">
        <v>46</v>
      </c>
      <c r="P3401" t="s">
        <v>45</v>
      </c>
      <c r="Q3401" t="s">
        <v>47</v>
      </c>
      <c r="R3401" t="s">
        <v>44</v>
      </c>
      <c r="S3401">
        <v>0</v>
      </c>
      <c r="W3401" s="3">
        <v>1.1226851851851851E-3</v>
      </c>
      <c r="X3401" t="s">
        <v>6995</v>
      </c>
      <c r="Y3401">
        <v>11</v>
      </c>
      <c r="Z3401">
        <v>0</v>
      </c>
      <c r="AA3401" t="s">
        <v>49</v>
      </c>
      <c r="AB3401">
        <v>0</v>
      </c>
      <c r="AC3401" t="s">
        <v>49</v>
      </c>
      <c r="AD3401">
        <v>0</v>
      </c>
      <c r="AE3401">
        <v>10510441</v>
      </c>
      <c r="AF3401" t="s">
        <v>50</v>
      </c>
      <c r="AG3401" t="s">
        <v>5850</v>
      </c>
    </row>
    <row r="3402" spans="1:33" x14ac:dyDescent="0.35">
      <c r="A3402" s="1">
        <v>44727.821527777778</v>
      </c>
      <c r="B3402">
        <v>349729</v>
      </c>
      <c r="C3402" t="s">
        <v>6960</v>
      </c>
      <c r="D3402" t="s">
        <v>6961</v>
      </c>
      <c r="E3402" s="2">
        <v>39417</v>
      </c>
      <c r="F3402" t="str">
        <f>"9781921513091"</f>
        <v>9781921513091</v>
      </c>
      <c r="G3402" t="str">
        <f>"9781875378760"</f>
        <v>9781875378760</v>
      </c>
      <c r="H3402" t="s">
        <v>60</v>
      </c>
      <c r="I3402" t="s">
        <v>6962</v>
      </c>
      <c r="J3402" t="s">
        <v>6963</v>
      </c>
      <c r="K3402" t="s">
        <v>44</v>
      </c>
      <c r="N3402" t="s">
        <v>45</v>
      </c>
      <c r="O3402" t="s">
        <v>46</v>
      </c>
      <c r="P3402" t="s">
        <v>45</v>
      </c>
      <c r="Q3402" t="s">
        <v>47</v>
      </c>
      <c r="R3402" t="s">
        <v>44</v>
      </c>
      <c r="S3402">
        <v>0</v>
      </c>
      <c r="W3402" s="3">
        <v>1.0532407407407407E-3</v>
      </c>
      <c r="X3402" t="s">
        <v>4088</v>
      </c>
      <c r="Y3402">
        <v>9</v>
      </c>
      <c r="Z3402">
        <v>0</v>
      </c>
      <c r="AA3402" t="s">
        <v>49</v>
      </c>
      <c r="AB3402">
        <v>0</v>
      </c>
      <c r="AC3402" t="s">
        <v>49</v>
      </c>
      <c r="AD3402">
        <v>0</v>
      </c>
      <c r="AE3402">
        <v>10551736</v>
      </c>
      <c r="AF3402" t="s">
        <v>50</v>
      </c>
      <c r="AG3402" t="s">
        <v>6996</v>
      </c>
    </row>
    <row r="3403" spans="1:33" x14ac:dyDescent="0.35">
      <c r="A3403" s="1">
        <v>44727.69027777778</v>
      </c>
      <c r="B3403">
        <v>1120682</v>
      </c>
      <c r="C3403" t="s">
        <v>6997</v>
      </c>
      <c r="D3403" t="s">
        <v>59</v>
      </c>
      <c r="E3403" s="2">
        <v>41337</v>
      </c>
      <c r="F3403" t="str">
        <f>"9781118519318"</f>
        <v>9781118519318</v>
      </c>
      <c r="G3403" t="str">
        <f>"9781118519301"</f>
        <v>9781118519301</v>
      </c>
      <c r="H3403" t="s">
        <v>542</v>
      </c>
      <c r="I3403">
        <v>621.38099999999997</v>
      </c>
      <c r="J3403" t="s">
        <v>6998</v>
      </c>
      <c r="K3403" t="s">
        <v>44</v>
      </c>
      <c r="N3403" t="s">
        <v>45</v>
      </c>
      <c r="O3403" t="s">
        <v>46</v>
      </c>
      <c r="P3403" t="s">
        <v>45</v>
      </c>
      <c r="Q3403" t="s">
        <v>47</v>
      </c>
      <c r="R3403" t="s">
        <v>44</v>
      </c>
      <c r="S3403">
        <v>0</v>
      </c>
      <c r="W3403" s="3">
        <v>3.3564814814814812E-4</v>
      </c>
      <c r="X3403" t="s">
        <v>6999</v>
      </c>
      <c r="Y3403">
        <v>5</v>
      </c>
      <c r="Z3403">
        <v>0</v>
      </c>
      <c r="AA3403" t="s">
        <v>49</v>
      </c>
      <c r="AB3403">
        <v>0</v>
      </c>
      <c r="AC3403" t="s">
        <v>49</v>
      </c>
      <c r="AD3403">
        <v>0</v>
      </c>
      <c r="AE3403">
        <v>10657602</v>
      </c>
      <c r="AF3403" t="s">
        <v>63</v>
      </c>
      <c r="AG3403" t="s">
        <v>4074</v>
      </c>
    </row>
    <row r="3404" spans="1:33" x14ac:dyDescent="0.35">
      <c r="A3404" s="1">
        <v>44727.677083333336</v>
      </c>
      <c r="B3404">
        <v>1962522</v>
      </c>
      <c r="C3404" t="s">
        <v>7000</v>
      </c>
      <c r="D3404" t="s">
        <v>329</v>
      </c>
      <c r="E3404" s="2">
        <v>42058</v>
      </c>
      <c r="F3404" t="str">
        <f>"9780323375221"</f>
        <v>9780323375221</v>
      </c>
      <c r="G3404" t="str">
        <f>"9780323375214"</f>
        <v>9780323375214</v>
      </c>
      <c r="H3404" t="s">
        <v>7001</v>
      </c>
      <c r="I3404" t="s">
        <v>7002</v>
      </c>
      <c r="J3404" t="s">
        <v>7003</v>
      </c>
      <c r="K3404" t="s">
        <v>44</v>
      </c>
      <c r="N3404" t="s">
        <v>45</v>
      </c>
      <c r="O3404" t="s">
        <v>46</v>
      </c>
      <c r="P3404" t="s">
        <v>45</v>
      </c>
      <c r="Q3404" t="s">
        <v>47</v>
      </c>
      <c r="R3404" t="s">
        <v>44</v>
      </c>
      <c r="S3404">
        <v>1</v>
      </c>
      <c r="W3404" s="3">
        <v>1.5787037037037037E-2</v>
      </c>
      <c r="X3404" t="s">
        <v>7004</v>
      </c>
      <c r="Y3404">
        <v>15</v>
      </c>
      <c r="Z3404">
        <v>0</v>
      </c>
      <c r="AA3404" t="s">
        <v>49</v>
      </c>
      <c r="AB3404">
        <v>0</v>
      </c>
      <c r="AC3404" t="s">
        <v>49</v>
      </c>
      <c r="AD3404">
        <v>0</v>
      </c>
      <c r="AE3404">
        <v>11021977</v>
      </c>
      <c r="AF3404" t="s">
        <v>63</v>
      </c>
      <c r="AG3404" t="s">
        <v>4074</v>
      </c>
    </row>
    <row r="3405" spans="1:33" x14ac:dyDescent="0.35">
      <c r="A3405" s="1">
        <v>44727.436111111114</v>
      </c>
      <c r="B3405">
        <v>4772287</v>
      </c>
      <c r="C3405" t="s">
        <v>6923</v>
      </c>
      <c r="D3405" t="s">
        <v>59</v>
      </c>
      <c r="E3405" s="2">
        <v>42752</v>
      </c>
      <c r="F3405" t="str">
        <f>"9781118827765"</f>
        <v>9781118827765</v>
      </c>
      <c r="G3405" t="str">
        <f>"9781118827796"</f>
        <v>9781118827796</v>
      </c>
      <c r="H3405" t="s">
        <v>538</v>
      </c>
      <c r="I3405">
        <v>629.13499999999999</v>
      </c>
      <c r="J3405" t="s">
        <v>6924</v>
      </c>
      <c r="K3405" t="s">
        <v>44</v>
      </c>
      <c r="N3405" t="s">
        <v>45</v>
      </c>
      <c r="O3405" t="s">
        <v>46</v>
      </c>
      <c r="P3405" t="s">
        <v>45</v>
      </c>
      <c r="Q3405" t="s">
        <v>47</v>
      </c>
      <c r="R3405" t="s">
        <v>44</v>
      </c>
      <c r="S3405">
        <v>0</v>
      </c>
      <c r="W3405" s="3">
        <v>1.0763888888888889E-3</v>
      </c>
      <c r="X3405" t="s">
        <v>7005</v>
      </c>
      <c r="Y3405">
        <v>9</v>
      </c>
      <c r="Z3405">
        <v>0</v>
      </c>
      <c r="AA3405" t="s">
        <v>49</v>
      </c>
      <c r="AB3405">
        <v>0</v>
      </c>
      <c r="AC3405" t="s">
        <v>49</v>
      </c>
      <c r="AD3405">
        <v>0</v>
      </c>
      <c r="AE3405">
        <v>11319736</v>
      </c>
      <c r="AF3405" t="s">
        <v>50</v>
      </c>
      <c r="AG3405" t="s">
        <v>6551</v>
      </c>
    </row>
    <row r="3406" spans="1:33" x14ac:dyDescent="0.35">
      <c r="A3406" s="1">
        <v>44726.688194444447</v>
      </c>
      <c r="B3406">
        <v>765013</v>
      </c>
      <c r="C3406" t="s">
        <v>6937</v>
      </c>
      <c r="D3406" t="s">
        <v>76</v>
      </c>
      <c r="E3406" s="2">
        <v>38098</v>
      </c>
      <c r="F3406" t="str">
        <f>"9781849404426"</f>
        <v>9781849404426</v>
      </c>
      <c r="G3406" t="str">
        <f>"9781855753150"</f>
        <v>9781855753150</v>
      </c>
      <c r="H3406" t="s">
        <v>667</v>
      </c>
      <c r="I3406">
        <v>938.07092399999999</v>
      </c>
      <c r="J3406" t="s">
        <v>6938</v>
      </c>
      <c r="K3406" t="s">
        <v>44</v>
      </c>
      <c r="N3406" t="s">
        <v>45</v>
      </c>
      <c r="O3406" t="s">
        <v>46</v>
      </c>
      <c r="P3406" t="s">
        <v>45</v>
      </c>
      <c r="Q3406" t="s">
        <v>47</v>
      </c>
      <c r="R3406" t="s">
        <v>44</v>
      </c>
      <c r="S3406">
        <v>0</v>
      </c>
      <c r="W3406" s="3">
        <v>4.6296296296296294E-5</v>
      </c>
      <c r="X3406" t="s">
        <v>121</v>
      </c>
      <c r="Y3406">
        <v>1</v>
      </c>
      <c r="Z3406">
        <v>0</v>
      </c>
      <c r="AA3406" t="s">
        <v>49</v>
      </c>
      <c r="AB3406">
        <v>0</v>
      </c>
      <c r="AC3406" t="s">
        <v>49</v>
      </c>
      <c r="AD3406">
        <v>0</v>
      </c>
      <c r="AE3406">
        <v>10495806</v>
      </c>
      <c r="AF3406" t="s">
        <v>50</v>
      </c>
      <c r="AG3406" t="s">
        <v>6996</v>
      </c>
    </row>
    <row r="3407" spans="1:33" x14ac:dyDescent="0.35">
      <c r="A3407" s="1">
        <v>44726.386111111111</v>
      </c>
      <c r="B3407">
        <v>1117021</v>
      </c>
      <c r="C3407" t="s">
        <v>7006</v>
      </c>
      <c r="D3407" t="s">
        <v>59</v>
      </c>
      <c r="E3407" s="2">
        <v>41324</v>
      </c>
      <c r="F3407" t="str">
        <f>"9781118523506"</f>
        <v>9781118523506</v>
      </c>
      <c r="G3407" t="str">
        <f>"9781118447000"</f>
        <v>9781118447000</v>
      </c>
      <c r="H3407" t="s">
        <v>7007</v>
      </c>
      <c r="I3407">
        <v>623.89300000000003</v>
      </c>
      <c r="J3407" t="s">
        <v>7008</v>
      </c>
      <c r="K3407" t="s">
        <v>44</v>
      </c>
      <c r="N3407" t="s">
        <v>45</v>
      </c>
      <c r="O3407" t="s">
        <v>46</v>
      </c>
      <c r="P3407" t="s">
        <v>45</v>
      </c>
      <c r="Q3407" t="s">
        <v>47</v>
      </c>
      <c r="R3407" t="s">
        <v>44</v>
      </c>
      <c r="S3407">
        <v>0</v>
      </c>
      <c r="W3407" s="3">
        <v>0</v>
      </c>
      <c r="X3407" t="s">
        <v>49</v>
      </c>
      <c r="Y3407">
        <v>0</v>
      </c>
      <c r="Z3407">
        <v>1</v>
      </c>
      <c r="AA3407" t="s">
        <v>7009</v>
      </c>
      <c r="AB3407">
        <v>23</v>
      </c>
      <c r="AC3407" t="s">
        <v>49</v>
      </c>
      <c r="AD3407">
        <v>0</v>
      </c>
      <c r="AE3407">
        <v>10650984</v>
      </c>
      <c r="AF3407" t="s">
        <v>50</v>
      </c>
      <c r="AG3407" t="s">
        <v>5711</v>
      </c>
    </row>
    <row r="3408" spans="1:33" x14ac:dyDescent="0.35">
      <c r="A3408" s="1">
        <v>44725.65625</v>
      </c>
      <c r="B3408">
        <v>452947</v>
      </c>
      <c r="C3408" t="s">
        <v>6984</v>
      </c>
      <c r="D3408" t="s">
        <v>65</v>
      </c>
      <c r="E3408" s="2">
        <v>40002</v>
      </c>
      <c r="F3408" t="str">
        <f>"9780080922515"</f>
        <v>9780080922515</v>
      </c>
      <c r="G3408" t="str">
        <f>"9780123744579"</f>
        <v>9780123744579</v>
      </c>
      <c r="H3408" t="s">
        <v>6985</v>
      </c>
      <c r="I3408">
        <v>621.36699999999996</v>
      </c>
      <c r="J3408" t="s">
        <v>6986</v>
      </c>
      <c r="K3408" t="s">
        <v>44</v>
      </c>
      <c r="N3408" t="s">
        <v>45</v>
      </c>
      <c r="O3408" t="s">
        <v>46</v>
      </c>
      <c r="P3408" t="s">
        <v>45</v>
      </c>
      <c r="Q3408" t="s">
        <v>47</v>
      </c>
      <c r="R3408" t="s">
        <v>44</v>
      </c>
      <c r="S3408">
        <v>0</v>
      </c>
      <c r="W3408" s="3">
        <v>1.1574074074074073E-5</v>
      </c>
      <c r="X3408" t="s">
        <v>121</v>
      </c>
      <c r="Y3408">
        <v>1</v>
      </c>
      <c r="Z3408">
        <v>0</v>
      </c>
      <c r="AA3408" t="s">
        <v>49</v>
      </c>
      <c r="AB3408">
        <v>0</v>
      </c>
      <c r="AC3408" t="s">
        <v>49</v>
      </c>
      <c r="AD3408">
        <v>0</v>
      </c>
      <c r="AE3408">
        <v>10310756</v>
      </c>
      <c r="AF3408" t="s">
        <v>50</v>
      </c>
      <c r="AG3408" t="s">
        <v>6893</v>
      </c>
    </row>
    <row r="3409" spans="1:33" x14ac:dyDescent="0.35">
      <c r="A3409" s="1">
        <v>44725.625</v>
      </c>
      <c r="B3409">
        <v>452947</v>
      </c>
      <c r="C3409" t="s">
        <v>6984</v>
      </c>
      <c r="D3409" t="s">
        <v>65</v>
      </c>
      <c r="E3409" s="2">
        <v>40002</v>
      </c>
      <c r="F3409" t="str">
        <f>"9780080922515"</f>
        <v>9780080922515</v>
      </c>
      <c r="G3409" t="str">
        <f>"9780123744579"</f>
        <v>9780123744579</v>
      </c>
      <c r="H3409" t="s">
        <v>6985</v>
      </c>
      <c r="I3409">
        <v>621.36699999999996</v>
      </c>
      <c r="J3409" t="s">
        <v>6986</v>
      </c>
      <c r="K3409" t="s">
        <v>44</v>
      </c>
      <c r="N3409" t="s">
        <v>45</v>
      </c>
      <c r="O3409" t="s">
        <v>46</v>
      </c>
      <c r="P3409" t="s">
        <v>45</v>
      </c>
      <c r="Q3409" t="s">
        <v>47</v>
      </c>
      <c r="R3409" t="s">
        <v>44</v>
      </c>
      <c r="S3409">
        <v>0</v>
      </c>
      <c r="W3409" s="3">
        <v>2.4189814814814816E-3</v>
      </c>
      <c r="X3409" t="s">
        <v>7010</v>
      </c>
      <c r="Y3409">
        <v>13</v>
      </c>
      <c r="Z3409">
        <v>0</v>
      </c>
      <c r="AA3409" t="s">
        <v>49</v>
      </c>
      <c r="AB3409">
        <v>0</v>
      </c>
      <c r="AC3409" t="s">
        <v>49</v>
      </c>
      <c r="AD3409">
        <v>0</v>
      </c>
      <c r="AE3409">
        <v>10310756</v>
      </c>
      <c r="AF3409" t="s">
        <v>50</v>
      </c>
      <c r="AG3409" t="s">
        <v>6893</v>
      </c>
    </row>
    <row r="3410" spans="1:33" x14ac:dyDescent="0.35">
      <c r="A3410" s="1">
        <v>44725.465277777781</v>
      </c>
      <c r="B3410">
        <v>1895593</v>
      </c>
      <c r="C3410" t="s">
        <v>7011</v>
      </c>
      <c r="D3410" t="s">
        <v>59</v>
      </c>
      <c r="E3410" s="2">
        <v>42170</v>
      </c>
      <c r="F3410" t="str">
        <f>"9781118770634"</f>
        <v>9781118770634</v>
      </c>
      <c r="G3410" t="str">
        <f>"9781118770658"</f>
        <v>9781118770658</v>
      </c>
      <c r="H3410" t="s">
        <v>252</v>
      </c>
      <c r="I3410" t="s">
        <v>7012</v>
      </c>
      <c r="J3410" t="s">
        <v>7013</v>
      </c>
      <c r="K3410" t="s">
        <v>44</v>
      </c>
      <c r="N3410" t="s">
        <v>45</v>
      </c>
      <c r="O3410" t="s">
        <v>46</v>
      </c>
      <c r="P3410" t="s">
        <v>45</v>
      </c>
      <c r="Q3410" t="s">
        <v>47</v>
      </c>
      <c r="R3410" t="s">
        <v>44</v>
      </c>
      <c r="S3410">
        <v>0</v>
      </c>
      <c r="W3410" s="3">
        <v>2.1064814814814813E-3</v>
      </c>
      <c r="X3410" t="s">
        <v>7014</v>
      </c>
      <c r="Y3410">
        <v>20</v>
      </c>
      <c r="Z3410">
        <v>0</v>
      </c>
      <c r="AA3410" t="s">
        <v>49</v>
      </c>
      <c r="AB3410">
        <v>0</v>
      </c>
      <c r="AC3410" t="s">
        <v>49</v>
      </c>
      <c r="AD3410">
        <v>0</v>
      </c>
      <c r="AE3410">
        <v>11049062</v>
      </c>
      <c r="AF3410" t="s">
        <v>50</v>
      </c>
      <c r="AG3410" t="s">
        <v>6551</v>
      </c>
    </row>
    <row r="3411" spans="1:33" x14ac:dyDescent="0.35">
      <c r="A3411" s="1">
        <v>44724.713194444441</v>
      </c>
      <c r="B3411">
        <v>3330326</v>
      </c>
      <c r="C3411" t="s">
        <v>7015</v>
      </c>
      <c r="D3411" t="s">
        <v>7016</v>
      </c>
      <c r="E3411" s="2">
        <v>39995</v>
      </c>
      <c r="F3411" t="str">
        <f>"9780883859728"</f>
        <v>9780883859728</v>
      </c>
      <c r="G3411" t="str">
        <f>"9780883857717"</f>
        <v>9780883857717</v>
      </c>
      <c r="H3411" t="s">
        <v>43</v>
      </c>
      <c r="I3411">
        <v>515</v>
      </c>
      <c r="J3411" t="s">
        <v>7017</v>
      </c>
      <c r="K3411" t="s">
        <v>44</v>
      </c>
      <c r="N3411" t="s">
        <v>45</v>
      </c>
      <c r="O3411" t="s">
        <v>46</v>
      </c>
      <c r="P3411" t="s">
        <v>45</v>
      </c>
      <c r="Q3411" t="s">
        <v>47</v>
      </c>
      <c r="R3411" t="s">
        <v>44</v>
      </c>
      <c r="S3411">
        <v>0</v>
      </c>
      <c r="W3411" s="3">
        <v>3.5879629629629635E-4</v>
      </c>
      <c r="X3411" t="s">
        <v>7018</v>
      </c>
      <c r="Y3411">
        <v>10</v>
      </c>
      <c r="Z3411">
        <v>0</v>
      </c>
      <c r="AA3411" t="s">
        <v>49</v>
      </c>
      <c r="AB3411">
        <v>0</v>
      </c>
      <c r="AC3411" t="s">
        <v>49</v>
      </c>
      <c r="AD3411">
        <v>0</v>
      </c>
      <c r="AE3411">
        <v>10722437</v>
      </c>
      <c r="AF3411" t="s">
        <v>50</v>
      </c>
      <c r="AG3411" t="s">
        <v>4074</v>
      </c>
    </row>
    <row r="3412" spans="1:33" x14ac:dyDescent="0.35">
      <c r="A3412" s="1">
        <v>44724.711805555555</v>
      </c>
      <c r="B3412">
        <v>4877050</v>
      </c>
      <c r="C3412" t="s">
        <v>2704</v>
      </c>
      <c r="D3412" t="s">
        <v>199</v>
      </c>
      <c r="E3412" s="2">
        <v>42491</v>
      </c>
      <c r="F3412" t="str">
        <f>"9781423233671"</f>
        <v>9781423233671</v>
      </c>
      <c r="G3412" t="str">
        <f>"9781423233039"</f>
        <v>9781423233039</v>
      </c>
      <c r="H3412" t="s">
        <v>43</v>
      </c>
      <c r="I3412">
        <v>515</v>
      </c>
      <c r="J3412" t="s">
        <v>2705</v>
      </c>
      <c r="K3412" t="s">
        <v>44</v>
      </c>
      <c r="N3412" t="s">
        <v>45</v>
      </c>
      <c r="O3412" t="s">
        <v>46</v>
      </c>
      <c r="P3412" t="s">
        <v>45</v>
      </c>
      <c r="Q3412" t="s">
        <v>47</v>
      </c>
      <c r="R3412" t="s">
        <v>44</v>
      </c>
      <c r="S3412">
        <v>0</v>
      </c>
      <c r="W3412" s="3">
        <v>4.0509259259259258E-4</v>
      </c>
      <c r="X3412" t="s">
        <v>7019</v>
      </c>
      <c r="Y3412">
        <v>6</v>
      </c>
      <c r="Z3412">
        <v>0</v>
      </c>
      <c r="AA3412" t="s">
        <v>49</v>
      </c>
      <c r="AB3412">
        <v>0</v>
      </c>
      <c r="AC3412" t="s">
        <v>49</v>
      </c>
      <c r="AD3412">
        <v>0</v>
      </c>
      <c r="AE3412">
        <v>11397719</v>
      </c>
      <c r="AF3412" t="s">
        <v>50</v>
      </c>
      <c r="AG3412" t="s">
        <v>4074</v>
      </c>
    </row>
    <row r="3413" spans="1:33" x14ac:dyDescent="0.35">
      <c r="A3413" s="1">
        <v>44723.398611111108</v>
      </c>
      <c r="B3413">
        <v>3339752</v>
      </c>
      <c r="C3413" t="s">
        <v>7020</v>
      </c>
      <c r="D3413" t="s">
        <v>303</v>
      </c>
      <c r="E3413" s="2">
        <v>41691</v>
      </c>
      <c r="F3413" t="str">
        <f>"9780262321549"</f>
        <v>9780262321549</v>
      </c>
      <c r="G3413" t="str">
        <f>"9780262026710"</f>
        <v>9780262026710</v>
      </c>
      <c r="H3413" t="s">
        <v>1069</v>
      </c>
      <c r="I3413">
        <v>808.87</v>
      </c>
      <c r="J3413" t="s">
        <v>7021</v>
      </c>
      <c r="K3413" t="s">
        <v>44</v>
      </c>
      <c r="N3413" t="s">
        <v>45</v>
      </c>
      <c r="O3413" t="s">
        <v>46</v>
      </c>
      <c r="P3413" t="s">
        <v>45</v>
      </c>
      <c r="Q3413" t="s">
        <v>47</v>
      </c>
      <c r="R3413" t="s">
        <v>44</v>
      </c>
      <c r="S3413">
        <v>0</v>
      </c>
      <c r="W3413" s="3">
        <v>2.3715277777777776E-2</v>
      </c>
      <c r="X3413" t="s">
        <v>7022</v>
      </c>
      <c r="Y3413">
        <v>27</v>
      </c>
      <c r="Z3413">
        <v>0</v>
      </c>
      <c r="AA3413" t="s">
        <v>49</v>
      </c>
      <c r="AB3413">
        <v>0</v>
      </c>
      <c r="AC3413" t="s">
        <v>7023</v>
      </c>
      <c r="AD3413">
        <v>2</v>
      </c>
      <c r="AE3413">
        <v>10841925</v>
      </c>
      <c r="AF3413" t="s">
        <v>50</v>
      </c>
      <c r="AG3413" t="s">
        <v>6996</v>
      </c>
    </row>
    <row r="3414" spans="1:33" x14ac:dyDescent="0.35">
      <c r="A3414" s="1">
        <v>44722.899305555555</v>
      </c>
      <c r="B3414">
        <v>4875240</v>
      </c>
      <c r="C3414" t="s">
        <v>7024</v>
      </c>
      <c r="D3414" t="s">
        <v>59</v>
      </c>
      <c r="E3414" s="2">
        <v>42954</v>
      </c>
      <c r="F3414" t="str">
        <f>"9781119329039"</f>
        <v>9781119329039</v>
      </c>
      <c r="G3414" t="str">
        <f>"9781119329053"</f>
        <v>9781119329053</v>
      </c>
      <c r="H3414" t="s">
        <v>542</v>
      </c>
      <c r="I3414">
        <v>621.38104399999997</v>
      </c>
      <c r="J3414" t="s">
        <v>7025</v>
      </c>
      <c r="K3414" t="s">
        <v>44</v>
      </c>
      <c r="N3414" t="s">
        <v>45</v>
      </c>
      <c r="O3414" t="s">
        <v>46</v>
      </c>
      <c r="P3414" t="s">
        <v>45</v>
      </c>
      <c r="Q3414" t="s">
        <v>47</v>
      </c>
      <c r="R3414" t="s">
        <v>44</v>
      </c>
      <c r="S3414">
        <v>0</v>
      </c>
      <c r="W3414" s="3">
        <v>9.2592592592592588E-5</v>
      </c>
      <c r="X3414" t="s">
        <v>121</v>
      </c>
      <c r="Y3414">
        <v>1</v>
      </c>
      <c r="Z3414">
        <v>0</v>
      </c>
      <c r="AA3414" t="s">
        <v>49</v>
      </c>
      <c r="AB3414">
        <v>0</v>
      </c>
      <c r="AC3414" t="s">
        <v>49</v>
      </c>
      <c r="AD3414">
        <v>0</v>
      </c>
      <c r="AE3414">
        <v>11395817</v>
      </c>
      <c r="AF3414" t="s">
        <v>50</v>
      </c>
      <c r="AG3414" t="s">
        <v>6551</v>
      </c>
    </row>
    <row r="3415" spans="1:33" x14ac:dyDescent="0.35">
      <c r="A3415" s="1">
        <v>44722.739583333336</v>
      </c>
      <c r="B3415">
        <v>3377493</v>
      </c>
      <c r="C3415" t="s">
        <v>7026</v>
      </c>
      <c r="D3415" t="s">
        <v>175</v>
      </c>
      <c r="E3415" s="2">
        <v>38313</v>
      </c>
      <c r="F3415" t="str">
        <f>"9780309531702"</f>
        <v>9780309531702</v>
      </c>
      <c r="G3415" t="str">
        <f>"9780309091992"</f>
        <v>9780309091992</v>
      </c>
      <c r="H3415" t="s">
        <v>290</v>
      </c>
      <c r="J3415" t="s">
        <v>7027</v>
      </c>
      <c r="K3415" t="s">
        <v>44</v>
      </c>
      <c r="N3415" t="s">
        <v>45</v>
      </c>
      <c r="O3415" t="s">
        <v>46</v>
      </c>
      <c r="P3415" t="s">
        <v>177</v>
      </c>
      <c r="Q3415" t="s">
        <v>47</v>
      </c>
      <c r="R3415" t="s">
        <v>55</v>
      </c>
      <c r="S3415">
        <v>0</v>
      </c>
      <c r="W3415" s="3">
        <v>4.3981481481481481E-4</v>
      </c>
      <c r="X3415" t="s">
        <v>7028</v>
      </c>
      <c r="Y3415">
        <v>7</v>
      </c>
      <c r="Z3415">
        <v>0</v>
      </c>
      <c r="AA3415" t="s">
        <v>49</v>
      </c>
      <c r="AB3415">
        <v>0</v>
      </c>
      <c r="AC3415" t="s">
        <v>49</v>
      </c>
      <c r="AD3415">
        <v>0</v>
      </c>
      <c r="AE3415">
        <v>10071524</v>
      </c>
      <c r="AF3415" t="s">
        <v>50</v>
      </c>
      <c r="AG3415" t="s">
        <v>6996</v>
      </c>
    </row>
    <row r="3416" spans="1:33" x14ac:dyDescent="0.35">
      <c r="A3416" s="1">
        <v>44722.478472222225</v>
      </c>
      <c r="B3416">
        <v>911903</v>
      </c>
      <c r="C3416" t="s">
        <v>7029</v>
      </c>
      <c r="D3416" t="s">
        <v>7030</v>
      </c>
      <c r="E3416" s="2">
        <v>40262</v>
      </c>
      <c r="F3416" t="str">
        <f>"9781579225254"</f>
        <v>9781579225254</v>
      </c>
      <c r="G3416" t="str">
        <f>"9781579223694"</f>
        <v>9781579223694</v>
      </c>
      <c r="H3416" t="s">
        <v>90</v>
      </c>
      <c r="I3416" t="s">
        <v>7031</v>
      </c>
      <c r="J3416" t="s">
        <v>7032</v>
      </c>
      <c r="K3416" t="s">
        <v>44</v>
      </c>
      <c r="N3416" t="s">
        <v>45</v>
      </c>
      <c r="O3416" t="s">
        <v>46</v>
      </c>
      <c r="P3416" t="s">
        <v>45</v>
      </c>
      <c r="Q3416" t="s">
        <v>47</v>
      </c>
      <c r="R3416" t="s">
        <v>44</v>
      </c>
      <c r="S3416">
        <v>0</v>
      </c>
      <c r="W3416" s="3">
        <v>1.9675925925925926E-4</v>
      </c>
      <c r="X3416" t="s">
        <v>56</v>
      </c>
      <c r="Y3416">
        <v>3</v>
      </c>
      <c r="Z3416">
        <v>0</v>
      </c>
      <c r="AA3416" t="s">
        <v>49</v>
      </c>
      <c r="AB3416">
        <v>0</v>
      </c>
      <c r="AC3416" t="s">
        <v>49</v>
      </c>
      <c r="AD3416">
        <v>0</v>
      </c>
      <c r="AE3416">
        <v>10545775</v>
      </c>
      <c r="AF3416" t="s">
        <v>50</v>
      </c>
      <c r="AG3416" t="s">
        <v>6996</v>
      </c>
    </row>
    <row r="3417" spans="1:33" x14ac:dyDescent="0.35">
      <c r="A3417" s="1">
        <v>44722.387499999997</v>
      </c>
      <c r="B3417">
        <v>3339752</v>
      </c>
      <c r="C3417" t="s">
        <v>7020</v>
      </c>
      <c r="D3417" t="s">
        <v>303</v>
      </c>
      <c r="E3417" s="2">
        <v>41691</v>
      </c>
      <c r="F3417" t="str">
        <f>"9780262321549"</f>
        <v>9780262321549</v>
      </c>
      <c r="G3417" t="str">
        <f>"9780262026710"</f>
        <v>9780262026710</v>
      </c>
      <c r="H3417" t="s">
        <v>1069</v>
      </c>
      <c r="I3417">
        <v>808.87</v>
      </c>
      <c r="J3417" t="s">
        <v>7021</v>
      </c>
      <c r="K3417" t="s">
        <v>44</v>
      </c>
      <c r="N3417" t="s">
        <v>45</v>
      </c>
      <c r="O3417" t="s">
        <v>46</v>
      </c>
      <c r="P3417" t="s">
        <v>45</v>
      </c>
      <c r="Q3417" t="s">
        <v>47</v>
      </c>
      <c r="R3417" t="s">
        <v>44</v>
      </c>
      <c r="S3417">
        <v>1</v>
      </c>
      <c r="W3417" s="3">
        <v>9.2708333333333341E-3</v>
      </c>
      <c r="X3417" t="s">
        <v>7033</v>
      </c>
      <c r="Y3417">
        <v>23</v>
      </c>
      <c r="Z3417">
        <v>0</v>
      </c>
      <c r="AA3417" t="s">
        <v>49</v>
      </c>
      <c r="AB3417">
        <v>0</v>
      </c>
      <c r="AC3417" t="s">
        <v>7034</v>
      </c>
      <c r="AD3417">
        <v>3</v>
      </c>
      <c r="AE3417">
        <v>10841925</v>
      </c>
      <c r="AF3417" t="s">
        <v>63</v>
      </c>
      <c r="AG3417" t="s">
        <v>6996</v>
      </c>
    </row>
    <row r="3418" spans="1:33" x14ac:dyDescent="0.35">
      <c r="A3418" s="1">
        <v>44722.386805555558</v>
      </c>
      <c r="B3418">
        <v>3339752</v>
      </c>
      <c r="C3418" t="s">
        <v>7020</v>
      </c>
      <c r="D3418" t="s">
        <v>303</v>
      </c>
      <c r="E3418" s="2">
        <v>41691</v>
      </c>
      <c r="F3418" t="str">
        <f>"9780262321549"</f>
        <v>9780262321549</v>
      </c>
      <c r="G3418" t="str">
        <f>"9780262026710"</f>
        <v>9780262026710</v>
      </c>
      <c r="H3418" t="s">
        <v>1069</v>
      </c>
      <c r="I3418">
        <v>808.87</v>
      </c>
      <c r="J3418" t="s">
        <v>7021</v>
      </c>
      <c r="K3418" t="s">
        <v>44</v>
      </c>
      <c r="N3418" t="s">
        <v>45</v>
      </c>
      <c r="O3418" t="s">
        <v>46</v>
      </c>
      <c r="P3418" t="s">
        <v>45</v>
      </c>
      <c r="Q3418" t="s">
        <v>47</v>
      </c>
      <c r="R3418" t="s">
        <v>44</v>
      </c>
      <c r="S3418">
        <v>0</v>
      </c>
      <c r="W3418" s="3">
        <v>6.5972222222222213E-4</v>
      </c>
      <c r="X3418" t="s">
        <v>7035</v>
      </c>
      <c r="Y3418">
        <v>7</v>
      </c>
      <c r="Z3418">
        <v>0</v>
      </c>
      <c r="AA3418" t="s">
        <v>49</v>
      </c>
      <c r="AB3418">
        <v>0</v>
      </c>
      <c r="AC3418" t="s">
        <v>49</v>
      </c>
      <c r="AD3418">
        <v>0</v>
      </c>
      <c r="AE3418">
        <v>10841925</v>
      </c>
      <c r="AF3418" t="s">
        <v>63</v>
      </c>
      <c r="AG3418" t="s">
        <v>6996</v>
      </c>
    </row>
    <row r="3419" spans="1:33" x14ac:dyDescent="0.35">
      <c r="A3419" s="1">
        <v>44722.385416666664</v>
      </c>
      <c r="B3419">
        <v>5723965</v>
      </c>
      <c r="C3419" t="s">
        <v>6137</v>
      </c>
      <c r="D3419" t="s">
        <v>156</v>
      </c>
      <c r="E3419" s="2">
        <v>43528</v>
      </c>
      <c r="F3419" t="str">
        <f>"9780253039729"</f>
        <v>9780253039729</v>
      </c>
      <c r="G3419" t="str">
        <f>"9780253039705"</f>
        <v>9780253039705</v>
      </c>
      <c r="H3419" t="s">
        <v>233</v>
      </c>
      <c r="I3419" t="s">
        <v>6138</v>
      </c>
      <c r="J3419" t="s">
        <v>6139</v>
      </c>
      <c r="K3419" t="s">
        <v>55</v>
      </c>
      <c r="Q3419" t="s">
        <v>47</v>
      </c>
      <c r="R3419" t="s">
        <v>44</v>
      </c>
      <c r="S3419">
        <v>0</v>
      </c>
      <c r="W3419" s="3">
        <v>4.7453703703703704E-4</v>
      </c>
      <c r="X3419" t="s">
        <v>7036</v>
      </c>
      <c r="Y3419">
        <v>6</v>
      </c>
      <c r="Z3419">
        <v>0</v>
      </c>
      <c r="AA3419" t="s">
        <v>49</v>
      </c>
      <c r="AB3419">
        <v>0</v>
      </c>
      <c r="AC3419" t="s">
        <v>49</v>
      </c>
      <c r="AD3419">
        <v>0</v>
      </c>
      <c r="AE3419">
        <v>11657910</v>
      </c>
      <c r="AF3419" t="s">
        <v>50</v>
      </c>
      <c r="AG3419" t="s">
        <v>6996</v>
      </c>
    </row>
    <row r="3420" spans="1:33" x14ac:dyDescent="0.35">
      <c r="A3420" s="1">
        <v>44721.761111111111</v>
      </c>
      <c r="B3420">
        <v>5723965</v>
      </c>
      <c r="C3420" t="s">
        <v>6137</v>
      </c>
      <c r="D3420" t="s">
        <v>156</v>
      </c>
      <c r="E3420" s="2">
        <v>43528</v>
      </c>
      <c r="F3420" t="str">
        <f>"9780253039729"</f>
        <v>9780253039729</v>
      </c>
      <c r="G3420" t="str">
        <f>"9780253039705"</f>
        <v>9780253039705</v>
      </c>
      <c r="H3420" t="s">
        <v>233</v>
      </c>
      <c r="I3420" t="s">
        <v>6138</v>
      </c>
      <c r="J3420" t="s">
        <v>6139</v>
      </c>
      <c r="K3420" t="s">
        <v>55</v>
      </c>
      <c r="Q3420" t="s">
        <v>47</v>
      </c>
      <c r="R3420" t="s">
        <v>44</v>
      </c>
      <c r="S3420">
        <v>0</v>
      </c>
      <c r="W3420" s="3">
        <v>1.3668981481481482E-2</v>
      </c>
      <c r="X3420" t="s">
        <v>7037</v>
      </c>
      <c r="Y3420">
        <v>23</v>
      </c>
      <c r="Z3420">
        <v>0</v>
      </c>
      <c r="AA3420" t="s">
        <v>49</v>
      </c>
      <c r="AB3420">
        <v>0</v>
      </c>
      <c r="AC3420" t="s">
        <v>49</v>
      </c>
      <c r="AD3420">
        <v>0</v>
      </c>
      <c r="AE3420">
        <v>11657910</v>
      </c>
      <c r="AF3420" t="s">
        <v>63</v>
      </c>
      <c r="AG3420" t="s">
        <v>6996</v>
      </c>
    </row>
    <row r="3421" spans="1:33" x14ac:dyDescent="0.35">
      <c r="A3421" s="1">
        <v>44721.756944444445</v>
      </c>
      <c r="B3421">
        <v>416030</v>
      </c>
      <c r="C3421" t="s">
        <v>7038</v>
      </c>
      <c r="D3421" t="s">
        <v>125</v>
      </c>
      <c r="E3421" s="2">
        <v>39213</v>
      </c>
      <c r="F3421" t="str">
        <f>"9780199724277"</f>
        <v>9780199724277</v>
      </c>
      <c r="G3421" t="str">
        <f>"9780195383379"</f>
        <v>9780195383379</v>
      </c>
      <c r="H3421" t="s">
        <v>162</v>
      </c>
      <c r="I3421">
        <v>294.38499999999999</v>
      </c>
      <c r="J3421" t="s">
        <v>7039</v>
      </c>
      <c r="K3421" t="s">
        <v>44</v>
      </c>
      <c r="N3421" t="s">
        <v>45</v>
      </c>
      <c r="O3421" t="s">
        <v>46</v>
      </c>
      <c r="P3421" t="s">
        <v>45</v>
      </c>
      <c r="Q3421" t="s">
        <v>47</v>
      </c>
      <c r="R3421" t="s">
        <v>44</v>
      </c>
      <c r="S3421">
        <v>0</v>
      </c>
      <c r="W3421" s="3">
        <v>3.4490740740740745E-3</v>
      </c>
      <c r="X3421" t="s">
        <v>7040</v>
      </c>
      <c r="Y3421">
        <v>7</v>
      </c>
      <c r="Z3421">
        <v>0</v>
      </c>
      <c r="AA3421" t="s">
        <v>49</v>
      </c>
      <c r="AB3421">
        <v>0</v>
      </c>
      <c r="AC3421" t="s">
        <v>49</v>
      </c>
      <c r="AD3421">
        <v>0</v>
      </c>
      <c r="AE3421">
        <v>10254440</v>
      </c>
      <c r="AF3421" t="s">
        <v>50</v>
      </c>
      <c r="AG3421" t="s">
        <v>6996</v>
      </c>
    </row>
    <row r="3422" spans="1:33" x14ac:dyDescent="0.35">
      <c r="A3422" s="1">
        <v>44721.754861111112</v>
      </c>
      <c r="B3422">
        <v>5309615</v>
      </c>
      <c r="C3422" t="s">
        <v>7041</v>
      </c>
      <c r="D3422" t="s">
        <v>497</v>
      </c>
      <c r="E3422" s="2">
        <v>36527</v>
      </c>
      <c r="F3422" t="str">
        <f>"9781441142467"</f>
        <v>9781441142467</v>
      </c>
      <c r="G3422" t="str">
        <f>"9780860122685"</f>
        <v>9780860122685</v>
      </c>
      <c r="H3422" t="s">
        <v>162</v>
      </c>
      <c r="I3422">
        <v>294</v>
      </c>
      <c r="J3422" t="s">
        <v>7042</v>
      </c>
      <c r="K3422" t="s">
        <v>44</v>
      </c>
      <c r="N3422" t="s">
        <v>45</v>
      </c>
      <c r="O3422" t="s">
        <v>46</v>
      </c>
      <c r="P3422" t="s">
        <v>45</v>
      </c>
      <c r="Q3422" t="s">
        <v>47</v>
      </c>
      <c r="R3422" t="s">
        <v>44</v>
      </c>
      <c r="S3422">
        <v>0</v>
      </c>
      <c r="W3422" s="3">
        <v>6.5972222222222213E-4</v>
      </c>
      <c r="X3422" t="s">
        <v>7043</v>
      </c>
      <c r="Y3422">
        <v>6</v>
      </c>
      <c r="Z3422">
        <v>0</v>
      </c>
      <c r="AA3422" t="s">
        <v>49</v>
      </c>
      <c r="AB3422">
        <v>0</v>
      </c>
      <c r="AC3422" t="s">
        <v>49</v>
      </c>
      <c r="AD3422">
        <v>0</v>
      </c>
      <c r="AE3422">
        <v>11518582</v>
      </c>
      <c r="AF3422" t="s">
        <v>50</v>
      </c>
      <c r="AG3422" t="s">
        <v>6996</v>
      </c>
    </row>
    <row r="3423" spans="1:33" x14ac:dyDescent="0.35">
      <c r="A3423" s="1">
        <v>44721.742361111108</v>
      </c>
      <c r="B3423">
        <v>3339752</v>
      </c>
      <c r="C3423" t="s">
        <v>7020</v>
      </c>
      <c r="D3423" t="s">
        <v>303</v>
      </c>
      <c r="E3423" s="2">
        <v>41691</v>
      </c>
      <c r="F3423" t="str">
        <f>"9780262321549"</f>
        <v>9780262321549</v>
      </c>
      <c r="G3423" t="str">
        <f>"9780262026710"</f>
        <v>9780262026710</v>
      </c>
      <c r="H3423" t="s">
        <v>1069</v>
      </c>
      <c r="I3423">
        <v>808.87</v>
      </c>
      <c r="J3423" t="s">
        <v>7021</v>
      </c>
      <c r="K3423" t="s">
        <v>44</v>
      </c>
      <c r="N3423" t="s">
        <v>45</v>
      </c>
      <c r="O3423" t="s">
        <v>46</v>
      </c>
      <c r="P3423" t="s">
        <v>45</v>
      </c>
      <c r="Q3423" t="s">
        <v>47</v>
      </c>
      <c r="R3423" t="s">
        <v>44</v>
      </c>
      <c r="S3423">
        <v>0</v>
      </c>
      <c r="W3423" s="3">
        <v>1.0381944444444444E-2</v>
      </c>
      <c r="X3423" t="s">
        <v>7044</v>
      </c>
      <c r="Y3423">
        <v>47</v>
      </c>
      <c r="Z3423">
        <v>0</v>
      </c>
      <c r="AA3423" t="s">
        <v>49</v>
      </c>
      <c r="AB3423">
        <v>0</v>
      </c>
      <c r="AC3423" t="s">
        <v>49</v>
      </c>
      <c r="AD3423">
        <v>0</v>
      </c>
      <c r="AE3423">
        <v>10841925</v>
      </c>
      <c r="AF3423" t="s">
        <v>50</v>
      </c>
      <c r="AG3423" t="s">
        <v>6996</v>
      </c>
    </row>
    <row r="3424" spans="1:33" x14ac:dyDescent="0.35">
      <c r="A3424" s="1">
        <v>44721.722916666666</v>
      </c>
      <c r="B3424">
        <v>765013</v>
      </c>
      <c r="C3424" t="s">
        <v>6937</v>
      </c>
      <c r="D3424" t="s">
        <v>76</v>
      </c>
      <c r="E3424" s="2">
        <v>38098</v>
      </c>
      <c r="F3424" t="str">
        <f>"9781849404426"</f>
        <v>9781849404426</v>
      </c>
      <c r="G3424" t="str">
        <f>"9781855753150"</f>
        <v>9781855753150</v>
      </c>
      <c r="H3424" t="s">
        <v>667</v>
      </c>
      <c r="I3424">
        <v>938.07092399999999</v>
      </c>
      <c r="J3424" t="s">
        <v>6938</v>
      </c>
      <c r="K3424" t="s">
        <v>44</v>
      </c>
      <c r="N3424" t="s">
        <v>45</v>
      </c>
      <c r="O3424" t="s">
        <v>46</v>
      </c>
      <c r="P3424" t="s">
        <v>45</v>
      </c>
      <c r="Q3424" t="s">
        <v>47</v>
      </c>
      <c r="R3424" t="s">
        <v>44</v>
      </c>
      <c r="S3424">
        <v>0</v>
      </c>
      <c r="W3424" s="3">
        <v>4.1898148148148146E-3</v>
      </c>
      <c r="X3424" t="s">
        <v>7045</v>
      </c>
      <c r="Y3424">
        <v>10</v>
      </c>
      <c r="Z3424">
        <v>1</v>
      </c>
      <c r="AA3424" t="s">
        <v>417</v>
      </c>
      <c r="AB3424">
        <v>11</v>
      </c>
      <c r="AC3424" t="s">
        <v>49</v>
      </c>
      <c r="AD3424">
        <v>0</v>
      </c>
      <c r="AE3424">
        <v>10495806</v>
      </c>
      <c r="AF3424" t="s">
        <v>50</v>
      </c>
      <c r="AG3424" t="s">
        <v>6996</v>
      </c>
    </row>
    <row r="3425" spans="1:33" x14ac:dyDescent="0.35">
      <c r="A3425" s="1">
        <v>44721.707638888889</v>
      </c>
      <c r="B3425">
        <v>433051</v>
      </c>
      <c r="C3425" t="s">
        <v>7046</v>
      </c>
      <c r="D3425" t="s">
        <v>502</v>
      </c>
      <c r="E3425" s="2">
        <v>39909</v>
      </c>
      <c r="F3425" t="str">
        <f>"9780511532788"</f>
        <v>9780511532788</v>
      </c>
      <c r="G3425" t="str">
        <f>"9780521515122"</f>
        <v>9780521515122</v>
      </c>
      <c r="H3425" t="s">
        <v>77</v>
      </c>
      <c r="I3425">
        <v>610.28</v>
      </c>
      <c r="J3425" t="s">
        <v>7047</v>
      </c>
      <c r="K3425" t="s">
        <v>44</v>
      </c>
      <c r="N3425" t="s">
        <v>45</v>
      </c>
      <c r="O3425" t="s">
        <v>46</v>
      </c>
      <c r="P3425" t="s">
        <v>45</v>
      </c>
      <c r="Q3425" t="s">
        <v>47</v>
      </c>
      <c r="R3425" t="s">
        <v>44</v>
      </c>
      <c r="S3425">
        <v>0</v>
      </c>
      <c r="W3425" s="3">
        <v>1.0300925925925926E-3</v>
      </c>
      <c r="X3425" t="s">
        <v>7048</v>
      </c>
      <c r="Y3425">
        <v>7</v>
      </c>
      <c r="Z3425">
        <v>0</v>
      </c>
      <c r="AA3425" t="s">
        <v>49</v>
      </c>
      <c r="AB3425">
        <v>0</v>
      </c>
      <c r="AC3425" t="s">
        <v>49</v>
      </c>
      <c r="AD3425">
        <v>0</v>
      </c>
      <c r="AE3425">
        <v>10303094</v>
      </c>
      <c r="AF3425" t="s">
        <v>50</v>
      </c>
      <c r="AG3425" t="s">
        <v>6928</v>
      </c>
    </row>
    <row r="3426" spans="1:33" x14ac:dyDescent="0.35">
      <c r="A3426" s="1">
        <v>44721.586805555555</v>
      </c>
      <c r="B3426">
        <v>1602058</v>
      </c>
      <c r="C3426" t="s">
        <v>7049</v>
      </c>
      <c r="D3426" t="s">
        <v>76</v>
      </c>
      <c r="E3426" s="2">
        <v>34239</v>
      </c>
      <c r="F3426" t="str">
        <f>"9781317898184"</f>
        <v>9781317898184</v>
      </c>
      <c r="G3426" t="str">
        <f>"9780582067011"</f>
        <v>9780582067011</v>
      </c>
      <c r="H3426" t="s">
        <v>1626</v>
      </c>
      <c r="I3426">
        <v>551.9</v>
      </c>
      <c r="J3426" t="s">
        <v>7050</v>
      </c>
      <c r="K3426" t="s">
        <v>44</v>
      </c>
      <c r="N3426" t="s">
        <v>45</v>
      </c>
      <c r="O3426" t="s">
        <v>46</v>
      </c>
      <c r="P3426" t="s">
        <v>45</v>
      </c>
      <c r="Q3426" t="s">
        <v>47</v>
      </c>
      <c r="R3426" t="s">
        <v>44</v>
      </c>
      <c r="S3426">
        <v>0</v>
      </c>
      <c r="W3426" s="3">
        <v>1.9675925925925926E-4</v>
      </c>
      <c r="X3426" t="s">
        <v>2863</v>
      </c>
      <c r="Y3426">
        <v>2</v>
      </c>
      <c r="Z3426">
        <v>0</v>
      </c>
      <c r="AA3426" t="s">
        <v>49</v>
      </c>
      <c r="AB3426">
        <v>0</v>
      </c>
      <c r="AC3426" t="s">
        <v>49</v>
      </c>
      <c r="AD3426">
        <v>0</v>
      </c>
      <c r="AE3426">
        <v>10830652</v>
      </c>
      <c r="AF3426" t="s">
        <v>50</v>
      </c>
      <c r="AG3426" t="s">
        <v>3514</v>
      </c>
    </row>
    <row r="3427" spans="1:33" x14ac:dyDescent="0.35">
      <c r="A3427" s="1">
        <v>44720.354861111111</v>
      </c>
      <c r="B3427">
        <v>424088</v>
      </c>
      <c r="C3427" t="s">
        <v>7051</v>
      </c>
      <c r="D3427" t="s">
        <v>1918</v>
      </c>
      <c r="E3427" s="2">
        <v>38718</v>
      </c>
      <c r="F3427" t="str">
        <f>"9788122426427"</f>
        <v>9788122426427</v>
      </c>
      <c r="G3427" t="str">
        <f>"9788122417722"</f>
        <v>9788122417722</v>
      </c>
      <c r="H3427" t="s">
        <v>1063</v>
      </c>
      <c r="I3427" t="s">
        <v>7052</v>
      </c>
      <c r="J3427" t="s">
        <v>7053</v>
      </c>
      <c r="K3427" t="s">
        <v>44</v>
      </c>
      <c r="N3427" t="s">
        <v>45</v>
      </c>
      <c r="O3427" t="s">
        <v>46</v>
      </c>
      <c r="P3427" t="s">
        <v>45</v>
      </c>
      <c r="Q3427" t="s">
        <v>47</v>
      </c>
      <c r="R3427" t="s">
        <v>44</v>
      </c>
      <c r="S3427">
        <v>0</v>
      </c>
      <c r="W3427" s="3">
        <v>2.5289351851851851E-2</v>
      </c>
      <c r="X3427" t="s">
        <v>7054</v>
      </c>
      <c r="Y3427">
        <v>41</v>
      </c>
      <c r="Z3427">
        <v>0</v>
      </c>
      <c r="AA3427" t="s">
        <v>49</v>
      </c>
      <c r="AB3427">
        <v>0</v>
      </c>
      <c r="AC3427" t="s">
        <v>7055</v>
      </c>
      <c r="AD3427">
        <v>1</v>
      </c>
      <c r="AE3427">
        <v>10318686</v>
      </c>
      <c r="AF3427" t="s">
        <v>50</v>
      </c>
      <c r="AG3427" t="s">
        <v>6457</v>
      </c>
    </row>
    <row r="3428" spans="1:33" x14ac:dyDescent="0.35">
      <c r="A3428" s="1">
        <v>44719.614583333336</v>
      </c>
      <c r="B3428">
        <v>4817836</v>
      </c>
      <c r="C3428" t="s">
        <v>7056</v>
      </c>
      <c r="D3428" t="s">
        <v>59</v>
      </c>
      <c r="E3428" s="2">
        <v>42856</v>
      </c>
      <c r="F3428" t="str">
        <f>"9781118756454"</f>
        <v>9781118756454</v>
      </c>
      <c r="G3428" t="str">
        <f>"9781118613474"</f>
        <v>9781118613474</v>
      </c>
      <c r="H3428" t="s">
        <v>538</v>
      </c>
      <c r="I3428">
        <v>629.13236199999994</v>
      </c>
      <c r="J3428" t="s">
        <v>7057</v>
      </c>
      <c r="K3428" t="s">
        <v>44</v>
      </c>
      <c r="N3428" t="s">
        <v>45</v>
      </c>
      <c r="O3428" t="s">
        <v>46</v>
      </c>
      <c r="P3428" t="s">
        <v>45</v>
      </c>
      <c r="Q3428" t="s">
        <v>47</v>
      </c>
      <c r="R3428" t="s">
        <v>44</v>
      </c>
      <c r="S3428">
        <v>0</v>
      </c>
      <c r="W3428" s="3">
        <v>4.6296296296296294E-5</v>
      </c>
      <c r="X3428" t="s">
        <v>7058</v>
      </c>
      <c r="Y3428">
        <v>1</v>
      </c>
      <c r="Z3428">
        <v>0</v>
      </c>
      <c r="AA3428" t="s">
        <v>49</v>
      </c>
      <c r="AB3428">
        <v>0</v>
      </c>
      <c r="AC3428" t="s">
        <v>49</v>
      </c>
      <c r="AD3428">
        <v>0</v>
      </c>
      <c r="AE3428">
        <v>11357018</v>
      </c>
      <c r="AF3428" t="s">
        <v>50</v>
      </c>
      <c r="AG3428" t="s">
        <v>6551</v>
      </c>
    </row>
    <row r="3429" spans="1:33" x14ac:dyDescent="0.35">
      <c r="A3429" s="1">
        <v>44719.496527777781</v>
      </c>
      <c r="B3429">
        <v>4817836</v>
      </c>
      <c r="C3429" t="s">
        <v>7056</v>
      </c>
      <c r="D3429" t="s">
        <v>59</v>
      </c>
      <c r="E3429" s="2">
        <v>42856</v>
      </c>
      <c r="F3429" t="str">
        <f>"9781118756454"</f>
        <v>9781118756454</v>
      </c>
      <c r="G3429" t="str">
        <f>"9781118613474"</f>
        <v>9781118613474</v>
      </c>
      <c r="H3429" t="s">
        <v>538</v>
      </c>
      <c r="I3429">
        <v>629.13236199999994</v>
      </c>
      <c r="J3429" t="s">
        <v>7057</v>
      </c>
      <c r="K3429" t="s">
        <v>44</v>
      </c>
      <c r="N3429" t="s">
        <v>45</v>
      </c>
      <c r="O3429" t="s">
        <v>46</v>
      </c>
      <c r="P3429" t="s">
        <v>45</v>
      </c>
      <c r="Q3429" t="s">
        <v>47</v>
      </c>
      <c r="R3429" t="s">
        <v>44</v>
      </c>
      <c r="S3429">
        <v>4</v>
      </c>
      <c r="W3429" s="3">
        <v>5.9722222222222225E-3</v>
      </c>
      <c r="X3429" t="s">
        <v>7059</v>
      </c>
      <c r="Y3429">
        <v>37</v>
      </c>
      <c r="Z3429">
        <v>2</v>
      </c>
      <c r="AA3429" t="s">
        <v>7060</v>
      </c>
      <c r="AB3429">
        <v>96</v>
      </c>
      <c r="AC3429" t="s">
        <v>49</v>
      </c>
      <c r="AD3429">
        <v>0</v>
      </c>
      <c r="AE3429">
        <v>11357018</v>
      </c>
      <c r="AF3429" t="s">
        <v>63</v>
      </c>
      <c r="AG3429" t="s">
        <v>6551</v>
      </c>
    </row>
    <row r="3430" spans="1:33" x14ac:dyDescent="0.35">
      <c r="A3430" s="1">
        <v>44718.697916666664</v>
      </c>
      <c r="B3430">
        <v>3011444</v>
      </c>
      <c r="C3430" t="s">
        <v>7061</v>
      </c>
      <c r="D3430" t="s">
        <v>3677</v>
      </c>
      <c r="E3430" s="2">
        <v>40148</v>
      </c>
      <c r="F3430" t="str">
        <f>"9781642876284"</f>
        <v>9781642876284</v>
      </c>
      <c r="G3430" t="str">
        <f>"9789350243978"</f>
        <v>9789350243978</v>
      </c>
      <c r="H3430" t="s">
        <v>60</v>
      </c>
      <c r="J3430" t="s">
        <v>7062</v>
      </c>
      <c r="K3430" t="s">
        <v>44</v>
      </c>
      <c r="N3430" t="s">
        <v>45</v>
      </c>
      <c r="O3430" t="s">
        <v>46</v>
      </c>
      <c r="P3430" t="s">
        <v>45</v>
      </c>
      <c r="Q3430" t="s">
        <v>47</v>
      </c>
      <c r="R3430" t="s">
        <v>44</v>
      </c>
      <c r="S3430">
        <v>0</v>
      </c>
      <c r="W3430" s="3">
        <v>4.2824074074074075E-4</v>
      </c>
      <c r="X3430" t="s">
        <v>5305</v>
      </c>
      <c r="Y3430">
        <v>5</v>
      </c>
      <c r="Z3430">
        <v>0</v>
      </c>
      <c r="AA3430" t="s">
        <v>49</v>
      </c>
      <c r="AB3430">
        <v>0</v>
      </c>
      <c r="AC3430" t="s">
        <v>49</v>
      </c>
      <c r="AD3430">
        <v>0</v>
      </c>
      <c r="AE3430">
        <v>10416187</v>
      </c>
      <c r="AF3430" t="s">
        <v>50</v>
      </c>
      <c r="AG3430" t="s">
        <v>6996</v>
      </c>
    </row>
    <row r="3431" spans="1:33" x14ac:dyDescent="0.35">
      <c r="A3431" s="1">
        <v>44718.679166666669</v>
      </c>
      <c r="B3431">
        <v>344689</v>
      </c>
      <c r="C3431" t="s">
        <v>7063</v>
      </c>
      <c r="D3431" t="s">
        <v>65</v>
      </c>
      <c r="E3431" s="2">
        <v>34827</v>
      </c>
      <c r="F3431" t="str">
        <f>"9780080541563"</f>
        <v>9780080541563</v>
      </c>
      <c r="G3431" t="str">
        <f>"9780124192515"</f>
        <v>9780124192515</v>
      </c>
      <c r="H3431" t="s">
        <v>43</v>
      </c>
      <c r="I3431">
        <v>515.72220000000004</v>
      </c>
      <c r="J3431" t="s">
        <v>7064</v>
      </c>
      <c r="K3431" t="s">
        <v>44</v>
      </c>
      <c r="N3431" t="s">
        <v>45</v>
      </c>
      <c r="O3431" t="s">
        <v>46</v>
      </c>
      <c r="P3431" t="s">
        <v>45</v>
      </c>
      <c r="Q3431" t="s">
        <v>47</v>
      </c>
      <c r="R3431" t="s">
        <v>44</v>
      </c>
      <c r="S3431">
        <v>0</v>
      </c>
      <c r="W3431" s="3">
        <v>0</v>
      </c>
      <c r="X3431" t="s">
        <v>49</v>
      </c>
      <c r="Y3431">
        <v>0</v>
      </c>
      <c r="Z3431">
        <v>2</v>
      </c>
      <c r="AA3431" t="s">
        <v>7065</v>
      </c>
      <c r="AB3431">
        <v>41</v>
      </c>
      <c r="AC3431" t="s">
        <v>49</v>
      </c>
      <c r="AD3431">
        <v>0</v>
      </c>
      <c r="AE3431">
        <v>10244424</v>
      </c>
      <c r="AF3431" t="s">
        <v>50</v>
      </c>
      <c r="AG3431" t="s">
        <v>6996</v>
      </c>
    </row>
    <row r="3432" spans="1:33" x14ac:dyDescent="0.35">
      <c r="A3432" s="1">
        <v>44716.70416666667</v>
      </c>
      <c r="B3432">
        <v>3116708</v>
      </c>
      <c r="C3432" t="s">
        <v>7066</v>
      </c>
      <c r="D3432" t="s">
        <v>1550</v>
      </c>
      <c r="E3432" s="2">
        <v>40360</v>
      </c>
      <c r="F3432" t="str">
        <f>"9781613001073"</f>
        <v>9781613001073</v>
      </c>
      <c r="G3432" t="str">
        <f>"9781583217573"</f>
        <v>9781583217573</v>
      </c>
      <c r="H3432" t="s">
        <v>261</v>
      </c>
      <c r="I3432" t="s">
        <v>7067</v>
      </c>
      <c r="J3432" t="s">
        <v>7068</v>
      </c>
      <c r="K3432" t="s">
        <v>44</v>
      </c>
      <c r="N3432" t="s">
        <v>45</v>
      </c>
      <c r="O3432" t="s">
        <v>46</v>
      </c>
      <c r="P3432" t="s">
        <v>45</v>
      </c>
      <c r="Q3432" t="s">
        <v>47</v>
      </c>
      <c r="R3432" t="s">
        <v>44</v>
      </c>
      <c r="S3432">
        <v>0</v>
      </c>
      <c r="W3432" s="3">
        <v>1.689814814814815E-3</v>
      </c>
      <c r="X3432" t="s">
        <v>7069</v>
      </c>
      <c r="Y3432">
        <v>16</v>
      </c>
      <c r="Z3432">
        <v>0</v>
      </c>
      <c r="AA3432" t="s">
        <v>49</v>
      </c>
      <c r="AB3432">
        <v>0</v>
      </c>
      <c r="AC3432" t="s">
        <v>49</v>
      </c>
      <c r="AD3432">
        <v>0</v>
      </c>
      <c r="AE3432">
        <v>10522363</v>
      </c>
      <c r="AF3432" t="s">
        <v>50</v>
      </c>
      <c r="AG3432" t="s">
        <v>7070</v>
      </c>
    </row>
    <row r="3433" spans="1:33" x14ac:dyDescent="0.35">
      <c r="A3433" s="1">
        <v>44716.615972222222</v>
      </c>
      <c r="B3433">
        <v>728732</v>
      </c>
      <c r="C3433" t="s">
        <v>7071</v>
      </c>
      <c r="D3433" t="s">
        <v>125</v>
      </c>
      <c r="E3433" s="2">
        <v>31463</v>
      </c>
      <c r="F3433" t="str">
        <f>"9780191519840"</f>
        <v>9780191519840</v>
      </c>
      <c r="G3433" t="str">
        <f>"9780198246152"</f>
        <v>9780198246152</v>
      </c>
      <c r="H3433" t="s">
        <v>498</v>
      </c>
      <c r="I3433">
        <v>193</v>
      </c>
      <c r="J3433" t="s">
        <v>7072</v>
      </c>
      <c r="K3433" t="s">
        <v>44</v>
      </c>
      <c r="N3433" t="s">
        <v>45</v>
      </c>
      <c r="O3433" t="s">
        <v>46</v>
      </c>
      <c r="P3433" t="s">
        <v>45</v>
      </c>
      <c r="Q3433" t="s">
        <v>47</v>
      </c>
      <c r="R3433" t="s">
        <v>44</v>
      </c>
      <c r="S3433">
        <v>0</v>
      </c>
      <c r="W3433" s="3">
        <v>1.7361111111111112E-4</v>
      </c>
      <c r="X3433" t="s">
        <v>7073</v>
      </c>
      <c r="Y3433">
        <v>3</v>
      </c>
      <c r="Z3433">
        <v>0</v>
      </c>
      <c r="AA3433" t="s">
        <v>49</v>
      </c>
      <c r="AB3433">
        <v>0</v>
      </c>
      <c r="AC3433" t="s">
        <v>49</v>
      </c>
      <c r="AD3433">
        <v>0</v>
      </c>
      <c r="AE3433">
        <v>10283779</v>
      </c>
      <c r="AF3433" t="s">
        <v>50</v>
      </c>
      <c r="AG3433" t="s">
        <v>5711</v>
      </c>
    </row>
    <row r="3434" spans="1:33" x14ac:dyDescent="0.35">
      <c r="A3434" s="1">
        <v>44716.429861111108</v>
      </c>
      <c r="B3434">
        <v>168475</v>
      </c>
      <c r="C3434" t="s">
        <v>7074</v>
      </c>
      <c r="D3434" t="s">
        <v>76</v>
      </c>
      <c r="E3434" s="2">
        <v>36816</v>
      </c>
      <c r="F3434" t="str">
        <f>"9780203186008"</f>
        <v>9780203186008</v>
      </c>
      <c r="G3434" t="str">
        <f>"9780415215220"</f>
        <v>9780415215220</v>
      </c>
      <c r="H3434" t="s">
        <v>1069</v>
      </c>
      <c r="I3434">
        <v>801.95092</v>
      </c>
      <c r="J3434" t="s">
        <v>7075</v>
      </c>
      <c r="K3434" t="s">
        <v>44</v>
      </c>
      <c r="N3434" t="s">
        <v>45</v>
      </c>
      <c r="O3434" t="s">
        <v>46</v>
      </c>
      <c r="P3434" t="s">
        <v>45</v>
      </c>
      <c r="Q3434" t="s">
        <v>47</v>
      </c>
      <c r="R3434" t="s">
        <v>44</v>
      </c>
      <c r="S3434">
        <v>0</v>
      </c>
      <c r="W3434" s="3">
        <v>2.4675925925925924E-2</v>
      </c>
      <c r="X3434" t="s">
        <v>7076</v>
      </c>
      <c r="Y3434">
        <v>26</v>
      </c>
      <c r="Z3434">
        <v>0</v>
      </c>
      <c r="AA3434" t="s">
        <v>49</v>
      </c>
      <c r="AB3434">
        <v>0</v>
      </c>
      <c r="AC3434" t="s">
        <v>49</v>
      </c>
      <c r="AD3434">
        <v>0</v>
      </c>
      <c r="AE3434">
        <v>5004166</v>
      </c>
      <c r="AF3434" t="s">
        <v>50</v>
      </c>
      <c r="AG3434" t="s">
        <v>7077</v>
      </c>
    </row>
    <row r="3435" spans="1:33" x14ac:dyDescent="0.35">
      <c r="A3435" s="1">
        <v>44716.262499999997</v>
      </c>
      <c r="B3435">
        <v>728732</v>
      </c>
      <c r="C3435" t="s">
        <v>7071</v>
      </c>
      <c r="D3435" t="s">
        <v>125</v>
      </c>
      <c r="E3435" s="2">
        <v>31463</v>
      </c>
      <c r="F3435" t="str">
        <f>"9780191519840"</f>
        <v>9780191519840</v>
      </c>
      <c r="G3435" t="str">
        <f>"9780198246152"</f>
        <v>9780198246152</v>
      </c>
      <c r="H3435" t="s">
        <v>498</v>
      </c>
      <c r="I3435">
        <v>193</v>
      </c>
      <c r="J3435" t="s">
        <v>7072</v>
      </c>
      <c r="K3435" t="s">
        <v>44</v>
      </c>
      <c r="N3435" t="s">
        <v>45</v>
      </c>
      <c r="O3435" t="s">
        <v>46</v>
      </c>
      <c r="P3435" t="s">
        <v>45</v>
      </c>
      <c r="Q3435" t="s">
        <v>47</v>
      </c>
      <c r="R3435" t="s">
        <v>44</v>
      </c>
      <c r="S3435">
        <v>0</v>
      </c>
      <c r="W3435" s="3">
        <v>6.018518518518519E-4</v>
      </c>
      <c r="X3435" t="s">
        <v>7078</v>
      </c>
      <c r="Y3435">
        <v>5</v>
      </c>
      <c r="Z3435">
        <v>0</v>
      </c>
      <c r="AA3435" t="s">
        <v>49</v>
      </c>
      <c r="AB3435">
        <v>0</v>
      </c>
      <c r="AC3435" t="s">
        <v>49</v>
      </c>
      <c r="AD3435">
        <v>0</v>
      </c>
      <c r="AE3435">
        <v>10283779</v>
      </c>
      <c r="AF3435" t="s">
        <v>50</v>
      </c>
      <c r="AG3435" t="s">
        <v>3514</v>
      </c>
    </row>
    <row r="3436" spans="1:33" x14ac:dyDescent="0.35">
      <c r="A3436" s="1">
        <v>44716.236111111109</v>
      </c>
      <c r="B3436">
        <v>728732</v>
      </c>
      <c r="C3436" t="s">
        <v>7071</v>
      </c>
      <c r="D3436" t="s">
        <v>125</v>
      </c>
      <c r="E3436" s="2">
        <v>31463</v>
      </c>
      <c r="F3436" t="str">
        <f>"9780191519840"</f>
        <v>9780191519840</v>
      </c>
      <c r="G3436" t="str">
        <f>"9780198246152"</f>
        <v>9780198246152</v>
      </c>
      <c r="H3436" t="s">
        <v>498</v>
      </c>
      <c r="I3436">
        <v>193</v>
      </c>
      <c r="J3436" t="s">
        <v>7072</v>
      </c>
      <c r="K3436" t="s">
        <v>44</v>
      </c>
      <c r="N3436" t="s">
        <v>45</v>
      </c>
      <c r="O3436" t="s">
        <v>46</v>
      </c>
      <c r="P3436" t="s">
        <v>45</v>
      </c>
      <c r="Q3436" t="s">
        <v>47</v>
      </c>
      <c r="R3436" t="s">
        <v>44</v>
      </c>
      <c r="S3436">
        <v>0</v>
      </c>
      <c r="W3436" s="3">
        <v>1.7708333333333332E-3</v>
      </c>
      <c r="X3436" t="s">
        <v>7079</v>
      </c>
      <c r="Y3436">
        <v>5</v>
      </c>
      <c r="Z3436">
        <v>0</v>
      </c>
      <c r="AA3436" t="s">
        <v>49</v>
      </c>
      <c r="AB3436">
        <v>0</v>
      </c>
      <c r="AC3436" t="s">
        <v>49</v>
      </c>
      <c r="AD3436">
        <v>0</v>
      </c>
      <c r="AE3436">
        <v>10283779</v>
      </c>
      <c r="AF3436" t="s">
        <v>50</v>
      </c>
      <c r="AG3436" t="s">
        <v>3514</v>
      </c>
    </row>
    <row r="3437" spans="1:33" x14ac:dyDescent="0.35">
      <c r="A3437" s="1">
        <v>44715.401388888888</v>
      </c>
      <c r="B3437">
        <v>826883</v>
      </c>
      <c r="C3437" t="s">
        <v>7080</v>
      </c>
      <c r="D3437" t="s">
        <v>59</v>
      </c>
      <c r="E3437" s="2">
        <v>40918</v>
      </c>
      <c r="F3437" t="str">
        <f>"9781444347135"</f>
        <v>9781444347135</v>
      </c>
      <c r="G3437" t="str">
        <f>"9781405194655"</f>
        <v>9781405194655</v>
      </c>
      <c r="H3437" t="s">
        <v>1626</v>
      </c>
      <c r="I3437">
        <v>551.79999999999995</v>
      </c>
      <c r="J3437" t="s">
        <v>7081</v>
      </c>
      <c r="K3437" t="s">
        <v>44</v>
      </c>
      <c r="N3437" t="s">
        <v>45</v>
      </c>
      <c r="O3437" t="s">
        <v>46</v>
      </c>
      <c r="P3437" t="s">
        <v>45</v>
      </c>
      <c r="Q3437" t="s">
        <v>47</v>
      </c>
      <c r="R3437" t="s">
        <v>44</v>
      </c>
      <c r="S3437">
        <v>0</v>
      </c>
      <c r="W3437" s="3">
        <v>1.8518518518518518E-4</v>
      </c>
      <c r="X3437" t="s">
        <v>121</v>
      </c>
      <c r="Y3437">
        <v>1</v>
      </c>
      <c r="Z3437">
        <v>0</v>
      </c>
      <c r="AA3437" t="s">
        <v>49</v>
      </c>
      <c r="AB3437">
        <v>0</v>
      </c>
      <c r="AC3437" t="s">
        <v>49</v>
      </c>
      <c r="AD3437">
        <v>0</v>
      </c>
      <c r="AE3437">
        <v>10524044</v>
      </c>
      <c r="AF3437" t="s">
        <v>50</v>
      </c>
      <c r="AG3437" t="s">
        <v>7077</v>
      </c>
    </row>
    <row r="3438" spans="1:33" x14ac:dyDescent="0.35">
      <c r="A3438" s="1">
        <v>44713.884722222225</v>
      </c>
      <c r="B3438">
        <v>4875240</v>
      </c>
      <c r="C3438" t="s">
        <v>7024</v>
      </c>
      <c r="D3438" t="s">
        <v>59</v>
      </c>
      <c r="E3438" s="2">
        <v>42954</v>
      </c>
      <c r="F3438" t="str">
        <f>"9781119329039"</f>
        <v>9781119329039</v>
      </c>
      <c r="G3438" t="str">
        <f>"9781119329053"</f>
        <v>9781119329053</v>
      </c>
      <c r="H3438" t="s">
        <v>542</v>
      </c>
      <c r="I3438">
        <v>621.38104399999997</v>
      </c>
      <c r="J3438" t="s">
        <v>7025</v>
      </c>
      <c r="K3438" t="s">
        <v>44</v>
      </c>
      <c r="N3438" t="s">
        <v>45</v>
      </c>
      <c r="O3438" t="s">
        <v>46</v>
      </c>
      <c r="P3438" t="s">
        <v>45</v>
      </c>
      <c r="Q3438" t="s">
        <v>47</v>
      </c>
      <c r="R3438" t="s">
        <v>44</v>
      </c>
      <c r="S3438">
        <v>0</v>
      </c>
      <c r="W3438" s="3">
        <v>0</v>
      </c>
      <c r="X3438" t="s">
        <v>49</v>
      </c>
      <c r="Y3438">
        <v>0</v>
      </c>
      <c r="Z3438">
        <v>0</v>
      </c>
      <c r="AA3438" t="s">
        <v>49</v>
      </c>
      <c r="AB3438">
        <v>0</v>
      </c>
      <c r="AC3438" t="s">
        <v>49</v>
      </c>
      <c r="AD3438">
        <v>0</v>
      </c>
      <c r="AE3438">
        <v>11395817</v>
      </c>
      <c r="AF3438" t="s">
        <v>50</v>
      </c>
      <c r="AG3438" t="s">
        <v>6996</v>
      </c>
    </row>
    <row r="3439" spans="1:33" x14ac:dyDescent="0.35">
      <c r="A3439" s="1">
        <v>44712.520138888889</v>
      </c>
      <c r="B3439">
        <v>1120547</v>
      </c>
      <c r="C3439" t="s">
        <v>7082</v>
      </c>
      <c r="D3439" t="s">
        <v>59</v>
      </c>
      <c r="E3439" s="2">
        <v>41260</v>
      </c>
      <c r="F3439" t="str">
        <f>"9781118440674"</f>
        <v>9781118440674</v>
      </c>
      <c r="G3439" t="str">
        <f>"9780470674017"</f>
        <v>9780470674017</v>
      </c>
      <c r="H3439" t="s">
        <v>7083</v>
      </c>
      <c r="I3439">
        <v>624.06799999999998</v>
      </c>
      <c r="J3439" t="s">
        <v>7084</v>
      </c>
      <c r="K3439" t="s">
        <v>44</v>
      </c>
      <c r="N3439" t="s">
        <v>45</v>
      </c>
      <c r="O3439" t="s">
        <v>46</v>
      </c>
      <c r="P3439" t="s">
        <v>45</v>
      </c>
      <c r="Q3439" t="s">
        <v>47</v>
      </c>
      <c r="R3439" t="s">
        <v>44</v>
      </c>
      <c r="S3439">
        <v>0</v>
      </c>
      <c r="W3439" s="3">
        <v>6.018518518518519E-4</v>
      </c>
      <c r="X3439" t="s">
        <v>7085</v>
      </c>
      <c r="Y3439">
        <v>6</v>
      </c>
      <c r="Z3439">
        <v>0</v>
      </c>
      <c r="AA3439" t="s">
        <v>49</v>
      </c>
      <c r="AB3439">
        <v>0</v>
      </c>
      <c r="AC3439" t="s">
        <v>49</v>
      </c>
      <c r="AD3439">
        <v>0</v>
      </c>
      <c r="AE3439">
        <v>10657919</v>
      </c>
      <c r="AF3439" t="s">
        <v>50</v>
      </c>
      <c r="AG3439" t="s">
        <v>7077</v>
      </c>
    </row>
    <row r="3440" spans="1:33" x14ac:dyDescent="0.35">
      <c r="A3440" s="1">
        <v>44712.419444444444</v>
      </c>
      <c r="B3440">
        <v>1681716</v>
      </c>
      <c r="C3440" t="s">
        <v>7086</v>
      </c>
      <c r="D3440" t="s">
        <v>71</v>
      </c>
      <c r="E3440" s="2">
        <v>38718</v>
      </c>
      <c r="F3440" t="str">
        <f>"9789812774521"</f>
        <v>9789812774521</v>
      </c>
      <c r="G3440" t="str">
        <f>"9789812566058"</f>
        <v>9789812566058</v>
      </c>
      <c r="H3440" t="s">
        <v>546</v>
      </c>
      <c r="I3440">
        <v>621.38149999999996</v>
      </c>
      <c r="J3440" t="s">
        <v>5340</v>
      </c>
      <c r="K3440" t="s">
        <v>44</v>
      </c>
      <c r="N3440" t="s">
        <v>45</v>
      </c>
      <c r="O3440" t="s">
        <v>46</v>
      </c>
      <c r="P3440" t="s">
        <v>45</v>
      </c>
      <c r="Q3440" t="s">
        <v>47</v>
      </c>
      <c r="R3440" t="s">
        <v>44</v>
      </c>
      <c r="S3440">
        <v>0</v>
      </c>
      <c r="W3440" s="3">
        <v>0</v>
      </c>
      <c r="X3440" t="s">
        <v>49</v>
      </c>
      <c r="Y3440">
        <v>0</v>
      </c>
      <c r="Z3440">
        <v>3</v>
      </c>
      <c r="AA3440" t="s">
        <v>7087</v>
      </c>
      <c r="AB3440">
        <v>70</v>
      </c>
      <c r="AC3440" t="s">
        <v>49</v>
      </c>
      <c r="AD3440">
        <v>0</v>
      </c>
      <c r="AE3440">
        <v>10201386</v>
      </c>
      <c r="AF3440" t="s">
        <v>50</v>
      </c>
      <c r="AG3440" t="s">
        <v>7077</v>
      </c>
    </row>
    <row r="3441" spans="1:33" x14ac:dyDescent="0.35">
      <c r="A3441" s="1">
        <v>44712.395138888889</v>
      </c>
      <c r="B3441">
        <v>4749738</v>
      </c>
      <c r="C3441" t="s">
        <v>7088</v>
      </c>
      <c r="D3441" t="s">
        <v>1224</v>
      </c>
      <c r="E3441" s="2">
        <v>42667</v>
      </c>
      <c r="F3441" t="str">
        <f>"9783110312119"</f>
        <v>9783110312119</v>
      </c>
      <c r="G3441" t="str">
        <f>"9783110312096"</f>
        <v>9783110312096</v>
      </c>
      <c r="H3441" t="s">
        <v>1112</v>
      </c>
      <c r="I3441">
        <v>660.28150000000005</v>
      </c>
      <c r="J3441" t="s">
        <v>7089</v>
      </c>
      <c r="K3441" t="s">
        <v>44</v>
      </c>
      <c r="N3441" t="s">
        <v>45</v>
      </c>
      <c r="O3441" t="s">
        <v>46</v>
      </c>
      <c r="P3441" t="s">
        <v>45</v>
      </c>
      <c r="Q3441" t="s">
        <v>47</v>
      </c>
      <c r="R3441" t="s">
        <v>44</v>
      </c>
      <c r="S3441">
        <v>0</v>
      </c>
      <c r="W3441" s="3">
        <v>3.0092592592592595E-4</v>
      </c>
      <c r="X3441" t="s">
        <v>7090</v>
      </c>
      <c r="Y3441">
        <v>8</v>
      </c>
      <c r="Z3441">
        <v>0</v>
      </c>
      <c r="AA3441" t="s">
        <v>49</v>
      </c>
      <c r="AB3441">
        <v>0</v>
      </c>
      <c r="AC3441" t="s">
        <v>49</v>
      </c>
      <c r="AD3441">
        <v>0</v>
      </c>
      <c r="AE3441">
        <v>11316608</v>
      </c>
      <c r="AF3441" t="s">
        <v>50</v>
      </c>
      <c r="AG3441" t="s">
        <v>7077</v>
      </c>
    </row>
    <row r="3442" spans="1:33" x14ac:dyDescent="0.35">
      <c r="A3442" s="1">
        <v>44711.654166666667</v>
      </c>
      <c r="B3442">
        <v>4037275</v>
      </c>
      <c r="C3442" t="s">
        <v>3891</v>
      </c>
      <c r="D3442" t="s">
        <v>3579</v>
      </c>
      <c r="E3442" s="2">
        <v>42233</v>
      </c>
      <c r="F3442" t="str">
        <f>"9781118652671"</f>
        <v>9781118652671</v>
      </c>
      <c r="G3442" t="str">
        <f>"9781118652732"</f>
        <v>9781118652732</v>
      </c>
      <c r="H3442" t="s">
        <v>237</v>
      </c>
      <c r="I3442" t="s">
        <v>7091</v>
      </c>
      <c r="J3442" t="s">
        <v>7092</v>
      </c>
      <c r="K3442" t="s">
        <v>44</v>
      </c>
      <c r="N3442" t="s">
        <v>45</v>
      </c>
      <c r="O3442" t="s">
        <v>46</v>
      </c>
      <c r="P3442" t="s">
        <v>45</v>
      </c>
      <c r="Q3442" t="s">
        <v>47</v>
      </c>
      <c r="R3442" t="s">
        <v>44</v>
      </c>
      <c r="S3442">
        <v>4</v>
      </c>
      <c r="W3442" s="3">
        <v>4.3287037037037035E-3</v>
      </c>
      <c r="X3442" t="s">
        <v>7093</v>
      </c>
      <c r="Y3442">
        <v>8</v>
      </c>
      <c r="Z3442">
        <v>0</v>
      </c>
      <c r="AA3442" t="s">
        <v>49</v>
      </c>
      <c r="AB3442">
        <v>0</v>
      </c>
      <c r="AC3442" t="s">
        <v>49</v>
      </c>
      <c r="AD3442">
        <v>0</v>
      </c>
      <c r="AE3442">
        <v>11111615</v>
      </c>
      <c r="AF3442" t="s">
        <v>63</v>
      </c>
      <c r="AG3442" t="s">
        <v>7077</v>
      </c>
    </row>
    <row r="3443" spans="1:33" x14ac:dyDescent="0.35">
      <c r="A3443" s="1">
        <v>44711.606944444444</v>
      </c>
      <c r="B3443">
        <v>771400</v>
      </c>
      <c r="C3443" t="s">
        <v>7094</v>
      </c>
      <c r="D3443" t="s">
        <v>146</v>
      </c>
      <c r="E3443" s="2">
        <v>40740</v>
      </c>
      <c r="F3443" t="str">
        <f>"9780335242177"</f>
        <v>9780335242177</v>
      </c>
      <c r="G3443" t="str">
        <f>"9780335242160"</f>
        <v>9780335242160</v>
      </c>
      <c r="H3443" t="s">
        <v>90</v>
      </c>
      <c r="J3443" t="s">
        <v>7095</v>
      </c>
      <c r="K3443" t="s">
        <v>44</v>
      </c>
      <c r="N3443" t="s">
        <v>45</v>
      </c>
      <c r="O3443" t="s">
        <v>46</v>
      </c>
      <c r="P3443" t="s">
        <v>45</v>
      </c>
      <c r="Q3443" t="s">
        <v>47</v>
      </c>
      <c r="R3443" t="s">
        <v>44</v>
      </c>
      <c r="S3443">
        <v>0</v>
      </c>
      <c r="W3443" s="3">
        <v>5.7870370370370366E-5</v>
      </c>
      <c r="X3443" t="s">
        <v>1542</v>
      </c>
      <c r="Y3443">
        <v>1</v>
      </c>
      <c r="Z3443">
        <v>1</v>
      </c>
      <c r="AA3443" t="s">
        <v>121</v>
      </c>
      <c r="AB3443">
        <v>1</v>
      </c>
      <c r="AC3443" t="s">
        <v>49</v>
      </c>
      <c r="AD3443">
        <v>0</v>
      </c>
      <c r="AE3443">
        <v>10499008</v>
      </c>
      <c r="AF3443" t="s">
        <v>50</v>
      </c>
      <c r="AG3443" t="s">
        <v>7077</v>
      </c>
    </row>
    <row r="3444" spans="1:33" x14ac:dyDescent="0.35">
      <c r="A3444" s="1">
        <v>44711.574999999997</v>
      </c>
      <c r="B3444">
        <v>826883</v>
      </c>
      <c r="C3444" t="s">
        <v>7080</v>
      </c>
      <c r="D3444" t="s">
        <v>59</v>
      </c>
      <c r="E3444" s="2">
        <v>40918</v>
      </c>
      <c r="F3444" t="str">
        <f>"9781444347135"</f>
        <v>9781444347135</v>
      </c>
      <c r="G3444" t="str">
        <f>"9781405194655"</f>
        <v>9781405194655</v>
      </c>
      <c r="H3444" t="s">
        <v>1626</v>
      </c>
      <c r="I3444">
        <v>551.79999999999995</v>
      </c>
      <c r="J3444" t="s">
        <v>7081</v>
      </c>
      <c r="K3444" t="s">
        <v>44</v>
      </c>
      <c r="N3444" t="s">
        <v>45</v>
      </c>
      <c r="O3444" t="s">
        <v>46</v>
      </c>
      <c r="P3444" t="s">
        <v>45</v>
      </c>
      <c r="Q3444" t="s">
        <v>47</v>
      </c>
      <c r="R3444" t="s">
        <v>44</v>
      </c>
      <c r="S3444">
        <v>0</v>
      </c>
      <c r="W3444" s="3">
        <v>2.8148148148148148E-2</v>
      </c>
      <c r="X3444" t="s">
        <v>7096</v>
      </c>
      <c r="Y3444">
        <v>20</v>
      </c>
      <c r="Z3444">
        <v>0</v>
      </c>
      <c r="AA3444" t="s">
        <v>49</v>
      </c>
      <c r="AB3444">
        <v>0</v>
      </c>
      <c r="AC3444" t="s">
        <v>7097</v>
      </c>
      <c r="AD3444">
        <v>2</v>
      </c>
      <c r="AE3444">
        <v>10524044</v>
      </c>
      <c r="AF3444" t="s">
        <v>50</v>
      </c>
      <c r="AG3444" t="s">
        <v>7077</v>
      </c>
    </row>
    <row r="3445" spans="1:33" x14ac:dyDescent="0.35">
      <c r="A3445" s="1">
        <v>44711.540277777778</v>
      </c>
      <c r="B3445">
        <v>826883</v>
      </c>
      <c r="C3445" t="s">
        <v>7080</v>
      </c>
      <c r="D3445" t="s">
        <v>59</v>
      </c>
      <c r="E3445" s="2">
        <v>40918</v>
      </c>
      <c r="F3445" t="str">
        <f>"9781444347135"</f>
        <v>9781444347135</v>
      </c>
      <c r="G3445" t="str">
        <f>"9781405194655"</f>
        <v>9781405194655</v>
      </c>
      <c r="H3445" t="s">
        <v>1626</v>
      </c>
      <c r="I3445">
        <v>551.79999999999995</v>
      </c>
      <c r="J3445" t="s">
        <v>7081</v>
      </c>
      <c r="K3445" t="s">
        <v>44</v>
      </c>
      <c r="N3445" t="s">
        <v>45</v>
      </c>
      <c r="O3445" t="s">
        <v>46</v>
      </c>
      <c r="P3445" t="s">
        <v>45</v>
      </c>
      <c r="Q3445" t="s">
        <v>47</v>
      </c>
      <c r="R3445" t="s">
        <v>44</v>
      </c>
      <c r="S3445">
        <v>0</v>
      </c>
      <c r="W3445" s="3">
        <v>4.8379629629629632E-3</v>
      </c>
      <c r="X3445" t="s">
        <v>7098</v>
      </c>
      <c r="Y3445">
        <v>23</v>
      </c>
      <c r="Z3445">
        <v>0</v>
      </c>
      <c r="AA3445" t="s">
        <v>49</v>
      </c>
      <c r="AB3445">
        <v>0</v>
      </c>
      <c r="AC3445" t="s">
        <v>49</v>
      </c>
      <c r="AD3445">
        <v>0</v>
      </c>
      <c r="AE3445">
        <v>10524044</v>
      </c>
      <c r="AF3445" t="s">
        <v>50</v>
      </c>
      <c r="AG3445" t="s">
        <v>7077</v>
      </c>
    </row>
    <row r="3446" spans="1:33" x14ac:dyDescent="0.35">
      <c r="A3446" s="1">
        <v>44711.421527777777</v>
      </c>
      <c r="B3446">
        <v>3016032</v>
      </c>
      <c r="C3446" t="s">
        <v>7099</v>
      </c>
      <c r="D3446" t="s">
        <v>7100</v>
      </c>
      <c r="E3446" s="2">
        <v>41464</v>
      </c>
      <c r="F3446" t="str">
        <f>"9789027271068"</f>
        <v>9789027271068</v>
      </c>
      <c r="G3446" t="str">
        <f>"9789027249975"</f>
        <v>9789027249975</v>
      </c>
      <c r="H3446" t="s">
        <v>7101</v>
      </c>
      <c r="I3446" t="s">
        <v>7102</v>
      </c>
      <c r="J3446" t="s">
        <v>7103</v>
      </c>
      <c r="K3446" t="s">
        <v>44</v>
      </c>
      <c r="N3446" t="s">
        <v>45</v>
      </c>
      <c r="O3446" t="s">
        <v>46</v>
      </c>
      <c r="P3446" t="s">
        <v>45</v>
      </c>
      <c r="Q3446" t="s">
        <v>47</v>
      </c>
      <c r="R3446" t="s">
        <v>44</v>
      </c>
      <c r="S3446">
        <v>1</v>
      </c>
      <c r="W3446" s="3">
        <v>1.1574074074074073E-5</v>
      </c>
      <c r="X3446" t="s">
        <v>49</v>
      </c>
      <c r="Y3446">
        <v>0</v>
      </c>
      <c r="Z3446">
        <v>0</v>
      </c>
      <c r="AA3446" t="s">
        <v>49</v>
      </c>
      <c r="AB3446">
        <v>0</v>
      </c>
      <c r="AC3446" t="s">
        <v>49</v>
      </c>
      <c r="AD3446">
        <v>0</v>
      </c>
      <c r="AE3446">
        <v>10836263</v>
      </c>
      <c r="AF3446" t="s">
        <v>63</v>
      </c>
      <c r="AG3446" t="s">
        <v>493</v>
      </c>
    </row>
    <row r="3447" spans="1:33" x14ac:dyDescent="0.35">
      <c r="A3447" s="1">
        <v>44707.618055555555</v>
      </c>
      <c r="B3447">
        <v>3016032</v>
      </c>
      <c r="C3447" t="s">
        <v>7099</v>
      </c>
      <c r="D3447" t="s">
        <v>7100</v>
      </c>
      <c r="E3447" s="2">
        <v>41464</v>
      </c>
      <c r="F3447" t="str">
        <f>"9789027271068"</f>
        <v>9789027271068</v>
      </c>
      <c r="G3447" t="str">
        <f>"9789027249975"</f>
        <v>9789027249975</v>
      </c>
      <c r="H3447" t="s">
        <v>7101</v>
      </c>
      <c r="I3447" t="s">
        <v>7102</v>
      </c>
      <c r="J3447" t="s">
        <v>7103</v>
      </c>
      <c r="K3447" t="s">
        <v>44</v>
      </c>
      <c r="N3447" t="s">
        <v>45</v>
      </c>
      <c r="O3447" t="s">
        <v>46</v>
      </c>
      <c r="P3447" t="s">
        <v>45</v>
      </c>
      <c r="Q3447" t="s">
        <v>47</v>
      </c>
      <c r="R3447" t="s">
        <v>44</v>
      </c>
      <c r="S3447">
        <v>0</v>
      </c>
      <c r="W3447" s="3">
        <v>4.6296296296296294E-5</v>
      </c>
      <c r="X3447" t="s">
        <v>527</v>
      </c>
      <c r="Y3447">
        <v>1</v>
      </c>
      <c r="Z3447">
        <v>0</v>
      </c>
      <c r="AA3447" t="s">
        <v>49</v>
      </c>
      <c r="AB3447">
        <v>0</v>
      </c>
      <c r="AC3447" t="s">
        <v>49</v>
      </c>
      <c r="AD3447">
        <v>0</v>
      </c>
      <c r="AE3447">
        <v>10836263</v>
      </c>
      <c r="AF3447" t="s">
        <v>50</v>
      </c>
      <c r="AG3447" t="s">
        <v>7104</v>
      </c>
    </row>
    <row r="3448" spans="1:33" x14ac:dyDescent="0.35">
      <c r="A3448" s="1">
        <v>44707.490972222222</v>
      </c>
      <c r="B3448">
        <v>433786</v>
      </c>
      <c r="C3448" t="s">
        <v>6328</v>
      </c>
      <c r="D3448" t="s">
        <v>59</v>
      </c>
      <c r="E3448" s="2">
        <v>39916</v>
      </c>
      <c r="F3448" t="str">
        <f>"9780470447703"</f>
        <v>9780470447703</v>
      </c>
      <c r="G3448" t="str">
        <f>"9780470373170"</f>
        <v>9780470373170</v>
      </c>
      <c r="H3448" t="s">
        <v>72</v>
      </c>
      <c r="I3448" t="s">
        <v>6329</v>
      </c>
      <c r="J3448" t="s">
        <v>6330</v>
      </c>
      <c r="K3448" t="s">
        <v>44</v>
      </c>
      <c r="N3448" t="s">
        <v>45</v>
      </c>
      <c r="O3448" t="s">
        <v>46</v>
      </c>
      <c r="P3448" t="s">
        <v>45</v>
      </c>
      <c r="Q3448" t="s">
        <v>47</v>
      </c>
      <c r="R3448" t="s">
        <v>44</v>
      </c>
      <c r="S3448">
        <v>0</v>
      </c>
      <c r="W3448" s="3">
        <v>6.238425925925925E-3</v>
      </c>
      <c r="X3448" t="s">
        <v>7105</v>
      </c>
      <c r="Y3448">
        <v>12</v>
      </c>
      <c r="Z3448">
        <v>0</v>
      </c>
      <c r="AA3448" t="s">
        <v>49</v>
      </c>
      <c r="AB3448">
        <v>0</v>
      </c>
      <c r="AC3448" t="s">
        <v>49</v>
      </c>
      <c r="AD3448">
        <v>0</v>
      </c>
      <c r="AE3448">
        <v>10313627</v>
      </c>
      <c r="AF3448" t="s">
        <v>50</v>
      </c>
      <c r="AG3448" t="s">
        <v>7106</v>
      </c>
    </row>
    <row r="3449" spans="1:33" x14ac:dyDescent="0.35">
      <c r="A3449" s="1">
        <v>44707.380555555559</v>
      </c>
      <c r="B3449">
        <v>433786</v>
      </c>
      <c r="C3449" t="s">
        <v>6328</v>
      </c>
      <c r="D3449" t="s">
        <v>59</v>
      </c>
      <c r="E3449" s="2">
        <v>39916</v>
      </c>
      <c r="F3449" t="str">
        <f>"9780470447703"</f>
        <v>9780470447703</v>
      </c>
      <c r="G3449" t="str">
        <f>"9780470373170"</f>
        <v>9780470373170</v>
      </c>
      <c r="H3449" t="s">
        <v>72</v>
      </c>
      <c r="I3449" t="s">
        <v>6329</v>
      </c>
      <c r="J3449" t="s">
        <v>6330</v>
      </c>
      <c r="K3449" t="s">
        <v>44</v>
      </c>
      <c r="N3449" t="s">
        <v>45</v>
      </c>
      <c r="O3449" t="s">
        <v>46</v>
      </c>
      <c r="P3449" t="s">
        <v>45</v>
      </c>
      <c r="Q3449" t="s">
        <v>47</v>
      </c>
      <c r="R3449" t="s">
        <v>44</v>
      </c>
      <c r="S3449">
        <v>0</v>
      </c>
      <c r="W3449" s="3">
        <v>3.4606481481481481E-2</v>
      </c>
      <c r="X3449" t="s">
        <v>7107</v>
      </c>
      <c r="Y3449">
        <v>37</v>
      </c>
      <c r="Z3449">
        <v>0</v>
      </c>
      <c r="AA3449" t="s">
        <v>49</v>
      </c>
      <c r="AB3449">
        <v>0</v>
      </c>
      <c r="AC3449" t="s">
        <v>49</v>
      </c>
      <c r="AD3449">
        <v>0</v>
      </c>
      <c r="AE3449">
        <v>10313627</v>
      </c>
      <c r="AF3449" t="s">
        <v>50</v>
      </c>
      <c r="AG3449" t="s">
        <v>7106</v>
      </c>
    </row>
    <row r="3450" spans="1:33" x14ac:dyDescent="0.35">
      <c r="A3450" s="1">
        <v>44706.636805555558</v>
      </c>
      <c r="B3450">
        <v>1110030</v>
      </c>
      <c r="C3450" t="s">
        <v>7108</v>
      </c>
      <c r="D3450" t="s">
        <v>7109</v>
      </c>
      <c r="E3450" s="2">
        <v>39568</v>
      </c>
      <c r="F3450" t="str">
        <f>"9780819573919"</f>
        <v>9780819573919</v>
      </c>
      <c r="G3450" t="str">
        <f>"9780819568670"</f>
        <v>9780819568670</v>
      </c>
      <c r="H3450" t="s">
        <v>1069</v>
      </c>
      <c r="I3450" t="s">
        <v>7110</v>
      </c>
      <c r="J3450" t="s">
        <v>7111</v>
      </c>
      <c r="K3450" t="s">
        <v>44</v>
      </c>
      <c r="N3450" t="s">
        <v>45</v>
      </c>
      <c r="O3450" t="s">
        <v>46</v>
      </c>
      <c r="P3450" t="s">
        <v>45</v>
      </c>
      <c r="Q3450" t="s">
        <v>47</v>
      </c>
      <c r="R3450" t="s">
        <v>44</v>
      </c>
      <c r="S3450">
        <v>0</v>
      </c>
      <c r="W3450" s="3">
        <v>2.0254629629629629E-3</v>
      </c>
      <c r="X3450" t="s">
        <v>7112</v>
      </c>
      <c r="Y3450">
        <v>11</v>
      </c>
      <c r="Z3450">
        <v>2</v>
      </c>
      <c r="AA3450" t="s">
        <v>7113</v>
      </c>
      <c r="AB3450">
        <v>80</v>
      </c>
      <c r="AC3450" t="s">
        <v>49</v>
      </c>
      <c r="AD3450">
        <v>0</v>
      </c>
      <c r="AE3450">
        <v>10645126</v>
      </c>
      <c r="AF3450" t="s">
        <v>63</v>
      </c>
      <c r="AG3450" t="s">
        <v>7077</v>
      </c>
    </row>
    <row r="3451" spans="1:33" x14ac:dyDescent="0.35">
      <c r="A3451" s="1">
        <v>44706.612500000003</v>
      </c>
      <c r="B3451">
        <v>6932253</v>
      </c>
      <c r="C3451" t="s">
        <v>7114</v>
      </c>
      <c r="D3451" t="s">
        <v>7115</v>
      </c>
      <c r="E3451" s="2">
        <v>43970</v>
      </c>
      <c r="F3451" t="str">
        <f>"9780062916617"</f>
        <v>9780062916617</v>
      </c>
      <c r="G3451" t="str">
        <f>"9780062916594"</f>
        <v>9780062916594</v>
      </c>
      <c r="H3451" t="s">
        <v>1046</v>
      </c>
      <c r="I3451" t="s">
        <v>2990</v>
      </c>
      <c r="K3451" t="s">
        <v>55</v>
      </c>
      <c r="Q3451" t="s">
        <v>47</v>
      </c>
      <c r="R3451" t="s">
        <v>44</v>
      </c>
      <c r="S3451">
        <v>0</v>
      </c>
      <c r="W3451" s="3">
        <v>8.5879629629629622E-3</v>
      </c>
      <c r="X3451" t="s">
        <v>7116</v>
      </c>
      <c r="Y3451">
        <v>11</v>
      </c>
      <c r="Z3451">
        <v>0</v>
      </c>
      <c r="AA3451" t="s">
        <v>49</v>
      </c>
      <c r="AB3451">
        <v>0</v>
      </c>
      <c r="AC3451" t="s">
        <v>49</v>
      </c>
      <c r="AD3451">
        <v>0</v>
      </c>
      <c r="AE3451">
        <v>-1</v>
      </c>
      <c r="AF3451" t="s">
        <v>50</v>
      </c>
      <c r="AG3451" t="s">
        <v>7117</v>
      </c>
    </row>
    <row r="3452" spans="1:33" x14ac:dyDescent="0.35">
      <c r="A3452" s="1">
        <v>44706.602777777778</v>
      </c>
      <c r="B3452">
        <v>271450</v>
      </c>
      <c r="C3452" t="s">
        <v>7118</v>
      </c>
      <c r="D3452" t="s">
        <v>125</v>
      </c>
      <c r="E3452" s="2">
        <v>35082</v>
      </c>
      <c r="F3452" t="str">
        <f>"9780198020240"</f>
        <v>9780198020240</v>
      </c>
      <c r="G3452" t="str">
        <f>"9780195025415"</f>
        <v>9780195025415</v>
      </c>
      <c r="H3452" t="s">
        <v>3302</v>
      </c>
      <c r="I3452" t="s">
        <v>7119</v>
      </c>
      <c r="J3452" t="s">
        <v>7120</v>
      </c>
      <c r="K3452" t="s">
        <v>44</v>
      </c>
      <c r="N3452" t="s">
        <v>45</v>
      </c>
      <c r="O3452" t="s">
        <v>46</v>
      </c>
      <c r="P3452" t="s">
        <v>45</v>
      </c>
      <c r="Q3452" t="s">
        <v>47</v>
      </c>
      <c r="R3452" t="s">
        <v>44</v>
      </c>
      <c r="S3452">
        <v>0</v>
      </c>
      <c r="W3452" s="3">
        <v>1.0300925925925926E-3</v>
      </c>
      <c r="X3452" t="s">
        <v>7121</v>
      </c>
      <c r="Y3452">
        <v>18</v>
      </c>
      <c r="Z3452">
        <v>0</v>
      </c>
      <c r="AA3452" t="s">
        <v>49</v>
      </c>
      <c r="AB3452">
        <v>0</v>
      </c>
      <c r="AC3452" t="s">
        <v>49</v>
      </c>
      <c r="AD3452">
        <v>0</v>
      </c>
      <c r="AE3452">
        <v>10142079</v>
      </c>
      <c r="AF3452" t="s">
        <v>50</v>
      </c>
      <c r="AG3452" t="s">
        <v>7077</v>
      </c>
    </row>
    <row r="3453" spans="1:33" x14ac:dyDescent="0.35">
      <c r="A3453" s="1">
        <v>44706.548611111109</v>
      </c>
      <c r="B3453">
        <v>3016032</v>
      </c>
      <c r="C3453" t="s">
        <v>7099</v>
      </c>
      <c r="D3453" t="s">
        <v>7100</v>
      </c>
      <c r="E3453" s="2">
        <v>41464</v>
      </c>
      <c r="F3453" t="str">
        <f>"9789027271068"</f>
        <v>9789027271068</v>
      </c>
      <c r="G3453" t="str">
        <f>"9789027249975"</f>
        <v>9789027249975</v>
      </c>
      <c r="H3453" t="s">
        <v>7101</v>
      </c>
      <c r="I3453" t="s">
        <v>7102</v>
      </c>
      <c r="J3453" t="s">
        <v>7103</v>
      </c>
      <c r="K3453" t="s">
        <v>44</v>
      </c>
      <c r="N3453" t="s">
        <v>45</v>
      </c>
      <c r="O3453" t="s">
        <v>46</v>
      </c>
      <c r="P3453" t="s">
        <v>45</v>
      </c>
      <c r="Q3453" t="s">
        <v>47</v>
      </c>
      <c r="R3453" t="s">
        <v>44</v>
      </c>
      <c r="S3453">
        <v>0</v>
      </c>
      <c r="W3453" s="3">
        <v>9.3634259259259261E-3</v>
      </c>
      <c r="X3453" t="s">
        <v>7122</v>
      </c>
      <c r="Y3453">
        <v>7</v>
      </c>
      <c r="Z3453">
        <v>0</v>
      </c>
      <c r="AA3453" t="s">
        <v>49</v>
      </c>
      <c r="AB3453">
        <v>0</v>
      </c>
      <c r="AC3453" t="s">
        <v>49</v>
      </c>
      <c r="AD3453">
        <v>0</v>
      </c>
      <c r="AE3453">
        <v>10836263</v>
      </c>
      <c r="AF3453" t="s">
        <v>50</v>
      </c>
      <c r="AG3453" t="s">
        <v>7104</v>
      </c>
    </row>
    <row r="3454" spans="1:33" x14ac:dyDescent="0.35">
      <c r="A3454" s="1">
        <v>44706.50277777778</v>
      </c>
      <c r="B3454">
        <v>881933</v>
      </c>
      <c r="C3454" t="s">
        <v>7123</v>
      </c>
      <c r="D3454" t="s">
        <v>443</v>
      </c>
      <c r="E3454" s="2">
        <v>40994</v>
      </c>
      <c r="F3454" t="str">
        <f>"9780520951501"</f>
        <v>9780520951501</v>
      </c>
      <c r="G3454" t="str">
        <f>"9780520265721"</f>
        <v>9780520265721</v>
      </c>
      <c r="H3454" t="s">
        <v>658</v>
      </c>
      <c r="I3454" t="s">
        <v>7124</v>
      </c>
      <c r="J3454" t="s">
        <v>7125</v>
      </c>
      <c r="K3454" t="s">
        <v>44</v>
      </c>
      <c r="N3454" t="s">
        <v>45</v>
      </c>
      <c r="O3454" t="s">
        <v>46</v>
      </c>
      <c r="P3454" t="s">
        <v>177</v>
      </c>
      <c r="Q3454" t="s">
        <v>47</v>
      </c>
      <c r="R3454" t="s">
        <v>55</v>
      </c>
      <c r="S3454">
        <v>0</v>
      </c>
      <c r="W3454" s="3">
        <v>1.2962962962962963E-3</v>
      </c>
      <c r="X3454" t="s">
        <v>7126</v>
      </c>
      <c r="Y3454">
        <v>3</v>
      </c>
      <c r="Z3454">
        <v>0</v>
      </c>
      <c r="AA3454" t="s">
        <v>49</v>
      </c>
      <c r="AB3454">
        <v>0</v>
      </c>
      <c r="AC3454" t="s">
        <v>49</v>
      </c>
      <c r="AD3454">
        <v>0</v>
      </c>
      <c r="AE3454">
        <v>10547324</v>
      </c>
      <c r="AF3454" t="s">
        <v>50</v>
      </c>
      <c r="AG3454" t="s">
        <v>7077</v>
      </c>
    </row>
    <row r="3455" spans="1:33" x14ac:dyDescent="0.35">
      <c r="A3455" s="1">
        <v>44706.356249999997</v>
      </c>
      <c r="B3455">
        <v>6423993</v>
      </c>
      <c r="C3455" t="s">
        <v>7127</v>
      </c>
      <c r="D3455" t="s">
        <v>76</v>
      </c>
      <c r="E3455" s="2">
        <v>44166</v>
      </c>
      <c r="F3455" t="str">
        <f>"9781000244854"</f>
        <v>9781000244854</v>
      </c>
      <c r="G3455" t="str">
        <f>"9780367445331"</f>
        <v>9780367445331</v>
      </c>
      <c r="H3455" t="s">
        <v>290</v>
      </c>
      <c r="I3455" t="s">
        <v>7128</v>
      </c>
      <c r="J3455" t="s">
        <v>7129</v>
      </c>
      <c r="K3455" t="s">
        <v>55</v>
      </c>
      <c r="N3455" t="s">
        <v>293</v>
      </c>
      <c r="P3455" t="s">
        <v>80</v>
      </c>
      <c r="Q3455" t="s">
        <v>47</v>
      </c>
      <c r="R3455" t="s">
        <v>44</v>
      </c>
      <c r="S3455">
        <v>1</v>
      </c>
      <c r="T3455">
        <v>90</v>
      </c>
      <c r="U3455" s="1">
        <v>44706.352777777778</v>
      </c>
      <c r="V3455" s="1">
        <v>44796.352777777778</v>
      </c>
      <c r="W3455" s="3">
        <v>1.5046296296296297E-4</v>
      </c>
      <c r="X3455" t="s">
        <v>103</v>
      </c>
      <c r="Y3455">
        <v>3</v>
      </c>
      <c r="Z3455">
        <v>0</v>
      </c>
      <c r="AA3455" t="s">
        <v>49</v>
      </c>
      <c r="AB3455">
        <v>0</v>
      </c>
      <c r="AC3455" t="s">
        <v>49</v>
      </c>
      <c r="AD3455">
        <v>0</v>
      </c>
      <c r="AE3455">
        <v>-1</v>
      </c>
      <c r="AF3455" t="s">
        <v>63</v>
      </c>
      <c r="AG3455" t="s">
        <v>7077</v>
      </c>
    </row>
    <row r="3456" spans="1:33" x14ac:dyDescent="0.35">
      <c r="A3456" s="1">
        <v>44706.354861111111</v>
      </c>
      <c r="B3456">
        <v>6423993</v>
      </c>
      <c r="C3456" t="s">
        <v>7127</v>
      </c>
      <c r="D3456" t="s">
        <v>76</v>
      </c>
      <c r="E3456" s="2">
        <v>44166</v>
      </c>
      <c r="F3456" t="str">
        <f>"9781000244854"</f>
        <v>9781000244854</v>
      </c>
      <c r="G3456" t="str">
        <f>"9780367445331"</f>
        <v>9780367445331</v>
      </c>
      <c r="H3456" t="s">
        <v>290</v>
      </c>
      <c r="I3456" t="s">
        <v>7128</v>
      </c>
      <c r="J3456" t="s">
        <v>7129</v>
      </c>
      <c r="K3456" t="s">
        <v>55</v>
      </c>
      <c r="N3456" t="s">
        <v>293</v>
      </c>
      <c r="P3456" t="s">
        <v>80</v>
      </c>
      <c r="Q3456" t="s">
        <v>47</v>
      </c>
      <c r="R3456" t="s">
        <v>44</v>
      </c>
      <c r="S3456">
        <v>0</v>
      </c>
      <c r="W3456" s="3">
        <v>5.7870370370370366E-5</v>
      </c>
      <c r="X3456" t="s">
        <v>121</v>
      </c>
      <c r="Y3456">
        <v>1</v>
      </c>
      <c r="Z3456">
        <v>0</v>
      </c>
      <c r="AA3456" t="s">
        <v>49</v>
      </c>
      <c r="AB3456">
        <v>0</v>
      </c>
      <c r="AC3456" t="s">
        <v>49</v>
      </c>
      <c r="AD3456">
        <v>0</v>
      </c>
      <c r="AE3456">
        <v>-1</v>
      </c>
      <c r="AF3456" t="s">
        <v>50</v>
      </c>
      <c r="AG3456" t="s">
        <v>7077</v>
      </c>
    </row>
    <row r="3457" spans="1:33" x14ac:dyDescent="0.35">
      <c r="A3457" s="1">
        <v>44706.352777777778</v>
      </c>
      <c r="B3457">
        <v>6423993</v>
      </c>
      <c r="C3457" t="s">
        <v>7127</v>
      </c>
      <c r="D3457" t="s">
        <v>76</v>
      </c>
      <c r="E3457" s="2">
        <v>44166</v>
      </c>
      <c r="F3457" t="str">
        <f>"9781000244854"</f>
        <v>9781000244854</v>
      </c>
      <c r="G3457" t="str">
        <f>"9780367445331"</f>
        <v>9780367445331</v>
      </c>
      <c r="H3457" t="s">
        <v>290</v>
      </c>
      <c r="I3457" t="s">
        <v>7128</v>
      </c>
      <c r="J3457" t="s">
        <v>7129</v>
      </c>
      <c r="K3457" t="s">
        <v>55</v>
      </c>
      <c r="N3457" t="s">
        <v>293</v>
      </c>
      <c r="P3457" t="s">
        <v>80</v>
      </c>
      <c r="Q3457" t="s">
        <v>47</v>
      </c>
      <c r="R3457" t="s">
        <v>44</v>
      </c>
      <c r="S3457">
        <v>1</v>
      </c>
      <c r="T3457">
        <v>90</v>
      </c>
      <c r="U3457" s="1">
        <v>44706.352777777778</v>
      </c>
      <c r="V3457" s="1">
        <v>44796.352777777778</v>
      </c>
      <c r="W3457" s="3">
        <v>4.2824074074074075E-4</v>
      </c>
      <c r="X3457" t="s">
        <v>7130</v>
      </c>
      <c r="Y3457">
        <v>5</v>
      </c>
      <c r="Z3457">
        <v>0</v>
      </c>
      <c r="AA3457" t="s">
        <v>49</v>
      </c>
      <c r="AB3457">
        <v>0</v>
      </c>
      <c r="AC3457" t="s">
        <v>49</v>
      </c>
      <c r="AD3457">
        <v>0</v>
      </c>
      <c r="AE3457">
        <v>-1</v>
      </c>
      <c r="AF3457" t="s">
        <v>63</v>
      </c>
      <c r="AG3457" t="s">
        <v>7077</v>
      </c>
    </row>
    <row r="3458" spans="1:33" x14ac:dyDescent="0.35">
      <c r="A3458" s="1">
        <v>44706.351388888892</v>
      </c>
      <c r="B3458">
        <v>6423993</v>
      </c>
      <c r="C3458" t="s">
        <v>7127</v>
      </c>
      <c r="D3458" t="s">
        <v>76</v>
      </c>
      <c r="E3458" s="2">
        <v>44166</v>
      </c>
      <c r="F3458" t="str">
        <f>"9781000244854"</f>
        <v>9781000244854</v>
      </c>
      <c r="G3458" t="str">
        <f>"9780367445331"</f>
        <v>9780367445331</v>
      </c>
      <c r="H3458" t="s">
        <v>290</v>
      </c>
      <c r="I3458" t="s">
        <v>7128</v>
      </c>
      <c r="J3458" t="s">
        <v>7129</v>
      </c>
      <c r="K3458" t="s">
        <v>55</v>
      </c>
      <c r="N3458" t="s">
        <v>293</v>
      </c>
      <c r="P3458" t="s">
        <v>80</v>
      </c>
      <c r="Q3458" t="s">
        <v>47</v>
      </c>
      <c r="R3458" t="s">
        <v>44</v>
      </c>
      <c r="S3458">
        <v>0</v>
      </c>
      <c r="W3458" s="3">
        <v>1.7013888888888892E-3</v>
      </c>
      <c r="X3458" t="s">
        <v>113</v>
      </c>
      <c r="Y3458">
        <v>2</v>
      </c>
      <c r="Z3458">
        <v>0</v>
      </c>
      <c r="AA3458" t="s">
        <v>49</v>
      </c>
      <c r="AB3458">
        <v>0</v>
      </c>
      <c r="AC3458" t="s">
        <v>49</v>
      </c>
      <c r="AD3458">
        <v>0</v>
      </c>
      <c r="AE3458">
        <v>-1</v>
      </c>
      <c r="AF3458" t="s">
        <v>63</v>
      </c>
      <c r="AG3458" t="s">
        <v>7077</v>
      </c>
    </row>
    <row r="3459" spans="1:33" x14ac:dyDescent="0.35">
      <c r="A3459" s="1">
        <v>44705.643750000003</v>
      </c>
      <c r="B3459">
        <v>3338641</v>
      </c>
      <c r="C3459" t="s">
        <v>302</v>
      </c>
      <c r="D3459" t="s">
        <v>303</v>
      </c>
      <c r="E3459" s="2">
        <v>39143</v>
      </c>
      <c r="F3459" t="str">
        <f>"9780262282888"</f>
        <v>9780262282888</v>
      </c>
      <c r="G3459" t="str">
        <f>"9780262195577"</f>
        <v>9780262195577</v>
      </c>
      <c r="H3459" t="s">
        <v>304</v>
      </c>
      <c r="I3459" t="s">
        <v>305</v>
      </c>
      <c r="K3459" t="s">
        <v>44</v>
      </c>
      <c r="N3459" t="s">
        <v>45</v>
      </c>
      <c r="O3459" t="s">
        <v>46</v>
      </c>
      <c r="P3459" t="s">
        <v>45</v>
      </c>
      <c r="Q3459" t="s">
        <v>47</v>
      </c>
      <c r="R3459" t="s">
        <v>44</v>
      </c>
      <c r="S3459">
        <v>0</v>
      </c>
      <c r="W3459" s="3">
        <v>6.8055555555555569E-3</v>
      </c>
      <c r="X3459" t="s">
        <v>7131</v>
      </c>
      <c r="Y3459">
        <v>26</v>
      </c>
      <c r="Z3459">
        <v>0</v>
      </c>
      <c r="AA3459" t="s">
        <v>49</v>
      </c>
      <c r="AB3459">
        <v>0</v>
      </c>
      <c r="AC3459" t="s">
        <v>49</v>
      </c>
      <c r="AD3459">
        <v>0</v>
      </c>
      <c r="AE3459">
        <v>10173702</v>
      </c>
      <c r="AF3459" t="s">
        <v>50</v>
      </c>
      <c r="AG3459" t="s">
        <v>7132</v>
      </c>
    </row>
    <row r="3460" spans="1:33" x14ac:dyDescent="0.35">
      <c r="A3460" s="1">
        <v>44705.626388888886</v>
      </c>
      <c r="B3460">
        <v>4931949</v>
      </c>
      <c r="C3460" t="s">
        <v>3575</v>
      </c>
      <c r="D3460" t="s">
        <v>76</v>
      </c>
      <c r="E3460" s="2">
        <v>42971</v>
      </c>
      <c r="F3460" t="str">
        <f>"9781351705097"</f>
        <v>9781351705097</v>
      </c>
      <c r="G3460" t="str">
        <f>"9781138040687"</f>
        <v>9781138040687</v>
      </c>
      <c r="H3460" t="s">
        <v>133</v>
      </c>
      <c r="I3460">
        <v>338.95360699999998</v>
      </c>
      <c r="J3460" t="s">
        <v>3576</v>
      </c>
      <c r="K3460" t="s">
        <v>55</v>
      </c>
      <c r="N3460" t="s">
        <v>79</v>
      </c>
      <c r="P3460" t="s">
        <v>80</v>
      </c>
      <c r="Q3460" t="s">
        <v>47</v>
      </c>
      <c r="R3460" t="s">
        <v>44</v>
      </c>
      <c r="S3460">
        <v>0</v>
      </c>
      <c r="W3460" s="3">
        <v>2.6620370370370372E-4</v>
      </c>
      <c r="X3460" t="s">
        <v>121</v>
      </c>
      <c r="Y3460">
        <v>1</v>
      </c>
      <c r="Z3460">
        <v>0</v>
      </c>
      <c r="AA3460" t="s">
        <v>49</v>
      </c>
      <c r="AB3460">
        <v>0</v>
      </c>
      <c r="AC3460" t="s">
        <v>49</v>
      </c>
      <c r="AD3460">
        <v>0</v>
      </c>
      <c r="AE3460">
        <v>11419775</v>
      </c>
      <c r="AF3460" t="s">
        <v>50</v>
      </c>
      <c r="AG3460" t="s">
        <v>7077</v>
      </c>
    </row>
    <row r="3461" spans="1:33" x14ac:dyDescent="0.35">
      <c r="A3461" s="1">
        <v>44705.550694444442</v>
      </c>
      <c r="B3461">
        <v>6423996</v>
      </c>
      <c r="C3461" t="s">
        <v>3170</v>
      </c>
      <c r="D3461" t="s">
        <v>76</v>
      </c>
      <c r="E3461" s="2">
        <v>44187</v>
      </c>
      <c r="F3461" t="str">
        <f>"9780429511004"</f>
        <v>9780429511004</v>
      </c>
      <c r="G3461" t="str">
        <f>"9780367194390"</f>
        <v>9780367194390</v>
      </c>
      <c r="H3461" t="s">
        <v>483</v>
      </c>
      <c r="I3461">
        <v>720.28</v>
      </c>
      <c r="J3461" t="s">
        <v>3171</v>
      </c>
      <c r="K3461" t="s">
        <v>55</v>
      </c>
      <c r="N3461" t="s">
        <v>293</v>
      </c>
      <c r="P3461" t="s">
        <v>80</v>
      </c>
      <c r="Q3461" t="s">
        <v>47</v>
      </c>
      <c r="R3461" t="s">
        <v>44</v>
      </c>
      <c r="S3461">
        <v>1</v>
      </c>
      <c r="T3461">
        <v>90</v>
      </c>
      <c r="U3461" s="1">
        <v>44705.548611111109</v>
      </c>
      <c r="V3461" s="1">
        <v>44795.548611111109</v>
      </c>
      <c r="W3461" s="3">
        <v>2.5462962962962961E-4</v>
      </c>
      <c r="X3461" t="s">
        <v>7133</v>
      </c>
      <c r="Y3461">
        <v>4</v>
      </c>
      <c r="Z3461">
        <v>0</v>
      </c>
      <c r="AA3461" t="s">
        <v>49</v>
      </c>
      <c r="AB3461">
        <v>0</v>
      </c>
      <c r="AC3461" t="s">
        <v>49</v>
      </c>
      <c r="AD3461">
        <v>0</v>
      </c>
      <c r="AE3461">
        <v>-1</v>
      </c>
      <c r="AF3461" t="s">
        <v>63</v>
      </c>
      <c r="AG3461" t="s">
        <v>7117</v>
      </c>
    </row>
    <row r="3462" spans="1:33" x14ac:dyDescent="0.35">
      <c r="A3462" s="1">
        <v>44705.549305555556</v>
      </c>
      <c r="B3462">
        <v>6423996</v>
      </c>
      <c r="C3462" t="s">
        <v>3170</v>
      </c>
      <c r="D3462" t="s">
        <v>76</v>
      </c>
      <c r="E3462" s="2">
        <v>44187</v>
      </c>
      <c r="F3462" t="str">
        <f>"9780429511004"</f>
        <v>9780429511004</v>
      </c>
      <c r="G3462" t="str">
        <f>"9780367194390"</f>
        <v>9780367194390</v>
      </c>
      <c r="H3462" t="s">
        <v>483</v>
      </c>
      <c r="I3462">
        <v>720.28</v>
      </c>
      <c r="J3462" t="s">
        <v>3171</v>
      </c>
      <c r="K3462" t="s">
        <v>55</v>
      </c>
      <c r="N3462" t="s">
        <v>293</v>
      </c>
      <c r="P3462" t="s">
        <v>80</v>
      </c>
      <c r="Q3462" t="s">
        <v>47</v>
      </c>
      <c r="R3462" t="s">
        <v>44</v>
      </c>
      <c r="S3462">
        <v>0</v>
      </c>
      <c r="W3462" s="3">
        <v>0</v>
      </c>
      <c r="X3462" t="s">
        <v>49</v>
      </c>
      <c r="Y3462">
        <v>0</v>
      </c>
      <c r="Z3462">
        <v>2</v>
      </c>
      <c r="AA3462" t="s">
        <v>7134</v>
      </c>
      <c r="AB3462">
        <v>24</v>
      </c>
      <c r="AC3462" t="s">
        <v>49</v>
      </c>
      <c r="AD3462">
        <v>0</v>
      </c>
      <c r="AE3462">
        <v>-1</v>
      </c>
      <c r="AF3462" t="s">
        <v>50</v>
      </c>
      <c r="AG3462" t="s">
        <v>7117</v>
      </c>
    </row>
    <row r="3463" spans="1:33" x14ac:dyDescent="0.35">
      <c r="A3463" s="1">
        <v>44705.548611111109</v>
      </c>
      <c r="B3463">
        <v>6423996</v>
      </c>
      <c r="C3463" t="s">
        <v>3170</v>
      </c>
      <c r="D3463" t="s">
        <v>76</v>
      </c>
      <c r="E3463" s="2">
        <v>44187</v>
      </c>
      <c r="F3463" t="str">
        <f>"9780429511004"</f>
        <v>9780429511004</v>
      </c>
      <c r="G3463" t="str">
        <f>"9780367194390"</f>
        <v>9780367194390</v>
      </c>
      <c r="H3463" t="s">
        <v>483</v>
      </c>
      <c r="I3463">
        <v>720.28</v>
      </c>
      <c r="J3463" t="s">
        <v>3171</v>
      </c>
      <c r="K3463" t="s">
        <v>55</v>
      </c>
      <c r="N3463" t="s">
        <v>293</v>
      </c>
      <c r="P3463" t="s">
        <v>80</v>
      </c>
      <c r="Q3463" t="s">
        <v>47</v>
      </c>
      <c r="R3463" t="s">
        <v>44</v>
      </c>
      <c r="S3463">
        <v>1</v>
      </c>
      <c r="T3463">
        <v>90</v>
      </c>
      <c r="U3463" s="1">
        <v>44705.548611111109</v>
      </c>
      <c r="V3463" s="1">
        <v>44795.548611111109</v>
      </c>
      <c r="W3463" s="3">
        <v>3.6805555555555554E-3</v>
      </c>
      <c r="X3463" t="s">
        <v>7135</v>
      </c>
      <c r="Y3463">
        <v>4</v>
      </c>
      <c r="Z3463">
        <v>7</v>
      </c>
      <c r="AA3463" t="s">
        <v>7136</v>
      </c>
      <c r="AB3463">
        <v>95</v>
      </c>
      <c r="AC3463" t="s">
        <v>49</v>
      </c>
      <c r="AD3463">
        <v>0</v>
      </c>
      <c r="AE3463">
        <v>-1</v>
      </c>
      <c r="AF3463" t="s">
        <v>63</v>
      </c>
      <c r="AG3463" t="s">
        <v>7117</v>
      </c>
    </row>
    <row r="3464" spans="1:33" x14ac:dyDescent="0.35">
      <c r="A3464" s="1">
        <v>44705.54791666667</v>
      </c>
      <c r="B3464">
        <v>6423996</v>
      </c>
      <c r="C3464" t="s">
        <v>3170</v>
      </c>
      <c r="D3464" t="s">
        <v>76</v>
      </c>
      <c r="E3464" s="2">
        <v>44187</v>
      </c>
      <c r="F3464" t="str">
        <f>"9780429511004"</f>
        <v>9780429511004</v>
      </c>
      <c r="G3464" t="str">
        <f>"9780367194390"</f>
        <v>9780367194390</v>
      </c>
      <c r="H3464" t="s">
        <v>483</v>
      </c>
      <c r="I3464">
        <v>720.28</v>
      </c>
      <c r="J3464" t="s">
        <v>3171</v>
      </c>
      <c r="K3464" t="s">
        <v>55</v>
      </c>
      <c r="N3464" t="s">
        <v>293</v>
      </c>
      <c r="P3464" t="s">
        <v>80</v>
      </c>
      <c r="Q3464" t="s">
        <v>47</v>
      </c>
      <c r="R3464" t="s">
        <v>44</v>
      </c>
      <c r="S3464">
        <v>0</v>
      </c>
      <c r="W3464" s="3">
        <v>3.7037037037037035E-4</v>
      </c>
      <c r="X3464" t="s">
        <v>121</v>
      </c>
      <c r="Y3464">
        <v>1</v>
      </c>
      <c r="Z3464">
        <v>0</v>
      </c>
      <c r="AA3464" t="s">
        <v>49</v>
      </c>
      <c r="AB3464">
        <v>0</v>
      </c>
      <c r="AC3464" t="s">
        <v>49</v>
      </c>
      <c r="AD3464">
        <v>0</v>
      </c>
      <c r="AE3464">
        <v>-1</v>
      </c>
      <c r="AF3464" t="s">
        <v>63</v>
      </c>
      <c r="AG3464" t="s">
        <v>7117</v>
      </c>
    </row>
    <row r="3465" spans="1:33" x14ac:dyDescent="0.35">
      <c r="A3465" s="1">
        <v>44705.546527777777</v>
      </c>
      <c r="B3465">
        <v>6423993</v>
      </c>
      <c r="C3465" t="s">
        <v>7127</v>
      </c>
      <c r="D3465" t="s">
        <v>76</v>
      </c>
      <c r="E3465" s="2">
        <v>44166</v>
      </c>
      <c r="F3465" t="str">
        <f>"9781000244854"</f>
        <v>9781000244854</v>
      </c>
      <c r="G3465" t="str">
        <f>"9780367445331"</f>
        <v>9780367445331</v>
      </c>
      <c r="H3465" t="s">
        <v>290</v>
      </c>
      <c r="I3465" t="s">
        <v>7128</v>
      </c>
      <c r="J3465" t="s">
        <v>7129</v>
      </c>
      <c r="K3465" t="s">
        <v>55</v>
      </c>
      <c r="N3465" t="s">
        <v>293</v>
      </c>
      <c r="P3465" t="s">
        <v>80</v>
      </c>
      <c r="Q3465" t="s">
        <v>47</v>
      </c>
      <c r="R3465" t="s">
        <v>44</v>
      </c>
      <c r="S3465">
        <v>0</v>
      </c>
      <c r="W3465" s="3">
        <v>1.7476851851851852E-3</v>
      </c>
      <c r="X3465" t="s">
        <v>7137</v>
      </c>
      <c r="Y3465">
        <v>30</v>
      </c>
      <c r="Z3465">
        <v>0</v>
      </c>
      <c r="AA3465" t="s">
        <v>49</v>
      </c>
      <c r="AB3465">
        <v>0</v>
      </c>
      <c r="AC3465" t="s">
        <v>49</v>
      </c>
      <c r="AD3465">
        <v>0</v>
      </c>
      <c r="AE3465">
        <v>-1</v>
      </c>
      <c r="AF3465" t="s">
        <v>50</v>
      </c>
      <c r="AG3465" t="s">
        <v>7077</v>
      </c>
    </row>
    <row r="3466" spans="1:33" x14ac:dyDescent="0.35">
      <c r="A3466" s="1">
        <v>44704.996527777781</v>
      </c>
      <c r="B3466">
        <v>6546221</v>
      </c>
      <c r="C3466" t="s">
        <v>6371</v>
      </c>
      <c r="D3466" t="s">
        <v>65</v>
      </c>
      <c r="E3466" s="2">
        <v>44299</v>
      </c>
      <c r="F3466" t="str">
        <f>"9780128219300"</f>
        <v>9780128219300</v>
      </c>
      <c r="G3466" t="str">
        <f>"9780128219294"</f>
        <v>9780128219294</v>
      </c>
      <c r="H3466" t="s">
        <v>297</v>
      </c>
      <c r="I3466">
        <v>622.33802856310001</v>
      </c>
      <c r="J3466" t="s">
        <v>6372</v>
      </c>
      <c r="K3466" t="s">
        <v>55</v>
      </c>
      <c r="N3466" t="s">
        <v>79</v>
      </c>
      <c r="P3466" t="s">
        <v>80</v>
      </c>
      <c r="Q3466" t="s">
        <v>47</v>
      </c>
      <c r="R3466" t="s">
        <v>44</v>
      </c>
      <c r="S3466">
        <v>0</v>
      </c>
      <c r="W3466" s="3">
        <v>6.9444444444444444E-5</v>
      </c>
      <c r="X3466" t="s">
        <v>121</v>
      </c>
      <c r="Y3466">
        <v>1</v>
      </c>
      <c r="Z3466">
        <v>0</v>
      </c>
      <c r="AA3466" t="s">
        <v>49</v>
      </c>
      <c r="AB3466">
        <v>0</v>
      </c>
      <c r="AC3466" t="s">
        <v>49</v>
      </c>
      <c r="AD3466">
        <v>0</v>
      </c>
      <c r="AE3466">
        <v>-1</v>
      </c>
      <c r="AF3466" t="s">
        <v>50</v>
      </c>
      <c r="AG3466" t="s">
        <v>7077</v>
      </c>
    </row>
    <row r="3467" spans="1:33" x14ac:dyDescent="0.35">
      <c r="A3467" s="1">
        <v>44704.67083333333</v>
      </c>
      <c r="B3467">
        <v>3338641</v>
      </c>
      <c r="C3467" t="s">
        <v>302</v>
      </c>
      <c r="D3467" t="s">
        <v>303</v>
      </c>
      <c r="E3467" s="2">
        <v>39143</v>
      </c>
      <c r="F3467" t="str">
        <f>"9780262282888"</f>
        <v>9780262282888</v>
      </c>
      <c r="G3467" t="str">
        <f>"9780262195577"</f>
        <v>9780262195577</v>
      </c>
      <c r="H3467" t="s">
        <v>304</v>
      </c>
      <c r="I3467" t="s">
        <v>305</v>
      </c>
      <c r="K3467" t="s">
        <v>44</v>
      </c>
      <c r="N3467" t="s">
        <v>45</v>
      </c>
      <c r="O3467" t="s">
        <v>46</v>
      </c>
      <c r="P3467" t="s">
        <v>45</v>
      </c>
      <c r="Q3467" t="s">
        <v>47</v>
      </c>
      <c r="R3467" t="s">
        <v>44</v>
      </c>
      <c r="S3467">
        <v>0</v>
      </c>
      <c r="W3467" s="3">
        <v>1.2152777777777778E-2</v>
      </c>
      <c r="X3467" t="s">
        <v>7138</v>
      </c>
      <c r="Y3467">
        <v>14</v>
      </c>
      <c r="Z3467">
        <v>0</v>
      </c>
      <c r="AA3467" t="s">
        <v>49</v>
      </c>
      <c r="AB3467">
        <v>0</v>
      </c>
      <c r="AC3467" t="s">
        <v>49</v>
      </c>
      <c r="AD3467">
        <v>0</v>
      </c>
      <c r="AE3467">
        <v>10173702</v>
      </c>
      <c r="AF3467" t="s">
        <v>50</v>
      </c>
      <c r="AG3467" t="s">
        <v>7132</v>
      </c>
    </row>
    <row r="3468" spans="1:33" x14ac:dyDescent="0.35">
      <c r="A3468" s="1">
        <v>44704.379166666666</v>
      </c>
      <c r="B3468">
        <v>5220361</v>
      </c>
      <c r="C3468" t="s">
        <v>7139</v>
      </c>
      <c r="D3468" t="s">
        <v>7140</v>
      </c>
      <c r="E3468" s="2">
        <v>43009</v>
      </c>
      <c r="F3468" t="str">
        <f>"9781616896706"</f>
        <v>9781616896706</v>
      </c>
      <c r="G3468" t="str">
        <f>"9781616895501"</f>
        <v>9781616895501</v>
      </c>
      <c r="H3468" t="s">
        <v>1046</v>
      </c>
      <c r="I3468" t="s">
        <v>3427</v>
      </c>
      <c r="J3468" t="s">
        <v>7141</v>
      </c>
      <c r="K3468" t="s">
        <v>55</v>
      </c>
      <c r="N3468" t="s">
        <v>79</v>
      </c>
      <c r="P3468" t="s">
        <v>80</v>
      </c>
      <c r="Q3468" t="s">
        <v>47</v>
      </c>
      <c r="R3468" t="s">
        <v>44</v>
      </c>
      <c r="S3468">
        <v>0</v>
      </c>
      <c r="W3468" s="3">
        <v>5.7870370370370366E-5</v>
      </c>
      <c r="X3468" t="s">
        <v>196</v>
      </c>
      <c r="Y3468">
        <v>2</v>
      </c>
      <c r="Z3468">
        <v>0</v>
      </c>
      <c r="AA3468" t="s">
        <v>49</v>
      </c>
      <c r="AB3468">
        <v>0</v>
      </c>
      <c r="AC3468" t="s">
        <v>49</v>
      </c>
      <c r="AD3468">
        <v>0</v>
      </c>
      <c r="AE3468">
        <v>11499549</v>
      </c>
      <c r="AF3468" t="s">
        <v>50</v>
      </c>
      <c r="AG3468" t="s">
        <v>7077</v>
      </c>
    </row>
    <row r="3469" spans="1:33" x14ac:dyDescent="0.35">
      <c r="A3469" s="1">
        <v>44703.657638888886</v>
      </c>
      <c r="B3469">
        <v>4829166</v>
      </c>
      <c r="C3469" t="s">
        <v>7142</v>
      </c>
      <c r="D3469" t="s">
        <v>59</v>
      </c>
      <c r="E3469" s="2">
        <v>42835</v>
      </c>
      <c r="F3469" t="str">
        <f>"9781119219835"</f>
        <v>9781119219835</v>
      </c>
      <c r="G3469" t="str">
        <f>"9781119219811"</f>
        <v>9781119219811</v>
      </c>
      <c r="H3469" t="s">
        <v>525</v>
      </c>
      <c r="I3469" t="s">
        <v>7143</v>
      </c>
      <c r="J3469" t="s">
        <v>7144</v>
      </c>
      <c r="K3469" t="s">
        <v>44</v>
      </c>
      <c r="N3469" t="s">
        <v>45</v>
      </c>
      <c r="O3469" t="s">
        <v>46</v>
      </c>
      <c r="P3469" t="s">
        <v>45</v>
      </c>
      <c r="Q3469" t="s">
        <v>47</v>
      </c>
      <c r="R3469" t="s">
        <v>44</v>
      </c>
      <c r="S3469">
        <v>0</v>
      </c>
      <c r="W3469" s="3">
        <v>3.4722222222222224E-4</v>
      </c>
      <c r="X3469" t="s">
        <v>7145</v>
      </c>
      <c r="Y3469">
        <v>5</v>
      </c>
      <c r="Z3469">
        <v>0</v>
      </c>
      <c r="AA3469" t="s">
        <v>49</v>
      </c>
      <c r="AB3469">
        <v>0</v>
      </c>
      <c r="AC3469" t="s">
        <v>49</v>
      </c>
      <c r="AD3469">
        <v>0</v>
      </c>
      <c r="AE3469">
        <v>11365259</v>
      </c>
      <c r="AF3469" t="s">
        <v>50</v>
      </c>
      <c r="AG3469" t="s">
        <v>7146</v>
      </c>
    </row>
    <row r="3470" spans="1:33" x14ac:dyDescent="0.35">
      <c r="A3470" s="1">
        <v>44703.603472222225</v>
      </c>
      <c r="B3470">
        <v>6423996</v>
      </c>
      <c r="C3470" t="s">
        <v>3170</v>
      </c>
      <c r="D3470" t="s">
        <v>76</v>
      </c>
      <c r="E3470" s="2">
        <v>44187</v>
      </c>
      <c r="F3470" t="str">
        <f>"9780429511004"</f>
        <v>9780429511004</v>
      </c>
      <c r="G3470" t="str">
        <f>"9780367194390"</f>
        <v>9780367194390</v>
      </c>
      <c r="H3470" t="s">
        <v>483</v>
      </c>
      <c r="I3470">
        <v>720.28</v>
      </c>
      <c r="J3470" t="s">
        <v>3171</v>
      </c>
      <c r="K3470" t="s">
        <v>55</v>
      </c>
      <c r="Q3470" t="s">
        <v>47</v>
      </c>
      <c r="R3470" t="s">
        <v>44</v>
      </c>
      <c r="S3470">
        <v>0</v>
      </c>
      <c r="W3470" s="3">
        <v>3.5416666666666665E-3</v>
      </c>
      <c r="X3470" t="s">
        <v>7147</v>
      </c>
      <c r="Y3470">
        <v>9</v>
      </c>
      <c r="Z3470">
        <v>0</v>
      </c>
      <c r="AA3470" t="s">
        <v>49</v>
      </c>
      <c r="AB3470">
        <v>0</v>
      </c>
      <c r="AC3470" t="s">
        <v>49</v>
      </c>
      <c r="AD3470">
        <v>0</v>
      </c>
      <c r="AE3470">
        <v>-1</v>
      </c>
      <c r="AF3470" t="s">
        <v>63</v>
      </c>
      <c r="AG3470" t="s">
        <v>7077</v>
      </c>
    </row>
    <row r="3471" spans="1:33" x14ac:dyDescent="0.35">
      <c r="A3471" s="1">
        <v>44703.21875</v>
      </c>
      <c r="B3471">
        <v>4829166</v>
      </c>
      <c r="C3471" t="s">
        <v>7142</v>
      </c>
      <c r="D3471" t="s">
        <v>59</v>
      </c>
      <c r="E3471" s="2">
        <v>42835</v>
      </c>
      <c r="F3471" t="str">
        <f>"9781119219835"</f>
        <v>9781119219835</v>
      </c>
      <c r="G3471" t="str">
        <f>"9781119219811"</f>
        <v>9781119219811</v>
      </c>
      <c r="H3471" t="s">
        <v>525</v>
      </c>
      <c r="I3471" t="s">
        <v>7143</v>
      </c>
      <c r="J3471" t="s">
        <v>7144</v>
      </c>
      <c r="K3471" t="s">
        <v>44</v>
      </c>
      <c r="N3471" t="s">
        <v>45</v>
      </c>
      <c r="O3471" t="s">
        <v>46</v>
      </c>
      <c r="P3471" t="s">
        <v>45</v>
      </c>
      <c r="Q3471" t="s">
        <v>47</v>
      </c>
      <c r="R3471" t="s">
        <v>44</v>
      </c>
      <c r="S3471">
        <v>0</v>
      </c>
      <c r="W3471" s="3">
        <v>4.6759259259259263E-3</v>
      </c>
      <c r="X3471" t="s">
        <v>7148</v>
      </c>
      <c r="Y3471">
        <v>92</v>
      </c>
      <c r="Z3471">
        <v>0</v>
      </c>
      <c r="AA3471" t="s">
        <v>49</v>
      </c>
      <c r="AB3471">
        <v>0</v>
      </c>
      <c r="AC3471" t="s">
        <v>49</v>
      </c>
      <c r="AD3471">
        <v>0</v>
      </c>
      <c r="AE3471">
        <v>11365259</v>
      </c>
      <c r="AF3471" t="s">
        <v>50</v>
      </c>
      <c r="AG3471" t="s">
        <v>6825</v>
      </c>
    </row>
    <row r="3472" spans="1:33" x14ac:dyDescent="0.35">
      <c r="A3472" s="1">
        <v>44703.078472222223</v>
      </c>
      <c r="B3472">
        <v>6182998</v>
      </c>
      <c r="C3472" t="s">
        <v>7149</v>
      </c>
      <c r="D3472" t="s">
        <v>7150</v>
      </c>
      <c r="E3472" s="2">
        <v>43935</v>
      </c>
      <c r="F3472" t="str">
        <f>"9783318066678"</f>
        <v>9783318066678</v>
      </c>
      <c r="G3472" t="str">
        <f>"9783318066661"</f>
        <v>9783318066661</v>
      </c>
      <c r="H3472" t="s">
        <v>77</v>
      </c>
      <c r="I3472">
        <v>616.04200000000003</v>
      </c>
      <c r="J3472" t="s">
        <v>7151</v>
      </c>
      <c r="K3472" t="s">
        <v>55</v>
      </c>
      <c r="Q3472" t="s">
        <v>47</v>
      </c>
      <c r="R3472" t="s">
        <v>44</v>
      </c>
      <c r="S3472">
        <v>0</v>
      </c>
      <c r="W3472" s="3">
        <v>0.01</v>
      </c>
      <c r="X3472" t="s">
        <v>7152</v>
      </c>
      <c r="Y3472">
        <v>6</v>
      </c>
      <c r="Z3472">
        <v>0</v>
      </c>
      <c r="AA3472" t="s">
        <v>49</v>
      </c>
      <c r="AB3472">
        <v>0</v>
      </c>
      <c r="AC3472" t="s">
        <v>49</v>
      </c>
      <c r="AD3472">
        <v>0</v>
      </c>
      <c r="AE3472">
        <v>-1</v>
      </c>
      <c r="AF3472" t="s">
        <v>50</v>
      </c>
      <c r="AG3472" t="s">
        <v>7077</v>
      </c>
    </row>
    <row r="3473" spans="1:33" x14ac:dyDescent="0.35">
      <c r="A3473" s="1">
        <v>44703.07708333333</v>
      </c>
      <c r="B3473">
        <v>491925</v>
      </c>
      <c r="C3473" t="s">
        <v>4026</v>
      </c>
      <c r="D3473" t="s">
        <v>2193</v>
      </c>
      <c r="E3473" s="2">
        <v>38716</v>
      </c>
      <c r="F3473" t="str">
        <f>"9780313060373"</f>
        <v>9780313060373</v>
      </c>
      <c r="G3473" t="str">
        <f>"9780313334733"</f>
        <v>9780313334733</v>
      </c>
      <c r="H3473" t="s">
        <v>4030</v>
      </c>
      <c r="I3473">
        <v>660.6</v>
      </c>
      <c r="J3473" t="s">
        <v>4031</v>
      </c>
      <c r="K3473" t="s">
        <v>44</v>
      </c>
      <c r="N3473" t="s">
        <v>45</v>
      </c>
      <c r="O3473" t="s">
        <v>46</v>
      </c>
      <c r="P3473" t="s">
        <v>45</v>
      </c>
      <c r="Q3473" t="s">
        <v>47</v>
      </c>
      <c r="R3473" t="s">
        <v>44</v>
      </c>
      <c r="S3473">
        <v>0</v>
      </c>
      <c r="W3473" s="3">
        <v>1.6643518518518519E-2</v>
      </c>
      <c r="X3473" t="s">
        <v>7153</v>
      </c>
      <c r="Y3473">
        <v>34</v>
      </c>
      <c r="Z3473">
        <v>0</v>
      </c>
      <c r="AA3473" t="s">
        <v>49</v>
      </c>
      <c r="AB3473">
        <v>0</v>
      </c>
      <c r="AC3473" t="s">
        <v>49</v>
      </c>
      <c r="AD3473">
        <v>0</v>
      </c>
      <c r="AE3473">
        <v>10362890</v>
      </c>
      <c r="AF3473" t="s">
        <v>50</v>
      </c>
      <c r="AG3473" t="s">
        <v>7077</v>
      </c>
    </row>
    <row r="3474" spans="1:33" x14ac:dyDescent="0.35">
      <c r="A3474" s="1">
        <v>44702.49722222222</v>
      </c>
      <c r="B3474">
        <v>4829166</v>
      </c>
      <c r="C3474" t="s">
        <v>7142</v>
      </c>
      <c r="D3474" t="s">
        <v>59</v>
      </c>
      <c r="E3474" s="2">
        <v>42835</v>
      </c>
      <c r="F3474" t="str">
        <f t="shared" ref="F3474:F3483" si="8">"9781119219835"</f>
        <v>9781119219835</v>
      </c>
      <c r="G3474" t="str">
        <f t="shared" ref="G3474:G3483" si="9">"9781119219811"</f>
        <v>9781119219811</v>
      </c>
      <c r="H3474" t="s">
        <v>525</v>
      </c>
      <c r="I3474" t="s">
        <v>7143</v>
      </c>
      <c r="J3474" t="s">
        <v>7144</v>
      </c>
      <c r="K3474" t="s">
        <v>44</v>
      </c>
      <c r="N3474" t="s">
        <v>45</v>
      </c>
      <c r="O3474" t="s">
        <v>46</v>
      </c>
      <c r="P3474" t="s">
        <v>45</v>
      </c>
      <c r="Q3474" t="s">
        <v>47</v>
      </c>
      <c r="R3474" t="s">
        <v>44</v>
      </c>
      <c r="S3474">
        <v>0</v>
      </c>
      <c r="W3474" s="3">
        <v>5.8333333333333336E-3</v>
      </c>
      <c r="X3474" t="s">
        <v>7154</v>
      </c>
      <c r="Y3474">
        <v>25</v>
      </c>
      <c r="Z3474">
        <v>0</v>
      </c>
      <c r="AA3474" t="s">
        <v>49</v>
      </c>
      <c r="AB3474">
        <v>0</v>
      </c>
      <c r="AC3474" t="s">
        <v>49</v>
      </c>
      <c r="AD3474">
        <v>0</v>
      </c>
      <c r="AE3474">
        <v>11365259</v>
      </c>
      <c r="AF3474" t="s">
        <v>50</v>
      </c>
      <c r="AG3474" t="s">
        <v>7146</v>
      </c>
    </row>
    <row r="3475" spans="1:33" x14ac:dyDescent="0.35">
      <c r="A3475" s="1">
        <v>44701.934027777781</v>
      </c>
      <c r="B3475">
        <v>4829166</v>
      </c>
      <c r="C3475" t="s">
        <v>7142</v>
      </c>
      <c r="D3475" t="s">
        <v>59</v>
      </c>
      <c r="E3475" s="2">
        <v>42835</v>
      </c>
      <c r="F3475" t="str">
        <f t="shared" si="8"/>
        <v>9781119219835</v>
      </c>
      <c r="G3475" t="str">
        <f t="shared" si="9"/>
        <v>9781119219811</v>
      </c>
      <c r="H3475" t="s">
        <v>525</v>
      </c>
      <c r="I3475" t="s">
        <v>7143</v>
      </c>
      <c r="J3475" t="s">
        <v>7144</v>
      </c>
      <c r="K3475" t="s">
        <v>44</v>
      </c>
      <c r="N3475" t="s">
        <v>45</v>
      </c>
      <c r="O3475" t="s">
        <v>46</v>
      </c>
      <c r="P3475" t="s">
        <v>45</v>
      </c>
      <c r="Q3475" t="s">
        <v>47</v>
      </c>
      <c r="R3475" t="s">
        <v>44</v>
      </c>
      <c r="S3475">
        <v>0</v>
      </c>
      <c r="W3475" s="3">
        <v>0.12106481481481481</v>
      </c>
      <c r="X3475" t="s">
        <v>7155</v>
      </c>
      <c r="Y3475">
        <v>60</v>
      </c>
      <c r="Z3475">
        <v>0</v>
      </c>
      <c r="AA3475" t="s">
        <v>49</v>
      </c>
      <c r="AB3475">
        <v>0</v>
      </c>
      <c r="AC3475" t="s">
        <v>49</v>
      </c>
      <c r="AD3475">
        <v>0</v>
      </c>
      <c r="AE3475">
        <v>11365259</v>
      </c>
      <c r="AF3475" t="s">
        <v>50</v>
      </c>
      <c r="AG3475" t="s">
        <v>2782</v>
      </c>
    </row>
    <row r="3476" spans="1:33" x14ac:dyDescent="0.35">
      <c r="A3476" s="1">
        <v>44701.921527777777</v>
      </c>
      <c r="B3476">
        <v>4829166</v>
      </c>
      <c r="C3476" t="s">
        <v>7142</v>
      </c>
      <c r="D3476" t="s">
        <v>59</v>
      </c>
      <c r="E3476" s="2">
        <v>42835</v>
      </c>
      <c r="F3476" t="str">
        <f t="shared" si="8"/>
        <v>9781119219835</v>
      </c>
      <c r="G3476" t="str">
        <f t="shared" si="9"/>
        <v>9781119219811</v>
      </c>
      <c r="H3476" t="s">
        <v>525</v>
      </c>
      <c r="I3476" t="s">
        <v>7143</v>
      </c>
      <c r="J3476" t="s">
        <v>7144</v>
      </c>
      <c r="K3476" t="s">
        <v>44</v>
      </c>
      <c r="N3476" t="s">
        <v>45</v>
      </c>
      <c r="O3476" t="s">
        <v>46</v>
      </c>
      <c r="P3476" t="s">
        <v>45</v>
      </c>
      <c r="Q3476" t="s">
        <v>47</v>
      </c>
      <c r="R3476" t="s">
        <v>44</v>
      </c>
      <c r="S3476">
        <v>0</v>
      </c>
      <c r="W3476" s="3">
        <v>5.1273148148148146E-3</v>
      </c>
      <c r="X3476" t="s">
        <v>7156</v>
      </c>
      <c r="Y3476">
        <v>16</v>
      </c>
      <c r="Z3476">
        <v>0</v>
      </c>
      <c r="AA3476" t="s">
        <v>49</v>
      </c>
      <c r="AB3476">
        <v>0</v>
      </c>
      <c r="AC3476" t="s">
        <v>49</v>
      </c>
      <c r="AD3476">
        <v>0</v>
      </c>
      <c r="AE3476">
        <v>11365259</v>
      </c>
      <c r="AF3476" t="s">
        <v>50</v>
      </c>
      <c r="AG3476" t="s">
        <v>7146</v>
      </c>
    </row>
    <row r="3477" spans="1:33" x14ac:dyDescent="0.35">
      <c r="A3477" s="1">
        <v>44701.874305555553</v>
      </c>
      <c r="B3477">
        <v>4829166</v>
      </c>
      <c r="C3477" t="s">
        <v>7142</v>
      </c>
      <c r="D3477" t="s">
        <v>59</v>
      </c>
      <c r="E3477" s="2">
        <v>42835</v>
      </c>
      <c r="F3477" t="str">
        <f t="shared" si="8"/>
        <v>9781119219835</v>
      </c>
      <c r="G3477" t="str">
        <f t="shared" si="9"/>
        <v>9781119219811</v>
      </c>
      <c r="H3477" t="s">
        <v>525</v>
      </c>
      <c r="I3477" t="s">
        <v>7143</v>
      </c>
      <c r="J3477" t="s">
        <v>7144</v>
      </c>
      <c r="K3477" t="s">
        <v>44</v>
      </c>
      <c r="N3477" t="s">
        <v>45</v>
      </c>
      <c r="O3477" t="s">
        <v>46</v>
      </c>
      <c r="P3477" t="s">
        <v>45</v>
      </c>
      <c r="Q3477" t="s">
        <v>47</v>
      </c>
      <c r="R3477" t="s">
        <v>44</v>
      </c>
      <c r="S3477">
        <v>0</v>
      </c>
      <c r="W3477" s="3">
        <v>2.2280092592592591E-2</v>
      </c>
      <c r="X3477" t="s">
        <v>7157</v>
      </c>
      <c r="Y3477">
        <v>25</v>
      </c>
      <c r="Z3477">
        <v>0</v>
      </c>
      <c r="AA3477" t="s">
        <v>49</v>
      </c>
      <c r="AB3477">
        <v>0</v>
      </c>
      <c r="AC3477" t="s">
        <v>49</v>
      </c>
      <c r="AD3477">
        <v>0</v>
      </c>
      <c r="AE3477">
        <v>11365259</v>
      </c>
      <c r="AF3477" t="s">
        <v>50</v>
      </c>
      <c r="AG3477" t="s">
        <v>2782</v>
      </c>
    </row>
    <row r="3478" spans="1:33" x14ac:dyDescent="0.35">
      <c r="A3478" s="1">
        <v>44701.85</v>
      </c>
      <c r="B3478">
        <v>4829166</v>
      </c>
      <c r="C3478" t="s">
        <v>7142</v>
      </c>
      <c r="D3478" t="s">
        <v>59</v>
      </c>
      <c r="E3478" s="2">
        <v>42835</v>
      </c>
      <c r="F3478" t="str">
        <f t="shared" si="8"/>
        <v>9781119219835</v>
      </c>
      <c r="G3478" t="str">
        <f t="shared" si="9"/>
        <v>9781119219811</v>
      </c>
      <c r="H3478" t="s">
        <v>525</v>
      </c>
      <c r="I3478" t="s">
        <v>7143</v>
      </c>
      <c r="J3478" t="s">
        <v>7144</v>
      </c>
      <c r="K3478" t="s">
        <v>44</v>
      </c>
      <c r="N3478" t="s">
        <v>45</v>
      </c>
      <c r="O3478" t="s">
        <v>46</v>
      </c>
      <c r="P3478" t="s">
        <v>45</v>
      </c>
      <c r="Q3478" t="s">
        <v>47</v>
      </c>
      <c r="R3478" t="s">
        <v>44</v>
      </c>
      <c r="S3478">
        <v>0</v>
      </c>
      <c r="W3478" s="3">
        <v>2.685185185185185E-3</v>
      </c>
      <c r="X3478" t="s">
        <v>7158</v>
      </c>
      <c r="Y3478">
        <v>20</v>
      </c>
      <c r="Z3478">
        <v>0</v>
      </c>
      <c r="AA3478" t="s">
        <v>49</v>
      </c>
      <c r="AB3478">
        <v>0</v>
      </c>
      <c r="AC3478" t="s">
        <v>49</v>
      </c>
      <c r="AD3478">
        <v>0</v>
      </c>
      <c r="AE3478">
        <v>11365259</v>
      </c>
      <c r="AF3478" t="s">
        <v>50</v>
      </c>
      <c r="AG3478" t="s">
        <v>7159</v>
      </c>
    </row>
    <row r="3479" spans="1:33" x14ac:dyDescent="0.35">
      <c r="A3479" s="1">
        <v>44701.817361111112</v>
      </c>
      <c r="B3479">
        <v>4829166</v>
      </c>
      <c r="C3479" t="s">
        <v>7142</v>
      </c>
      <c r="D3479" t="s">
        <v>59</v>
      </c>
      <c r="E3479" s="2">
        <v>42835</v>
      </c>
      <c r="F3479" t="str">
        <f t="shared" si="8"/>
        <v>9781119219835</v>
      </c>
      <c r="G3479" t="str">
        <f t="shared" si="9"/>
        <v>9781119219811</v>
      </c>
      <c r="H3479" t="s">
        <v>525</v>
      </c>
      <c r="I3479" t="s">
        <v>7143</v>
      </c>
      <c r="J3479" t="s">
        <v>7144</v>
      </c>
      <c r="K3479" t="s">
        <v>44</v>
      </c>
      <c r="N3479" t="s">
        <v>45</v>
      </c>
      <c r="O3479" t="s">
        <v>46</v>
      </c>
      <c r="P3479" t="s">
        <v>45</v>
      </c>
      <c r="Q3479" t="s">
        <v>47</v>
      </c>
      <c r="R3479" t="s">
        <v>44</v>
      </c>
      <c r="S3479">
        <v>0</v>
      </c>
      <c r="W3479" s="3">
        <v>2.3518518518518518E-2</v>
      </c>
      <c r="X3479" t="s">
        <v>7160</v>
      </c>
      <c r="Y3479">
        <v>25</v>
      </c>
      <c r="Z3479">
        <v>0</v>
      </c>
      <c r="AA3479" t="s">
        <v>49</v>
      </c>
      <c r="AB3479">
        <v>0</v>
      </c>
      <c r="AC3479" t="s">
        <v>49</v>
      </c>
      <c r="AD3479">
        <v>0</v>
      </c>
      <c r="AE3479">
        <v>11365259</v>
      </c>
      <c r="AF3479" t="s">
        <v>50</v>
      </c>
      <c r="AG3479" t="s">
        <v>7146</v>
      </c>
    </row>
    <row r="3480" spans="1:33" x14ac:dyDescent="0.35">
      <c r="A3480" s="1">
        <v>44701.76666666667</v>
      </c>
      <c r="B3480">
        <v>4829166</v>
      </c>
      <c r="C3480" t="s">
        <v>7142</v>
      </c>
      <c r="D3480" t="s">
        <v>59</v>
      </c>
      <c r="E3480" s="2">
        <v>42835</v>
      </c>
      <c r="F3480" t="str">
        <f t="shared" si="8"/>
        <v>9781119219835</v>
      </c>
      <c r="G3480" t="str">
        <f t="shared" si="9"/>
        <v>9781119219811</v>
      </c>
      <c r="H3480" t="s">
        <v>525</v>
      </c>
      <c r="I3480" t="s">
        <v>7143</v>
      </c>
      <c r="J3480" t="s">
        <v>7144</v>
      </c>
      <c r="K3480" t="s">
        <v>44</v>
      </c>
      <c r="N3480" t="s">
        <v>45</v>
      </c>
      <c r="O3480" t="s">
        <v>46</v>
      </c>
      <c r="P3480" t="s">
        <v>45</v>
      </c>
      <c r="Q3480" t="s">
        <v>47</v>
      </c>
      <c r="R3480" t="s">
        <v>44</v>
      </c>
      <c r="S3480">
        <v>0</v>
      </c>
      <c r="W3480" s="3">
        <v>1.1782407407407406E-2</v>
      </c>
      <c r="X3480" t="s">
        <v>7161</v>
      </c>
      <c r="Y3480">
        <v>13</v>
      </c>
      <c r="Z3480">
        <v>0</v>
      </c>
      <c r="AA3480" t="s">
        <v>49</v>
      </c>
      <c r="AB3480">
        <v>0</v>
      </c>
      <c r="AC3480" t="s">
        <v>7162</v>
      </c>
      <c r="AD3480">
        <v>1</v>
      </c>
      <c r="AE3480">
        <v>11365259</v>
      </c>
      <c r="AF3480" t="s">
        <v>50</v>
      </c>
      <c r="AG3480" t="s">
        <v>7146</v>
      </c>
    </row>
    <row r="3481" spans="1:33" x14ac:dyDescent="0.35">
      <c r="A3481" s="1">
        <v>44701.578472222223</v>
      </c>
      <c r="B3481">
        <v>4829166</v>
      </c>
      <c r="C3481" t="s">
        <v>7142</v>
      </c>
      <c r="D3481" t="s">
        <v>59</v>
      </c>
      <c r="E3481" s="2">
        <v>42835</v>
      </c>
      <c r="F3481" t="str">
        <f t="shared" si="8"/>
        <v>9781119219835</v>
      </c>
      <c r="G3481" t="str">
        <f t="shared" si="9"/>
        <v>9781119219811</v>
      </c>
      <c r="H3481" t="s">
        <v>525</v>
      </c>
      <c r="I3481" t="s">
        <v>7143</v>
      </c>
      <c r="J3481" t="s">
        <v>7144</v>
      </c>
      <c r="K3481" t="s">
        <v>44</v>
      </c>
      <c r="N3481" t="s">
        <v>45</v>
      </c>
      <c r="O3481" t="s">
        <v>46</v>
      </c>
      <c r="P3481" t="s">
        <v>45</v>
      </c>
      <c r="Q3481" t="s">
        <v>47</v>
      </c>
      <c r="R3481" t="s">
        <v>44</v>
      </c>
      <c r="S3481">
        <v>0</v>
      </c>
      <c r="W3481" s="3">
        <v>2.2175925925925929E-2</v>
      </c>
      <c r="X3481" t="s">
        <v>7163</v>
      </c>
      <c r="Y3481">
        <v>69</v>
      </c>
      <c r="Z3481">
        <v>0</v>
      </c>
      <c r="AA3481" t="s">
        <v>49</v>
      </c>
      <c r="AB3481">
        <v>0</v>
      </c>
      <c r="AC3481" t="s">
        <v>49</v>
      </c>
      <c r="AD3481">
        <v>0</v>
      </c>
      <c r="AE3481">
        <v>11365259</v>
      </c>
      <c r="AF3481" t="s">
        <v>50</v>
      </c>
      <c r="AG3481" t="s">
        <v>7159</v>
      </c>
    </row>
    <row r="3482" spans="1:33" x14ac:dyDescent="0.35">
      <c r="A3482" s="1">
        <v>44701.520833333336</v>
      </c>
      <c r="B3482">
        <v>4829166</v>
      </c>
      <c r="C3482" t="s">
        <v>7142</v>
      </c>
      <c r="D3482" t="s">
        <v>59</v>
      </c>
      <c r="E3482" s="2">
        <v>42835</v>
      </c>
      <c r="F3482" t="str">
        <f t="shared" si="8"/>
        <v>9781119219835</v>
      </c>
      <c r="G3482" t="str">
        <f t="shared" si="9"/>
        <v>9781119219811</v>
      </c>
      <c r="H3482" t="s">
        <v>525</v>
      </c>
      <c r="I3482" t="s">
        <v>7143</v>
      </c>
      <c r="J3482" t="s">
        <v>7144</v>
      </c>
      <c r="K3482" t="s">
        <v>44</v>
      </c>
      <c r="N3482" t="s">
        <v>45</v>
      </c>
      <c r="O3482" t="s">
        <v>46</v>
      </c>
      <c r="P3482" t="s">
        <v>45</v>
      </c>
      <c r="Q3482" t="s">
        <v>47</v>
      </c>
      <c r="R3482" t="s">
        <v>44</v>
      </c>
      <c r="S3482">
        <v>0</v>
      </c>
      <c r="W3482" s="3">
        <v>3.6041666666666666E-2</v>
      </c>
      <c r="X3482" t="s">
        <v>7164</v>
      </c>
      <c r="Y3482">
        <v>40</v>
      </c>
      <c r="Z3482">
        <v>1</v>
      </c>
      <c r="AA3482" t="s">
        <v>7165</v>
      </c>
      <c r="AB3482">
        <v>1</v>
      </c>
      <c r="AC3482" t="s">
        <v>7166</v>
      </c>
      <c r="AD3482">
        <v>2</v>
      </c>
      <c r="AE3482">
        <v>11365259</v>
      </c>
      <c r="AF3482" t="s">
        <v>50</v>
      </c>
      <c r="AG3482" t="s">
        <v>7159</v>
      </c>
    </row>
    <row r="3483" spans="1:33" x14ac:dyDescent="0.35">
      <c r="A3483" s="1">
        <v>44701.473611111112</v>
      </c>
      <c r="B3483">
        <v>4829166</v>
      </c>
      <c r="C3483" t="s">
        <v>7142</v>
      </c>
      <c r="D3483" t="s">
        <v>59</v>
      </c>
      <c r="E3483" s="2">
        <v>42835</v>
      </c>
      <c r="F3483" t="str">
        <f t="shared" si="8"/>
        <v>9781119219835</v>
      </c>
      <c r="G3483" t="str">
        <f t="shared" si="9"/>
        <v>9781119219811</v>
      </c>
      <c r="H3483" t="s">
        <v>525</v>
      </c>
      <c r="I3483" t="s">
        <v>7143</v>
      </c>
      <c r="J3483" t="s">
        <v>7144</v>
      </c>
      <c r="K3483" t="s">
        <v>44</v>
      </c>
      <c r="N3483" t="s">
        <v>45</v>
      </c>
      <c r="O3483" t="s">
        <v>46</v>
      </c>
      <c r="P3483" t="s">
        <v>45</v>
      </c>
      <c r="Q3483" t="s">
        <v>47</v>
      </c>
      <c r="R3483" t="s">
        <v>44</v>
      </c>
      <c r="S3483">
        <v>0</v>
      </c>
      <c r="W3483" s="3">
        <v>8.2175925925925917E-4</v>
      </c>
      <c r="X3483" t="s">
        <v>7167</v>
      </c>
      <c r="Y3483">
        <v>7</v>
      </c>
      <c r="Z3483">
        <v>0</v>
      </c>
      <c r="AA3483" t="s">
        <v>49</v>
      </c>
      <c r="AB3483">
        <v>0</v>
      </c>
      <c r="AC3483" t="s">
        <v>49</v>
      </c>
      <c r="AD3483">
        <v>0</v>
      </c>
      <c r="AE3483">
        <v>11365259</v>
      </c>
      <c r="AF3483" t="s">
        <v>50</v>
      </c>
      <c r="AG3483" t="s">
        <v>7168</v>
      </c>
    </row>
    <row r="3484" spans="1:33" x14ac:dyDescent="0.35">
      <c r="A3484" s="1">
        <v>44701.125694444447</v>
      </c>
      <c r="B3484">
        <v>2121477</v>
      </c>
      <c r="C3484" t="s">
        <v>7169</v>
      </c>
      <c r="D3484" t="s">
        <v>65</v>
      </c>
      <c r="E3484" s="2">
        <v>42213</v>
      </c>
      <c r="F3484" t="str">
        <f>"9780128032176"</f>
        <v>9780128032176</v>
      </c>
      <c r="G3484" t="str">
        <f>"9780128032169"</f>
        <v>9780128032169</v>
      </c>
      <c r="H3484" t="s">
        <v>546</v>
      </c>
      <c r="I3484">
        <v>621.31899999999996</v>
      </c>
      <c r="J3484" t="s">
        <v>7170</v>
      </c>
      <c r="K3484" t="s">
        <v>44</v>
      </c>
      <c r="N3484" t="s">
        <v>45</v>
      </c>
      <c r="O3484" t="s">
        <v>46</v>
      </c>
      <c r="P3484" t="s">
        <v>45</v>
      </c>
      <c r="Q3484" t="s">
        <v>47</v>
      </c>
      <c r="R3484" t="s">
        <v>44</v>
      </c>
      <c r="S3484">
        <v>0</v>
      </c>
      <c r="W3484" s="3">
        <v>7.3495370370370372E-3</v>
      </c>
      <c r="X3484" t="s">
        <v>7171</v>
      </c>
      <c r="Y3484">
        <v>19</v>
      </c>
      <c r="Z3484">
        <v>0</v>
      </c>
      <c r="AA3484" t="s">
        <v>49</v>
      </c>
      <c r="AB3484">
        <v>0</v>
      </c>
      <c r="AC3484" t="s">
        <v>49</v>
      </c>
      <c r="AD3484">
        <v>0</v>
      </c>
      <c r="AE3484">
        <v>11084774</v>
      </c>
      <c r="AF3484" t="s">
        <v>50</v>
      </c>
      <c r="AG3484" t="s">
        <v>7172</v>
      </c>
    </row>
    <row r="3485" spans="1:33" x14ac:dyDescent="0.35">
      <c r="A3485" s="1">
        <v>44700.681250000001</v>
      </c>
      <c r="B3485">
        <v>4829166</v>
      </c>
      <c r="C3485" t="s">
        <v>7142</v>
      </c>
      <c r="D3485" t="s">
        <v>59</v>
      </c>
      <c r="E3485" s="2">
        <v>42835</v>
      </c>
      <c r="F3485" t="str">
        <f>"9781119219835"</f>
        <v>9781119219835</v>
      </c>
      <c r="G3485" t="str">
        <f>"9781119219811"</f>
        <v>9781119219811</v>
      </c>
      <c r="H3485" t="s">
        <v>525</v>
      </c>
      <c r="I3485" t="s">
        <v>7143</v>
      </c>
      <c r="J3485" t="s">
        <v>7144</v>
      </c>
      <c r="K3485" t="s">
        <v>44</v>
      </c>
      <c r="N3485" t="s">
        <v>45</v>
      </c>
      <c r="O3485" t="s">
        <v>46</v>
      </c>
      <c r="P3485" t="s">
        <v>45</v>
      </c>
      <c r="Q3485" t="s">
        <v>47</v>
      </c>
      <c r="R3485" t="s">
        <v>44</v>
      </c>
      <c r="S3485">
        <v>0</v>
      </c>
      <c r="W3485" s="3">
        <v>1.1574074074074073E-4</v>
      </c>
      <c r="X3485" t="s">
        <v>7173</v>
      </c>
      <c r="Y3485">
        <v>1</v>
      </c>
      <c r="Z3485">
        <v>1</v>
      </c>
      <c r="AA3485" t="s">
        <v>7174</v>
      </c>
      <c r="AB3485">
        <v>30</v>
      </c>
      <c r="AC3485" t="s">
        <v>49</v>
      </c>
      <c r="AD3485">
        <v>0</v>
      </c>
      <c r="AE3485">
        <v>11365259</v>
      </c>
      <c r="AF3485" t="s">
        <v>50</v>
      </c>
      <c r="AG3485" t="s">
        <v>1451</v>
      </c>
    </row>
    <row r="3486" spans="1:33" x14ac:dyDescent="0.35">
      <c r="A3486" s="1">
        <v>44700.63958333333</v>
      </c>
      <c r="B3486">
        <v>4829166</v>
      </c>
      <c r="C3486" t="s">
        <v>7142</v>
      </c>
      <c r="D3486" t="s">
        <v>59</v>
      </c>
      <c r="E3486" s="2">
        <v>42835</v>
      </c>
      <c r="F3486" t="str">
        <f>"9781119219835"</f>
        <v>9781119219835</v>
      </c>
      <c r="G3486" t="str">
        <f>"9781119219811"</f>
        <v>9781119219811</v>
      </c>
      <c r="H3486" t="s">
        <v>525</v>
      </c>
      <c r="I3486" t="s">
        <v>7143</v>
      </c>
      <c r="J3486" t="s">
        <v>7144</v>
      </c>
      <c r="K3486" t="s">
        <v>44</v>
      </c>
      <c r="N3486" t="s">
        <v>45</v>
      </c>
      <c r="O3486" t="s">
        <v>46</v>
      </c>
      <c r="P3486" t="s">
        <v>45</v>
      </c>
      <c r="Q3486" t="s">
        <v>47</v>
      </c>
      <c r="R3486" t="s">
        <v>44</v>
      </c>
      <c r="S3486">
        <v>0</v>
      </c>
      <c r="W3486" s="3">
        <v>3.8981481481481485E-2</v>
      </c>
      <c r="X3486" t="s">
        <v>7175</v>
      </c>
      <c r="Y3486">
        <v>12</v>
      </c>
      <c r="Z3486">
        <v>0</v>
      </c>
      <c r="AA3486" t="s">
        <v>49</v>
      </c>
      <c r="AB3486">
        <v>0</v>
      </c>
      <c r="AC3486" t="s">
        <v>49</v>
      </c>
      <c r="AD3486">
        <v>0</v>
      </c>
      <c r="AE3486">
        <v>11365259</v>
      </c>
      <c r="AF3486" t="s">
        <v>50</v>
      </c>
      <c r="AG3486" t="s">
        <v>7146</v>
      </c>
    </row>
    <row r="3487" spans="1:33" x14ac:dyDescent="0.35">
      <c r="A3487" s="1">
        <v>44700.61041666667</v>
      </c>
      <c r="B3487">
        <v>6420775</v>
      </c>
      <c r="C3487" t="s">
        <v>236</v>
      </c>
      <c r="D3487" t="s">
        <v>213</v>
      </c>
      <c r="E3487" s="2">
        <v>44147</v>
      </c>
      <c r="F3487" t="str">
        <f>"9780128243619"</f>
        <v>9780128243619</v>
      </c>
      <c r="G3487" t="str">
        <f>"9780128243602"</f>
        <v>9780128243602</v>
      </c>
      <c r="H3487" t="s">
        <v>237</v>
      </c>
      <c r="I3487">
        <v>551.70100000000002</v>
      </c>
      <c r="J3487" t="s">
        <v>238</v>
      </c>
      <c r="K3487" t="s">
        <v>55</v>
      </c>
      <c r="N3487" t="s">
        <v>79</v>
      </c>
      <c r="P3487" t="s">
        <v>80</v>
      </c>
      <c r="Q3487" t="s">
        <v>47</v>
      </c>
      <c r="R3487" t="s">
        <v>44</v>
      </c>
      <c r="S3487">
        <v>0</v>
      </c>
      <c r="W3487" s="3">
        <v>4.9097222222222216E-2</v>
      </c>
      <c r="X3487" t="s">
        <v>7176</v>
      </c>
      <c r="Y3487">
        <v>50</v>
      </c>
      <c r="Z3487">
        <v>0</v>
      </c>
      <c r="AA3487" t="s">
        <v>49</v>
      </c>
      <c r="AB3487">
        <v>0</v>
      </c>
      <c r="AC3487" t="s">
        <v>7177</v>
      </c>
      <c r="AD3487">
        <v>4</v>
      </c>
      <c r="AE3487">
        <v>-1</v>
      </c>
      <c r="AF3487" t="s">
        <v>50</v>
      </c>
      <c r="AG3487" t="s">
        <v>7077</v>
      </c>
    </row>
    <row r="3488" spans="1:33" x14ac:dyDescent="0.35">
      <c r="A3488" s="1">
        <v>44700.584027777775</v>
      </c>
      <c r="B3488">
        <v>4829166</v>
      </c>
      <c r="C3488" t="s">
        <v>7142</v>
      </c>
      <c r="D3488" t="s">
        <v>59</v>
      </c>
      <c r="E3488" s="2">
        <v>42835</v>
      </c>
      <c r="F3488" t="str">
        <f>"9781119219835"</f>
        <v>9781119219835</v>
      </c>
      <c r="G3488" t="str">
        <f>"9781119219811"</f>
        <v>9781119219811</v>
      </c>
      <c r="H3488" t="s">
        <v>525</v>
      </c>
      <c r="I3488" t="s">
        <v>7143</v>
      </c>
      <c r="J3488" t="s">
        <v>7144</v>
      </c>
      <c r="K3488" t="s">
        <v>44</v>
      </c>
      <c r="N3488" t="s">
        <v>45</v>
      </c>
      <c r="O3488" t="s">
        <v>46</v>
      </c>
      <c r="P3488" t="s">
        <v>45</v>
      </c>
      <c r="Q3488" t="s">
        <v>47</v>
      </c>
      <c r="R3488" t="s">
        <v>44</v>
      </c>
      <c r="S3488">
        <v>0</v>
      </c>
      <c r="W3488" s="3">
        <v>3.1944444444444442E-3</v>
      </c>
      <c r="X3488" t="s">
        <v>7178</v>
      </c>
      <c r="Y3488">
        <v>7</v>
      </c>
      <c r="Z3488">
        <v>3</v>
      </c>
      <c r="AA3488" t="s">
        <v>7179</v>
      </c>
      <c r="AB3488">
        <v>95</v>
      </c>
      <c r="AC3488" t="s">
        <v>49</v>
      </c>
      <c r="AD3488">
        <v>0</v>
      </c>
      <c r="AE3488">
        <v>11365259</v>
      </c>
      <c r="AF3488" t="s">
        <v>50</v>
      </c>
      <c r="AG3488" t="s">
        <v>1451</v>
      </c>
    </row>
    <row r="3489" spans="1:33" x14ac:dyDescent="0.35">
      <c r="A3489" s="1">
        <v>44700.556944444441</v>
      </c>
      <c r="B3489">
        <v>6420775</v>
      </c>
      <c r="C3489" t="s">
        <v>236</v>
      </c>
      <c r="D3489" t="s">
        <v>213</v>
      </c>
      <c r="E3489" s="2">
        <v>44147</v>
      </c>
      <c r="F3489" t="str">
        <f>"9780128243619"</f>
        <v>9780128243619</v>
      </c>
      <c r="G3489" t="str">
        <f>"9780128243602"</f>
        <v>9780128243602</v>
      </c>
      <c r="H3489" t="s">
        <v>237</v>
      </c>
      <c r="I3489">
        <v>551.70100000000002</v>
      </c>
      <c r="J3489" t="s">
        <v>238</v>
      </c>
      <c r="K3489" t="s">
        <v>55</v>
      </c>
      <c r="N3489" t="s">
        <v>79</v>
      </c>
      <c r="P3489" t="s">
        <v>80</v>
      </c>
      <c r="Q3489" t="s">
        <v>47</v>
      </c>
      <c r="R3489" t="s">
        <v>44</v>
      </c>
      <c r="S3489">
        <v>2</v>
      </c>
      <c r="T3489">
        <v>90</v>
      </c>
      <c r="U3489" s="1">
        <v>44700.556944444441</v>
      </c>
      <c r="V3489" s="1">
        <v>44790.556944444441</v>
      </c>
      <c r="W3489" s="3">
        <v>9.7106481481481471E-3</v>
      </c>
      <c r="X3489" t="s">
        <v>7180</v>
      </c>
      <c r="Y3489">
        <v>43</v>
      </c>
      <c r="Z3489">
        <v>1</v>
      </c>
      <c r="AA3489" t="s">
        <v>7181</v>
      </c>
      <c r="AB3489">
        <v>4</v>
      </c>
      <c r="AC3489" t="s">
        <v>49</v>
      </c>
      <c r="AD3489">
        <v>0</v>
      </c>
      <c r="AE3489">
        <v>-1</v>
      </c>
      <c r="AF3489" t="s">
        <v>63</v>
      </c>
      <c r="AG3489" t="s">
        <v>7077</v>
      </c>
    </row>
    <row r="3490" spans="1:33" x14ac:dyDescent="0.35">
      <c r="A3490" s="1">
        <v>44700.556250000001</v>
      </c>
      <c r="B3490">
        <v>6420775</v>
      </c>
      <c r="C3490" t="s">
        <v>236</v>
      </c>
      <c r="D3490" t="s">
        <v>213</v>
      </c>
      <c r="E3490" s="2">
        <v>44147</v>
      </c>
      <c r="F3490" t="str">
        <f>"9780128243619"</f>
        <v>9780128243619</v>
      </c>
      <c r="G3490" t="str">
        <f>"9780128243602"</f>
        <v>9780128243602</v>
      </c>
      <c r="H3490" t="s">
        <v>237</v>
      </c>
      <c r="I3490">
        <v>551.70100000000002</v>
      </c>
      <c r="J3490" t="s">
        <v>238</v>
      </c>
      <c r="K3490" t="s">
        <v>55</v>
      </c>
      <c r="N3490" t="s">
        <v>79</v>
      </c>
      <c r="P3490" t="s">
        <v>80</v>
      </c>
      <c r="Q3490" t="s">
        <v>47</v>
      </c>
      <c r="R3490" t="s">
        <v>44</v>
      </c>
      <c r="S3490">
        <v>0</v>
      </c>
      <c r="W3490" s="3">
        <v>6.8287037037037025E-4</v>
      </c>
      <c r="X3490" t="s">
        <v>7182</v>
      </c>
      <c r="Y3490">
        <v>6</v>
      </c>
      <c r="Z3490">
        <v>0</v>
      </c>
      <c r="AA3490" t="s">
        <v>49</v>
      </c>
      <c r="AB3490">
        <v>0</v>
      </c>
      <c r="AC3490" t="s">
        <v>49</v>
      </c>
      <c r="AD3490">
        <v>0</v>
      </c>
      <c r="AE3490">
        <v>-1</v>
      </c>
      <c r="AF3490" t="s">
        <v>63</v>
      </c>
      <c r="AG3490" t="s">
        <v>7077</v>
      </c>
    </row>
    <row r="3491" spans="1:33" x14ac:dyDescent="0.35">
      <c r="A3491" s="1">
        <v>44700.522916666669</v>
      </c>
      <c r="B3491">
        <v>4829166</v>
      </c>
      <c r="C3491" t="s">
        <v>7142</v>
      </c>
      <c r="D3491" t="s">
        <v>59</v>
      </c>
      <c r="E3491" s="2">
        <v>42835</v>
      </c>
      <c r="F3491" t="str">
        <f>"9781119219835"</f>
        <v>9781119219835</v>
      </c>
      <c r="G3491" t="str">
        <f>"9781119219811"</f>
        <v>9781119219811</v>
      </c>
      <c r="H3491" t="s">
        <v>525</v>
      </c>
      <c r="I3491" t="s">
        <v>7143</v>
      </c>
      <c r="J3491" t="s">
        <v>7144</v>
      </c>
      <c r="K3491" t="s">
        <v>44</v>
      </c>
      <c r="N3491" t="s">
        <v>45</v>
      </c>
      <c r="O3491" t="s">
        <v>46</v>
      </c>
      <c r="P3491" t="s">
        <v>45</v>
      </c>
      <c r="Q3491" t="s">
        <v>47</v>
      </c>
      <c r="R3491" t="s">
        <v>44</v>
      </c>
      <c r="S3491">
        <v>0</v>
      </c>
      <c r="W3491" s="3">
        <v>6.134259259259259E-4</v>
      </c>
      <c r="X3491" t="s">
        <v>7183</v>
      </c>
      <c r="Y3491">
        <v>7</v>
      </c>
      <c r="Z3491">
        <v>0</v>
      </c>
      <c r="AA3491" t="s">
        <v>49</v>
      </c>
      <c r="AB3491">
        <v>0</v>
      </c>
      <c r="AC3491" t="s">
        <v>49</v>
      </c>
      <c r="AD3491">
        <v>0</v>
      </c>
      <c r="AE3491">
        <v>11365259</v>
      </c>
      <c r="AF3491" t="s">
        <v>50</v>
      </c>
      <c r="AG3491" t="s">
        <v>7146</v>
      </c>
    </row>
    <row r="3492" spans="1:33" x14ac:dyDescent="0.35">
      <c r="A3492" s="1">
        <v>44700.504166666666</v>
      </c>
      <c r="B3492">
        <v>1550527</v>
      </c>
      <c r="C3492" t="s">
        <v>7184</v>
      </c>
      <c r="D3492" t="s">
        <v>329</v>
      </c>
      <c r="E3492" s="2">
        <v>41619</v>
      </c>
      <c r="F3492" t="str">
        <f>"9780124171763"</f>
        <v>9780124171763</v>
      </c>
      <c r="G3492" t="str">
        <f>"9780124171596"</f>
        <v>9780124171596</v>
      </c>
      <c r="H3492" t="s">
        <v>7185</v>
      </c>
      <c r="I3492">
        <v>4.0681000000000003</v>
      </c>
      <c r="J3492" t="s">
        <v>7186</v>
      </c>
      <c r="K3492" t="s">
        <v>44</v>
      </c>
      <c r="N3492" t="s">
        <v>45</v>
      </c>
      <c r="O3492" t="s">
        <v>46</v>
      </c>
      <c r="P3492" t="s">
        <v>45</v>
      </c>
      <c r="Q3492" t="s">
        <v>47</v>
      </c>
      <c r="R3492" t="s">
        <v>44</v>
      </c>
      <c r="S3492">
        <v>0</v>
      </c>
      <c r="W3492" s="3">
        <v>2.0833333333333335E-4</v>
      </c>
      <c r="X3492" t="s">
        <v>2249</v>
      </c>
      <c r="Y3492">
        <v>6</v>
      </c>
      <c r="Z3492">
        <v>0</v>
      </c>
      <c r="AA3492" t="s">
        <v>49</v>
      </c>
      <c r="AB3492">
        <v>0</v>
      </c>
      <c r="AC3492" t="s">
        <v>49</v>
      </c>
      <c r="AD3492">
        <v>0</v>
      </c>
      <c r="AE3492">
        <v>10815298</v>
      </c>
      <c r="AF3492" t="s">
        <v>50</v>
      </c>
      <c r="AG3492" t="s">
        <v>7187</v>
      </c>
    </row>
    <row r="3493" spans="1:33" x14ac:dyDescent="0.35">
      <c r="A3493" s="1">
        <v>44700.481249999997</v>
      </c>
      <c r="B3493">
        <v>4829166</v>
      </c>
      <c r="C3493" t="s">
        <v>7142</v>
      </c>
      <c r="D3493" t="s">
        <v>59</v>
      </c>
      <c r="E3493" s="2">
        <v>42835</v>
      </c>
      <c r="F3493" t="str">
        <f>"9781119219835"</f>
        <v>9781119219835</v>
      </c>
      <c r="G3493" t="str">
        <f>"9781119219811"</f>
        <v>9781119219811</v>
      </c>
      <c r="H3493" t="s">
        <v>525</v>
      </c>
      <c r="I3493" t="s">
        <v>7143</v>
      </c>
      <c r="J3493" t="s">
        <v>7144</v>
      </c>
      <c r="K3493" t="s">
        <v>44</v>
      </c>
      <c r="N3493" t="s">
        <v>45</v>
      </c>
      <c r="O3493" t="s">
        <v>46</v>
      </c>
      <c r="P3493" t="s">
        <v>45</v>
      </c>
      <c r="Q3493" t="s">
        <v>47</v>
      </c>
      <c r="R3493" t="s">
        <v>44</v>
      </c>
      <c r="S3493">
        <v>0</v>
      </c>
      <c r="W3493" s="3">
        <v>7.013888888888889E-3</v>
      </c>
      <c r="X3493" t="s">
        <v>7188</v>
      </c>
      <c r="Y3493">
        <v>18</v>
      </c>
      <c r="Z3493">
        <v>0</v>
      </c>
      <c r="AA3493" t="s">
        <v>49</v>
      </c>
      <c r="AB3493">
        <v>0</v>
      </c>
      <c r="AC3493" t="s">
        <v>49</v>
      </c>
      <c r="AD3493">
        <v>0</v>
      </c>
      <c r="AE3493">
        <v>11365259</v>
      </c>
      <c r="AF3493" t="s">
        <v>50</v>
      </c>
      <c r="AG3493" t="s">
        <v>7146</v>
      </c>
    </row>
    <row r="3494" spans="1:33" x14ac:dyDescent="0.35">
      <c r="A3494" s="1">
        <v>44700.470138888886</v>
      </c>
      <c r="B3494">
        <v>4829166</v>
      </c>
      <c r="C3494" t="s">
        <v>7142</v>
      </c>
      <c r="D3494" t="s">
        <v>59</v>
      </c>
      <c r="E3494" s="2">
        <v>42835</v>
      </c>
      <c r="F3494" t="str">
        <f>"9781119219835"</f>
        <v>9781119219835</v>
      </c>
      <c r="G3494" t="str">
        <f>"9781119219811"</f>
        <v>9781119219811</v>
      </c>
      <c r="H3494" t="s">
        <v>525</v>
      </c>
      <c r="I3494" t="s">
        <v>7143</v>
      </c>
      <c r="J3494" t="s">
        <v>7144</v>
      </c>
      <c r="K3494" t="s">
        <v>44</v>
      </c>
      <c r="N3494" t="s">
        <v>45</v>
      </c>
      <c r="O3494" t="s">
        <v>46</v>
      </c>
      <c r="P3494" t="s">
        <v>45</v>
      </c>
      <c r="Q3494" t="s">
        <v>47</v>
      </c>
      <c r="R3494" t="s">
        <v>44</v>
      </c>
      <c r="S3494">
        <v>1</v>
      </c>
      <c r="W3494" s="3">
        <v>6.5972222222222213E-4</v>
      </c>
      <c r="X3494" t="s">
        <v>7189</v>
      </c>
      <c r="Y3494">
        <v>4</v>
      </c>
      <c r="Z3494">
        <v>4</v>
      </c>
      <c r="AA3494" t="s">
        <v>7190</v>
      </c>
      <c r="AB3494">
        <v>164</v>
      </c>
      <c r="AC3494" t="s">
        <v>49</v>
      </c>
      <c r="AD3494">
        <v>0</v>
      </c>
      <c r="AE3494">
        <v>11365259</v>
      </c>
      <c r="AF3494" t="s">
        <v>63</v>
      </c>
      <c r="AG3494" t="s">
        <v>1451</v>
      </c>
    </row>
    <row r="3495" spans="1:33" x14ac:dyDescent="0.35">
      <c r="A3495" s="1">
        <v>44700.436111111114</v>
      </c>
      <c r="B3495">
        <v>4612356</v>
      </c>
      <c r="C3495" t="s">
        <v>6697</v>
      </c>
      <c r="D3495" t="s">
        <v>76</v>
      </c>
      <c r="E3495" s="2">
        <v>42590</v>
      </c>
      <c r="F3495" t="str">
        <f t="shared" ref="F3495:F3500" si="10">"9781317271918"</f>
        <v>9781317271918</v>
      </c>
      <c r="G3495" t="str">
        <f t="shared" ref="G3495:G3500" si="11">"9781138649637"</f>
        <v>9781138649637</v>
      </c>
      <c r="H3495" t="s">
        <v>90</v>
      </c>
      <c r="I3495">
        <v>370.15230000000003</v>
      </c>
      <c r="J3495" t="s">
        <v>6698</v>
      </c>
      <c r="K3495" t="s">
        <v>55</v>
      </c>
      <c r="N3495" t="s">
        <v>79</v>
      </c>
      <c r="P3495" t="s">
        <v>80</v>
      </c>
      <c r="Q3495" t="s">
        <v>47</v>
      </c>
      <c r="R3495" t="s">
        <v>44</v>
      </c>
      <c r="S3495">
        <v>0</v>
      </c>
      <c r="W3495" s="3">
        <v>0</v>
      </c>
      <c r="X3495" t="s">
        <v>49</v>
      </c>
      <c r="Y3495">
        <v>0</v>
      </c>
      <c r="Z3495">
        <v>1</v>
      </c>
      <c r="AA3495" t="s">
        <v>7191</v>
      </c>
      <c r="AB3495">
        <v>76</v>
      </c>
      <c r="AC3495" t="s">
        <v>49</v>
      </c>
      <c r="AD3495">
        <v>0</v>
      </c>
      <c r="AE3495">
        <v>11239000</v>
      </c>
      <c r="AF3495" t="s">
        <v>50</v>
      </c>
      <c r="AG3495" t="s">
        <v>7168</v>
      </c>
    </row>
    <row r="3496" spans="1:33" x14ac:dyDescent="0.35">
      <c r="A3496" s="1">
        <v>44700.436111111114</v>
      </c>
      <c r="B3496">
        <v>4612356</v>
      </c>
      <c r="C3496" t="s">
        <v>6697</v>
      </c>
      <c r="D3496" t="s">
        <v>76</v>
      </c>
      <c r="E3496" s="2">
        <v>42590</v>
      </c>
      <c r="F3496" t="str">
        <f t="shared" si="10"/>
        <v>9781317271918</v>
      </c>
      <c r="G3496" t="str">
        <f t="shared" si="11"/>
        <v>9781138649637</v>
      </c>
      <c r="H3496" t="s">
        <v>90</v>
      </c>
      <c r="I3496">
        <v>370.15230000000003</v>
      </c>
      <c r="J3496" t="s">
        <v>6698</v>
      </c>
      <c r="K3496" t="s">
        <v>55</v>
      </c>
      <c r="N3496" t="s">
        <v>79</v>
      </c>
      <c r="P3496" t="s">
        <v>80</v>
      </c>
      <c r="Q3496" t="s">
        <v>47</v>
      </c>
      <c r="R3496" t="s">
        <v>44</v>
      </c>
      <c r="S3496">
        <v>0</v>
      </c>
      <c r="W3496" s="3">
        <v>0</v>
      </c>
      <c r="X3496" t="s">
        <v>49</v>
      </c>
      <c r="Y3496">
        <v>0</v>
      </c>
      <c r="Z3496">
        <v>1</v>
      </c>
      <c r="AA3496" t="s">
        <v>7192</v>
      </c>
      <c r="AB3496">
        <v>46</v>
      </c>
      <c r="AC3496" t="s">
        <v>49</v>
      </c>
      <c r="AD3496">
        <v>0</v>
      </c>
      <c r="AE3496">
        <v>11239000</v>
      </c>
      <c r="AF3496" t="s">
        <v>50</v>
      </c>
      <c r="AG3496" t="s">
        <v>7168</v>
      </c>
    </row>
    <row r="3497" spans="1:33" x14ac:dyDescent="0.35">
      <c r="A3497" s="1">
        <v>44700.436111111114</v>
      </c>
      <c r="B3497">
        <v>4612356</v>
      </c>
      <c r="C3497" t="s">
        <v>6697</v>
      </c>
      <c r="D3497" t="s">
        <v>76</v>
      </c>
      <c r="E3497" s="2">
        <v>42590</v>
      </c>
      <c r="F3497" t="str">
        <f t="shared" si="10"/>
        <v>9781317271918</v>
      </c>
      <c r="G3497" t="str">
        <f t="shared" si="11"/>
        <v>9781138649637</v>
      </c>
      <c r="H3497" t="s">
        <v>90</v>
      </c>
      <c r="I3497">
        <v>370.15230000000003</v>
      </c>
      <c r="J3497" t="s">
        <v>6698</v>
      </c>
      <c r="K3497" t="s">
        <v>55</v>
      </c>
      <c r="N3497" t="s">
        <v>79</v>
      </c>
      <c r="P3497" t="s">
        <v>80</v>
      </c>
      <c r="Q3497" t="s">
        <v>47</v>
      </c>
      <c r="R3497" t="s">
        <v>44</v>
      </c>
      <c r="S3497">
        <v>0</v>
      </c>
      <c r="W3497" s="3">
        <v>0</v>
      </c>
      <c r="X3497" t="s">
        <v>49</v>
      </c>
      <c r="Y3497">
        <v>0</v>
      </c>
      <c r="Z3497">
        <v>1</v>
      </c>
      <c r="AA3497" t="s">
        <v>7193</v>
      </c>
      <c r="AB3497">
        <v>38</v>
      </c>
      <c r="AC3497" t="s">
        <v>49</v>
      </c>
      <c r="AD3497">
        <v>0</v>
      </c>
      <c r="AE3497">
        <v>11239000</v>
      </c>
      <c r="AF3497" t="s">
        <v>50</v>
      </c>
      <c r="AG3497" t="s">
        <v>7168</v>
      </c>
    </row>
    <row r="3498" spans="1:33" x14ac:dyDescent="0.35">
      <c r="A3498" s="1">
        <v>44700.435416666667</v>
      </c>
      <c r="B3498">
        <v>4612356</v>
      </c>
      <c r="C3498" t="s">
        <v>6697</v>
      </c>
      <c r="D3498" t="s">
        <v>76</v>
      </c>
      <c r="E3498" s="2">
        <v>42590</v>
      </c>
      <c r="F3498" t="str">
        <f t="shared" si="10"/>
        <v>9781317271918</v>
      </c>
      <c r="G3498" t="str">
        <f t="shared" si="11"/>
        <v>9781138649637</v>
      </c>
      <c r="H3498" t="s">
        <v>90</v>
      </c>
      <c r="I3498">
        <v>370.15230000000003</v>
      </c>
      <c r="J3498" t="s">
        <v>6698</v>
      </c>
      <c r="K3498" t="s">
        <v>55</v>
      </c>
      <c r="N3498" t="s">
        <v>79</v>
      </c>
      <c r="P3498" t="s">
        <v>80</v>
      </c>
      <c r="Q3498" t="s">
        <v>47</v>
      </c>
      <c r="R3498" t="s">
        <v>44</v>
      </c>
      <c r="S3498">
        <v>0</v>
      </c>
      <c r="W3498" s="3">
        <v>0</v>
      </c>
      <c r="X3498" t="s">
        <v>49</v>
      </c>
      <c r="Y3498">
        <v>0</v>
      </c>
      <c r="Z3498">
        <v>4</v>
      </c>
      <c r="AA3498" t="s">
        <v>7194</v>
      </c>
      <c r="AB3498">
        <v>106</v>
      </c>
      <c r="AC3498" t="s">
        <v>49</v>
      </c>
      <c r="AD3498">
        <v>0</v>
      </c>
      <c r="AE3498">
        <v>11239000</v>
      </c>
      <c r="AF3498" t="s">
        <v>50</v>
      </c>
      <c r="AG3498" t="s">
        <v>7168</v>
      </c>
    </row>
    <row r="3499" spans="1:33" x14ac:dyDescent="0.35">
      <c r="A3499" s="1">
        <v>44700.43472222222</v>
      </c>
      <c r="B3499">
        <v>4612356</v>
      </c>
      <c r="C3499" t="s">
        <v>6697</v>
      </c>
      <c r="D3499" t="s">
        <v>76</v>
      </c>
      <c r="E3499" s="2">
        <v>42590</v>
      </c>
      <c r="F3499" t="str">
        <f t="shared" si="10"/>
        <v>9781317271918</v>
      </c>
      <c r="G3499" t="str">
        <f t="shared" si="11"/>
        <v>9781138649637</v>
      </c>
      <c r="H3499" t="s">
        <v>90</v>
      </c>
      <c r="I3499">
        <v>370.15230000000003</v>
      </c>
      <c r="J3499" t="s">
        <v>6698</v>
      </c>
      <c r="K3499" t="s">
        <v>55</v>
      </c>
      <c r="N3499" t="s">
        <v>79</v>
      </c>
      <c r="P3499" t="s">
        <v>80</v>
      </c>
      <c r="Q3499" t="s">
        <v>47</v>
      </c>
      <c r="R3499" t="s">
        <v>44</v>
      </c>
      <c r="S3499">
        <v>0</v>
      </c>
      <c r="W3499" s="3">
        <v>0</v>
      </c>
      <c r="X3499" t="s">
        <v>49</v>
      </c>
      <c r="Y3499">
        <v>0</v>
      </c>
      <c r="Z3499">
        <v>4</v>
      </c>
      <c r="AA3499" t="s">
        <v>7195</v>
      </c>
      <c r="AB3499">
        <v>96</v>
      </c>
      <c r="AC3499" t="s">
        <v>49</v>
      </c>
      <c r="AD3499">
        <v>0</v>
      </c>
      <c r="AE3499">
        <v>11239000</v>
      </c>
      <c r="AF3499" t="s">
        <v>50</v>
      </c>
      <c r="AG3499" t="s">
        <v>7168</v>
      </c>
    </row>
    <row r="3500" spans="1:33" x14ac:dyDescent="0.35">
      <c r="A3500" s="1">
        <v>44700.434027777781</v>
      </c>
      <c r="B3500">
        <v>4612356</v>
      </c>
      <c r="C3500" t="s">
        <v>6697</v>
      </c>
      <c r="D3500" t="s">
        <v>76</v>
      </c>
      <c r="E3500" s="2">
        <v>42590</v>
      </c>
      <c r="F3500" t="str">
        <f t="shared" si="10"/>
        <v>9781317271918</v>
      </c>
      <c r="G3500" t="str">
        <f t="shared" si="11"/>
        <v>9781138649637</v>
      </c>
      <c r="H3500" t="s">
        <v>90</v>
      </c>
      <c r="I3500">
        <v>370.15230000000003</v>
      </c>
      <c r="J3500" t="s">
        <v>6698</v>
      </c>
      <c r="K3500" t="s">
        <v>55</v>
      </c>
      <c r="N3500" t="s">
        <v>79</v>
      </c>
      <c r="P3500" t="s">
        <v>80</v>
      </c>
      <c r="Q3500" t="s">
        <v>47</v>
      </c>
      <c r="R3500" t="s">
        <v>44</v>
      </c>
      <c r="S3500">
        <v>0</v>
      </c>
      <c r="W3500" s="3">
        <v>0</v>
      </c>
      <c r="X3500" t="s">
        <v>49</v>
      </c>
      <c r="Y3500">
        <v>0</v>
      </c>
      <c r="Z3500">
        <v>4</v>
      </c>
      <c r="AA3500" t="s">
        <v>7196</v>
      </c>
      <c r="AB3500">
        <v>67</v>
      </c>
      <c r="AC3500" t="s">
        <v>49</v>
      </c>
      <c r="AD3500">
        <v>0</v>
      </c>
      <c r="AE3500">
        <v>11239000</v>
      </c>
      <c r="AF3500" t="s">
        <v>50</v>
      </c>
      <c r="AG3500" t="s">
        <v>7168</v>
      </c>
    </row>
    <row r="3501" spans="1:33" x14ac:dyDescent="0.35">
      <c r="A3501" s="1">
        <v>44700.432638888888</v>
      </c>
      <c r="B3501">
        <v>6261984</v>
      </c>
      <c r="C3501" t="s">
        <v>6656</v>
      </c>
      <c r="D3501" t="s">
        <v>4871</v>
      </c>
      <c r="E3501" s="2">
        <v>42691</v>
      </c>
      <c r="F3501" t="str">
        <f>"9781506356518"</f>
        <v>9781506356518</v>
      </c>
      <c r="G3501" t="str">
        <f>"9781506356495"</f>
        <v>9781506356495</v>
      </c>
      <c r="H3501" t="s">
        <v>90</v>
      </c>
      <c r="I3501">
        <v>371.10199999999998</v>
      </c>
      <c r="J3501" t="s">
        <v>6657</v>
      </c>
      <c r="K3501" t="s">
        <v>55</v>
      </c>
      <c r="N3501" t="s">
        <v>79</v>
      </c>
      <c r="P3501" t="s">
        <v>80</v>
      </c>
      <c r="Q3501" t="s">
        <v>47</v>
      </c>
      <c r="R3501" t="s">
        <v>44</v>
      </c>
      <c r="S3501">
        <v>0</v>
      </c>
      <c r="W3501" s="3">
        <v>0</v>
      </c>
      <c r="X3501" t="s">
        <v>49</v>
      </c>
      <c r="Y3501">
        <v>0</v>
      </c>
      <c r="Z3501">
        <v>1</v>
      </c>
      <c r="AA3501" t="s">
        <v>7197</v>
      </c>
      <c r="AB3501">
        <v>18</v>
      </c>
      <c r="AC3501" t="s">
        <v>49</v>
      </c>
      <c r="AD3501">
        <v>0</v>
      </c>
      <c r="AE3501">
        <v>-1</v>
      </c>
      <c r="AF3501" t="s">
        <v>50</v>
      </c>
      <c r="AG3501" t="s">
        <v>7168</v>
      </c>
    </row>
    <row r="3502" spans="1:33" x14ac:dyDescent="0.35">
      <c r="A3502" s="1">
        <v>44700.432638888888</v>
      </c>
      <c r="B3502">
        <v>6261984</v>
      </c>
      <c r="C3502" t="s">
        <v>6656</v>
      </c>
      <c r="D3502" t="s">
        <v>4871</v>
      </c>
      <c r="E3502" s="2">
        <v>42691</v>
      </c>
      <c r="F3502" t="str">
        <f>"9781506356518"</f>
        <v>9781506356518</v>
      </c>
      <c r="G3502" t="str">
        <f>"9781506356495"</f>
        <v>9781506356495</v>
      </c>
      <c r="H3502" t="s">
        <v>90</v>
      </c>
      <c r="I3502">
        <v>371.10199999999998</v>
      </c>
      <c r="J3502" t="s">
        <v>6657</v>
      </c>
      <c r="K3502" t="s">
        <v>55</v>
      </c>
      <c r="N3502" t="s">
        <v>79</v>
      </c>
      <c r="P3502" t="s">
        <v>80</v>
      </c>
      <c r="Q3502" t="s">
        <v>47</v>
      </c>
      <c r="R3502" t="s">
        <v>44</v>
      </c>
      <c r="S3502">
        <v>0</v>
      </c>
      <c r="W3502" s="3">
        <v>1.1574074074074073E-5</v>
      </c>
      <c r="X3502" t="s">
        <v>49</v>
      </c>
      <c r="Y3502">
        <v>0</v>
      </c>
      <c r="Z3502">
        <v>1</v>
      </c>
      <c r="AA3502" t="s">
        <v>7198</v>
      </c>
      <c r="AB3502">
        <v>24</v>
      </c>
      <c r="AC3502" t="s">
        <v>49</v>
      </c>
      <c r="AD3502">
        <v>0</v>
      </c>
      <c r="AE3502">
        <v>-1</v>
      </c>
      <c r="AF3502" t="s">
        <v>50</v>
      </c>
      <c r="AG3502" t="s">
        <v>7168</v>
      </c>
    </row>
    <row r="3503" spans="1:33" x14ac:dyDescent="0.35">
      <c r="A3503" s="1">
        <v>44700.432638888888</v>
      </c>
      <c r="B3503">
        <v>6261984</v>
      </c>
      <c r="C3503" t="s">
        <v>6656</v>
      </c>
      <c r="D3503" t="s">
        <v>4871</v>
      </c>
      <c r="E3503" s="2">
        <v>42691</v>
      </c>
      <c r="F3503" t="str">
        <f>"9781506356518"</f>
        <v>9781506356518</v>
      </c>
      <c r="G3503" t="str">
        <f>"9781506356495"</f>
        <v>9781506356495</v>
      </c>
      <c r="H3503" t="s">
        <v>90</v>
      </c>
      <c r="I3503">
        <v>371.10199999999998</v>
      </c>
      <c r="J3503" t="s">
        <v>6657</v>
      </c>
      <c r="K3503" t="s">
        <v>55</v>
      </c>
      <c r="N3503" t="s">
        <v>79</v>
      </c>
      <c r="P3503" t="s">
        <v>80</v>
      </c>
      <c r="Q3503" t="s">
        <v>47</v>
      </c>
      <c r="R3503" t="s">
        <v>44</v>
      </c>
      <c r="S3503">
        <v>0</v>
      </c>
      <c r="W3503" s="3">
        <v>0</v>
      </c>
      <c r="X3503" t="s">
        <v>49</v>
      </c>
      <c r="Y3503">
        <v>0</v>
      </c>
      <c r="Z3503">
        <v>1</v>
      </c>
      <c r="AA3503" t="s">
        <v>7199</v>
      </c>
      <c r="AB3503">
        <v>24</v>
      </c>
      <c r="AC3503" t="s">
        <v>49</v>
      </c>
      <c r="AD3503">
        <v>0</v>
      </c>
      <c r="AE3503">
        <v>-1</v>
      </c>
      <c r="AF3503" t="s">
        <v>50</v>
      </c>
      <c r="AG3503" t="s">
        <v>7168</v>
      </c>
    </row>
    <row r="3504" spans="1:33" x14ac:dyDescent="0.35">
      <c r="A3504" s="1">
        <v>44700.431944444441</v>
      </c>
      <c r="B3504">
        <v>6261984</v>
      </c>
      <c r="C3504" t="s">
        <v>6656</v>
      </c>
      <c r="D3504" t="s">
        <v>4871</v>
      </c>
      <c r="E3504" s="2">
        <v>42691</v>
      </c>
      <c r="F3504" t="str">
        <f>"9781506356518"</f>
        <v>9781506356518</v>
      </c>
      <c r="G3504" t="str">
        <f>"9781506356495"</f>
        <v>9781506356495</v>
      </c>
      <c r="H3504" t="s">
        <v>90</v>
      </c>
      <c r="I3504">
        <v>371.10199999999998</v>
      </c>
      <c r="J3504" t="s">
        <v>6657</v>
      </c>
      <c r="K3504" t="s">
        <v>55</v>
      </c>
      <c r="N3504" t="s">
        <v>79</v>
      </c>
      <c r="P3504" t="s">
        <v>80</v>
      </c>
      <c r="Q3504" t="s">
        <v>47</v>
      </c>
      <c r="R3504" t="s">
        <v>44</v>
      </c>
      <c r="S3504">
        <v>0</v>
      </c>
      <c r="W3504" s="3">
        <v>1.1574074074074073E-5</v>
      </c>
      <c r="X3504" t="s">
        <v>49</v>
      </c>
      <c r="Y3504">
        <v>0</v>
      </c>
      <c r="Z3504">
        <v>2</v>
      </c>
      <c r="AA3504" t="s">
        <v>7200</v>
      </c>
      <c r="AB3504">
        <v>26</v>
      </c>
      <c r="AC3504" t="s">
        <v>49</v>
      </c>
      <c r="AD3504">
        <v>0</v>
      </c>
      <c r="AE3504">
        <v>-1</v>
      </c>
      <c r="AF3504" t="s">
        <v>50</v>
      </c>
      <c r="AG3504" t="s">
        <v>7168</v>
      </c>
    </row>
    <row r="3505" spans="1:33" x14ac:dyDescent="0.35">
      <c r="A3505" s="1">
        <v>44700.430555555555</v>
      </c>
      <c r="B3505">
        <v>4612356</v>
      </c>
      <c r="C3505" t="s">
        <v>6697</v>
      </c>
      <c r="D3505" t="s">
        <v>76</v>
      </c>
      <c r="E3505" s="2">
        <v>42590</v>
      </c>
      <c r="F3505" t="str">
        <f>"9781317271918"</f>
        <v>9781317271918</v>
      </c>
      <c r="G3505" t="str">
        <f>"9781138649637"</f>
        <v>9781138649637</v>
      </c>
      <c r="H3505" t="s">
        <v>90</v>
      </c>
      <c r="I3505">
        <v>370.15230000000003</v>
      </c>
      <c r="J3505" t="s">
        <v>6698</v>
      </c>
      <c r="K3505" t="s">
        <v>55</v>
      </c>
      <c r="N3505" t="s">
        <v>79</v>
      </c>
      <c r="P3505" t="s">
        <v>80</v>
      </c>
      <c r="Q3505" t="s">
        <v>47</v>
      </c>
      <c r="R3505" t="s">
        <v>44</v>
      </c>
      <c r="S3505">
        <v>0</v>
      </c>
      <c r="W3505" s="3">
        <v>1.1574074074074073E-5</v>
      </c>
      <c r="X3505" t="s">
        <v>49</v>
      </c>
      <c r="Y3505">
        <v>0</v>
      </c>
      <c r="Z3505">
        <v>4</v>
      </c>
      <c r="AA3505" t="s">
        <v>7201</v>
      </c>
      <c r="AB3505">
        <v>77</v>
      </c>
      <c r="AC3505" t="s">
        <v>49</v>
      </c>
      <c r="AD3505">
        <v>0</v>
      </c>
      <c r="AE3505">
        <v>11239000</v>
      </c>
      <c r="AF3505" t="s">
        <v>50</v>
      </c>
      <c r="AG3505" t="s">
        <v>7168</v>
      </c>
    </row>
    <row r="3506" spans="1:33" x14ac:dyDescent="0.35">
      <c r="A3506" s="1">
        <v>44699.779861111114</v>
      </c>
      <c r="B3506">
        <v>351447</v>
      </c>
      <c r="C3506" t="s">
        <v>7202</v>
      </c>
      <c r="D3506" t="s">
        <v>59</v>
      </c>
      <c r="E3506" s="2">
        <v>37246</v>
      </c>
      <c r="F3506" t="str">
        <f>"9780470999387"</f>
        <v>9780470999387</v>
      </c>
      <c r="G3506" t="str">
        <f>"9780632053513"</f>
        <v>9780632053513</v>
      </c>
      <c r="H3506" t="s">
        <v>1040</v>
      </c>
      <c r="I3506" t="s">
        <v>7203</v>
      </c>
      <c r="J3506" t="s">
        <v>7204</v>
      </c>
      <c r="K3506" t="s">
        <v>44</v>
      </c>
      <c r="N3506" t="s">
        <v>45</v>
      </c>
      <c r="O3506" t="s">
        <v>46</v>
      </c>
      <c r="P3506" t="s">
        <v>45</v>
      </c>
      <c r="Q3506" t="s">
        <v>47</v>
      </c>
      <c r="R3506" t="s">
        <v>44</v>
      </c>
      <c r="S3506">
        <v>1</v>
      </c>
      <c r="W3506" s="3">
        <v>0</v>
      </c>
      <c r="X3506" t="s">
        <v>49</v>
      </c>
      <c r="Y3506">
        <v>0</v>
      </c>
      <c r="Z3506">
        <v>0</v>
      </c>
      <c r="AA3506" t="s">
        <v>49</v>
      </c>
      <c r="AB3506">
        <v>0</v>
      </c>
      <c r="AC3506" t="s">
        <v>49</v>
      </c>
      <c r="AD3506">
        <v>0</v>
      </c>
      <c r="AE3506">
        <v>10240515</v>
      </c>
      <c r="AF3506" t="s">
        <v>63</v>
      </c>
      <c r="AG3506" t="s">
        <v>7205</v>
      </c>
    </row>
    <row r="3507" spans="1:33" x14ac:dyDescent="0.35">
      <c r="A3507" s="1">
        <v>44699.763194444444</v>
      </c>
      <c r="B3507">
        <v>4873638</v>
      </c>
      <c r="C3507" t="s">
        <v>7206</v>
      </c>
      <c r="D3507" t="s">
        <v>4829</v>
      </c>
      <c r="E3507" s="2">
        <v>41450</v>
      </c>
      <c r="F3507" t="str">
        <f>"9780738684055"</f>
        <v>9780738684055</v>
      </c>
      <c r="G3507" t="str">
        <f>"9780738611211"</f>
        <v>9780738611211</v>
      </c>
      <c r="H3507" t="s">
        <v>66</v>
      </c>
      <c r="I3507">
        <v>570.76</v>
      </c>
      <c r="J3507" t="s">
        <v>7207</v>
      </c>
      <c r="K3507" t="s">
        <v>44</v>
      </c>
      <c r="N3507" t="s">
        <v>45</v>
      </c>
      <c r="O3507" t="s">
        <v>46</v>
      </c>
      <c r="P3507" t="s">
        <v>45</v>
      </c>
      <c r="Q3507" t="s">
        <v>47</v>
      </c>
      <c r="R3507" t="s">
        <v>44</v>
      </c>
      <c r="S3507">
        <v>0</v>
      </c>
      <c r="W3507" s="3">
        <v>6.9444444444444444E-5</v>
      </c>
      <c r="X3507" t="s">
        <v>121</v>
      </c>
      <c r="Y3507">
        <v>1</v>
      </c>
      <c r="Z3507">
        <v>0</v>
      </c>
      <c r="AA3507" t="s">
        <v>49</v>
      </c>
      <c r="AB3507">
        <v>0</v>
      </c>
      <c r="AC3507" t="s">
        <v>49</v>
      </c>
      <c r="AD3507">
        <v>0</v>
      </c>
      <c r="AE3507">
        <v>11395043</v>
      </c>
      <c r="AF3507" t="s">
        <v>50</v>
      </c>
      <c r="AG3507" t="s">
        <v>7077</v>
      </c>
    </row>
    <row r="3508" spans="1:33" x14ac:dyDescent="0.35">
      <c r="A3508" s="1">
        <v>44699.561805555553</v>
      </c>
      <c r="B3508">
        <v>6261984</v>
      </c>
      <c r="C3508" t="s">
        <v>6656</v>
      </c>
      <c r="D3508" t="s">
        <v>4871</v>
      </c>
      <c r="E3508" s="2">
        <v>42691</v>
      </c>
      <c r="F3508" t="str">
        <f>"9781506356518"</f>
        <v>9781506356518</v>
      </c>
      <c r="G3508" t="str">
        <f>"9781506356495"</f>
        <v>9781506356495</v>
      </c>
      <c r="H3508" t="s">
        <v>90</v>
      </c>
      <c r="I3508">
        <v>371.10199999999998</v>
      </c>
      <c r="J3508" t="s">
        <v>6657</v>
      </c>
      <c r="K3508" t="s">
        <v>55</v>
      </c>
      <c r="N3508" t="s">
        <v>79</v>
      </c>
      <c r="P3508" t="s">
        <v>80</v>
      </c>
      <c r="Q3508" t="s">
        <v>47</v>
      </c>
      <c r="R3508" t="s">
        <v>44</v>
      </c>
      <c r="S3508">
        <v>0</v>
      </c>
      <c r="W3508" s="3">
        <v>0</v>
      </c>
      <c r="X3508" t="s">
        <v>49</v>
      </c>
      <c r="Y3508">
        <v>0</v>
      </c>
      <c r="Z3508">
        <v>8</v>
      </c>
      <c r="AA3508" t="s">
        <v>7208</v>
      </c>
      <c r="AB3508">
        <v>21</v>
      </c>
      <c r="AC3508" t="s">
        <v>49</v>
      </c>
      <c r="AD3508">
        <v>0</v>
      </c>
      <c r="AE3508">
        <v>-1</v>
      </c>
      <c r="AF3508" t="s">
        <v>50</v>
      </c>
      <c r="AG3508" t="s">
        <v>7168</v>
      </c>
    </row>
    <row r="3509" spans="1:33" x14ac:dyDescent="0.35">
      <c r="A3509" s="1">
        <v>44699.554861111108</v>
      </c>
      <c r="B3509">
        <v>4612356</v>
      </c>
      <c r="C3509" t="s">
        <v>6697</v>
      </c>
      <c r="D3509" t="s">
        <v>76</v>
      </c>
      <c r="E3509" s="2">
        <v>42590</v>
      </c>
      <c r="F3509" t="str">
        <f>"9781317271918"</f>
        <v>9781317271918</v>
      </c>
      <c r="G3509" t="str">
        <f>"9781138649637"</f>
        <v>9781138649637</v>
      </c>
      <c r="H3509" t="s">
        <v>90</v>
      </c>
      <c r="I3509">
        <v>370.15230000000003</v>
      </c>
      <c r="J3509" t="s">
        <v>6698</v>
      </c>
      <c r="K3509" t="s">
        <v>55</v>
      </c>
      <c r="N3509" t="s">
        <v>79</v>
      </c>
      <c r="P3509" t="s">
        <v>80</v>
      </c>
      <c r="Q3509" t="s">
        <v>47</v>
      </c>
      <c r="R3509" t="s">
        <v>44</v>
      </c>
      <c r="S3509">
        <v>0</v>
      </c>
      <c r="W3509" s="3">
        <v>2.7777777777777778E-4</v>
      </c>
      <c r="X3509" t="s">
        <v>7209</v>
      </c>
      <c r="Y3509">
        <v>3</v>
      </c>
      <c r="Z3509">
        <v>11</v>
      </c>
      <c r="AA3509" t="s">
        <v>7210</v>
      </c>
      <c r="AB3509">
        <v>107</v>
      </c>
      <c r="AC3509" t="s">
        <v>49</v>
      </c>
      <c r="AD3509">
        <v>0</v>
      </c>
      <c r="AE3509">
        <v>11239000</v>
      </c>
      <c r="AF3509" t="s">
        <v>50</v>
      </c>
      <c r="AG3509" t="s">
        <v>7168</v>
      </c>
    </row>
    <row r="3510" spans="1:33" x14ac:dyDescent="0.35">
      <c r="A3510" s="1">
        <v>44699.464583333334</v>
      </c>
      <c r="B3510">
        <v>980015</v>
      </c>
      <c r="C3510" t="s">
        <v>5792</v>
      </c>
      <c r="D3510" t="s">
        <v>213</v>
      </c>
      <c r="E3510" s="2">
        <v>41143</v>
      </c>
      <c r="F3510" t="str">
        <f>"9780444594488"</f>
        <v>9780444594488</v>
      </c>
      <c r="G3510" t="str">
        <f>"9780444594259"</f>
        <v>9780444594259</v>
      </c>
      <c r="H3510" t="s">
        <v>237</v>
      </c>
      <c r="I3510">
        <v>551.70100000000002</v>
      </c>
      <c r="J3510" t="s">
        <v>5793</v>
      </c>
      <c r="K3510" t="s">
        <v>44</v>
      </c>
      <c r="N3510" t="s">
        <v>45</v>
      </c>
      <c r="O3510" t="s">
        <v>46</v>
      </c>
      <c r="P3510" t="s">
        <v>45</v>
      </c>
      <c r="Q3510" t="s">
        <v>47</v>
      </c>
      <c r="R3510" t="s">
        <v>44</v>
      </c>
      <c r="S3510">
        <v>0</v>
      </c>
      <c r="W3510" s="3">
        <v>0</v>
      </c>
      <c r="X3510" t="s">
        <v>49</v>
      </c>
      <c r="Y3510">
        <v>0</v>
      </c>
      <c r="Z3510">
        <v>1</v>
      </c>
      <c r="AA3510" t="s">
        <v>7211</v>
      </c>
      <c r="AB3510">
        <v>14</v>
      </c>
      <c r="AC3510" t="s">
        <v>49</v>
      </c>
      <c r="AD3510">
        <v>0</v>
      </c>
      <c r="AE3510">
        <v>10583672</v>
      </c>
      <c r="AF3510" t="s">
        <v>63</v>
      </c>
      <c r="AG3510" t="s">
        <v>7077</v>
      </c>
    </row>
    <row r="3511" spans="1:33" x14ac:dyDescent="0.35">
      <c r="A3511" s="1">
        <v>44699.461805555555</v>
      </c>
      <c r="B3511">
        <v>6868914</v>
      </c>
      <c r="C3511" t="s">
        <v>7212</v>
      </c>
      <c r="D3511" t="s">
        <v>76</v>
      </c>
      <c r="E3511" s="2">
        <v>44593</v>
      </c>
      <c r="F3511" t="str">
        <f>"9781000538205"</f>
        <v>9781000538205</v>
      </c>
      <c r="G3511" t="str">
        <f>"9780367224745"</f>
        <v>9780367224745</v>
      </c>
      <c r="H3511" t="s">
        <v>208</v>
      </c>
      <c r="I3511">
        <v>629.47</v>
      </c>
      <c r="J3511" t="s">
        <v>7213</v>
      </c>
      <c r="K3511" t="s">
        <v>55</v>
      </c>
      <c r="N3511" t="s">
        <v>79</v>
      </c>
      <c r="P3511" t="s">
        <v>80</v>
      </c>
      <c r="Q3511" t="s">
        <v>47</v>
      </c>
      <c r="R3511" t="s">
        <v>44</v>
      </c>
      <c r="S3511">
        <v>1</v>
      </c>
      <c r="T3511">
        <v>90</v>
      </c>
      <c r="U3511" s="1">
        <v>44699.461805555555</v>
      </c>
      <c r="V3511" s="1">
        <v>44789.461805555555</v>
      </c>
      <c r="W3511" s="3">
        <v>0</v>
      </c>
      <c r="X3511" t="s">
        <v>49</v>
      </c>
      <c r="Y3511">
        <v>0</v>
      </c>
      <c r="Z3511">
        <v>0</v>
      </c>
      <c r="AA3511" t="s">
        <v>49</v>
      </c>
      <c r="AB3511">
        <v>0</v>
      </c>
      <c r="AC3511" t="s">
        <v>49</v>
      </c>
      <c r="AD3511">
        <v>0</v>
      </c>
      <c r="AE3511">
        <v>-1</v>
      </c>
      <c r="AF3511" t="s">
        <v>63</v>
      </c>
      <c r="AG3511" t="s">
        <v>7077</v>
      </c>
    </row>
    <row r="3512" spans="1:33" x14ac:dyDescent="0.35">
      <c r="A3512" s="1">
        <v>44699.441666666666</v>
      </c>
      <c r="B3512">
        <v>980015</v>
      </c>
      <c r="C3512" t="s">
        <v>5792</v>
      </c>
      <c r="D3512" t="s">
        <v>213</v>
      </c>
      <c r="E3512" s="2">
        <v>41143</v>
      </c>
      <c r="F3512" t="str">
        <f>"9780444594488"</f>
        <v>9780444594488</v>
      </c>
      <c r="G3512" t="str">
        <f>"9780444594259"</f>
        <v>9780444594259</v>
      </c>
      <c r="H3512" t="s">
        <v>237</v>
      </c>
      <c r="I3512">
        <v>551.70100000000002</v>
      </c>
      <c r="J3512" t="s">
        <v>5793</v>
      </c>
      <c r="K3512" t="s">
        <v>44</v>
      </c>
      <c r="N3512" t="s">
        <v>45</v>
      </c>
      <c r="O3512" t="s">
        <v>46</v>
      </c>
      <c r="P3512" t="s">
        <v>45</v>
      </c>
      <c r="Q3512" t="s">
        <v>47</v>
      </c>
      <c r="R3512" t="s">
        <v>44</v>
      </c>
      <c r="S3512">
        <v>1</v>
      </c>
      <c r="W3512" s="3">
        <v>0</v>
      </c>
      <c r="X3512" t="s">
        <v>49</v>
      </c>
      <c r="Y3512">
        <v>0</v>
      </c>
      <c r="Z3512">
        <v>4</v>
      </c>
      <c r="AA3512" t="s">
        <v>7214</v>
      </c>
      <c r="AB3512">
        <v>136</v>
      </c>
      <c r="AC3512" t="s">
        <v>49</v>
      </c>
      <c r="AD3512">
        <v>0</v>
      </c>
      <c r="AE3512">
        <v>10583672</v>
      </c>
      <c r="AF3512" t="s">
        <v>63</v>
      </c>
      <c r="AG3512" t="s">
        <v>7077</v>
      </c>
    </row>
    <row r="3513" spans="1:33" x14ac:dyDescent="0.35">
      <c r="A3513" s="1">
        <v>44699.406944444447</v>
      </c>
      <c r="B3513">
        <v>4612356</v>
      </c>
      <c r="C3513" t="s">
        <v>6697</v>
      </c>
      <c r="D3513" t="s">
        <v>76</v>
      </c>
      <c r="E3513" s="2">
        <v>42590</v>
      </c>
      <c r="F3513" t="str">
        <f>"9781317271918"</f>
        <v>9781317271918</v>
      </c>
      <c r="G3513" t="str">
        <f>"9781138649637"</f>
        <v>9781138649637</v>
      </c>
      <c r="H3513" t="s">
        <v>90</v>
      </c>
      <c r="I3513">
        <v>370.15230000000003</v>
      </c>
      <c r="J3513" t="s">
        <v>6698</v>
      </c>
      <c r="K3513" t="s">
        <v>55</v>
      </c>
      <c r="N3513" t="s">
        <v>79</v>
      </c>
      <c r="P3513" t="s">
        <v>80</v>
      </c>
      <c r="Q3513" t="s">
        <v>47</v>
      </c>
      <c r="R3513" t="s">
        <v>44</v>
      </c>
      <c r="S3513">
        <v>2</v>
      </c>
      <c r="T3513">
        <v>1</v>
      </c>
      <c r="U3513" s="1">
        <v>44699.406944444447</v>
      </c>
      <c r="V3513" s="1">
        <v>44700.406944444447</v>
      </c>
      <c r="W3513" s="3">
        <v>0</v>
      </c>
      <c r="X3513" t="s">
        <v>49</v>
      </c>
      <c r="Y3513">
        <v>0</v>
      </c>
      <c r="Z3513">
        <v>0</v>
      </c>
      <c r="AA3513" t="s">
        <v>49</v>
      </c>
      <c r="AB3513">
        <v>0</v>
      </c>
      <c r="AC3513" t="s">
        <v>49</v>
      </c>
      <c r="AD3513">
        <v>0</v>
      </c>
      <c r="AE3513">
        <v>11239000</v>
      </c>
      <c r="AF3513" t="s">
        <v>63</v>
      </c>
      <c r="AG3513" t="s">
        <v>7168</v>
      </c>
    </row>
    <row r="3514" spans="1:33" x14ac:dyDescent="0.35">
      <c r="A3514" s="1">
        <v>44699.40625</v>
      </c>
      <c r="B3514">
        <v>4612356</v>
      </c>
      <c r="C3514" t="s">
        <v>6697</v>
      </c>
      <c r="D3514" t="s">
        <v>76</v>
      </c>
      <c r="E3514" s="2">
        <v>42590</v>
      </c>
      <c r="F3514" t="str">
        <f>"9781317271918"</f>
        <v>9781317271918</v>
      </c>
      <c r="G3514" t="str">
        <f>"9781138649637"</f>
        <v>9781138649637</v>
      </c>
      <c r="H3514" t="s">
        <v>90</v>
      </c>
      <c r="I3514">
        <v>370.15230000000003</v>
      </c>
      <c r="J3514" t="s">
        <v>6698</v>
      </c>
      <c r="K3514" t="s">
        <v>55</v>
      </c>
      <c r="N3514" t="s">
        <v>79</v>
      </c>
      <c r="P3514" t="s">
        <v>80</v>
      </c>
      <c r="Q3514" t="s">
        <v>47</v>
      </c>
      <c r="R3514" t="s">
        <v>44</v>
      </c>
      <c r="S3514">
        <v>0</v>
      </c>
      <c r="W3514" s="3">
        <v>5.3240740740740744E-4</v>
      </c>
      <c r="X3514" t="s">
        <v>3105</v>
      </c>
      <c r="Y3514">
        <v>3</v>
      </c>
      <c r="Z3514">
        <v>0</v>
      </c>
      <c r="AA3514" t="s">
        <v>49</v>
      </c>
      <c r="AB3514">
        <v>0</v>
      </c>
      <c r="AC3514" t="s">
        <v>49</v>
      </c>
      <c r="AD3514">
        <v>0</v>
      </c>
      <c r="AE3514">
        <v>11239000</v>
      </c>
      <c r="AF3514" t="s">
        <v>63</v>
      </c>
      <c r="AG3514" t="s">
        <v>7168</v>
      </c>
    </row>
    <row r="3515" spans="1:33" x14ac:dyDescent="0.35">
      <c r="A3515" s="1">
        <v>44699.05</v>
      </c>
      <c r="B3515">
        <v>6275281</v>
      </c>
      <c r="C3515" t="s">
        <v>7215</v>
      </c>
      <c r="D3515" t="s">
        <v>614</v>
      </c>
      <c r="E3515" s="2">
        <v>44044</v>
      </c>
      <c r="F3515" t="str">
        <f>"9789811548635"</f>
        <v>9789811548635</v>
      </c>
      <c r="G3515" t="str">
        <f>"9789811548628"</f>
        <v>9789811548628</v>
      </c>
      <c r="H3515" t="s">
        <v>7216</v>
      </c>
      <c r="I3515">
        <v>929.37400000000002</v>
      </c>
      <c r="J3515" t="s">
        <v>4694</v>
      </c>
      <c r="K3515" t="s">
        <v>55</v>
      </c>
      <c r="N3515" t="s">
        <v>79</v>
      </c>
      <c r="P3515" t="s">
        <v>80</v>
      </c>
      <c r="Q3515" t="s">
        <v>47</v>
      </c>
      <c r="R3515" t="s">
        <v>44</v>
      </c>
      <c r="S3515">
        <v>0</v>
      </c>
      <c r="W3515" s="3">
        <v>4.8611111111111104E-4</v>
      </c>
      <c r="X3515" t="s">
        <v>7217</v>
      </c>
      <c r="Y3515">
        <v>9</v>
      </c>
      <c r="Z3515">
        <v>0</v>
      </c>
      <c r="AA3515" t="s">
        <v>49</v>
      </c>
      <c r="AB3515">
        <v>0</v>
      </c>
      <c r="AC3515" t="s">
        <v>49</v>
      </c>
      <c r="AD3515">
        <v>0</v>
      </c>
      <c r="AE3515">
        <v>-1</v>
      </c>
      <c r="AF3515" t="s">
        <v>63</v>
      </c>
      <c r="AG3515" t="s">
        <v>996</v>
      </c>
    </row>
    <row r="3516" spans="1:33" x14ac:dyDescent="0.35">
      <c r="A3516" s="1">
        <v>44699.04791666667</v>
      </c>
      <c r="B3516">
        <v>3339248</v>
      </c>
      <c r="C3516" t="s">
        <v>7218</v>
      </c>
      <c r="D3516" t="s">
        <v>303</v>
      </c>
      <c r="E3516" s="2">
        <v>40655</v>
      </c>
      <c r="F3516" t="str">
        <f>"9780262295239"</f>
        <v>9780262295239</v>
      </c>
      <c r="G3516" t="str">
        <f>"9780262042482"</f>
        <v>9780262042482</v>
      </c>
      <c r="H3516" t="s">
        <v>1046</v>
      </c>
      <c r="I3516" t="s">
        <v>7219</v>
      </c>
      <c r="K3516" t="s">
        <v>44</v>
      </c>
      <c r="N3516" t="s">
        <v>45</v>
      </c>
      <c r="O3516" t="s">
        <v>46</v>
      </c>
      <c r="P3516" t="s">
        <v>45</v>
      </c>
      <c r="Q3516" t="s">
        <v>47</v>
      </c>
      <c r="R3516" t="s">
        <v>44</v>
      </c>
      <c r="S3516">
        <v>0</v>
      </c>
      <c r="W3516" s="3">
        <v>1.5972222222222221E-3</v>
      </c>
      <c r="X3516" t="s">
        <v>7220</v>
      </c>
      <c r="Y3516">
        <v>19</v>
      </c>
      <c r="Z3516">
        <v>0</v>
      </c>
      <c r="AA3516" t="s">
        <v>49</v>
      </c>
      <c r="AB3516">
        <v>0</v>
      </c>
      <c r="AC3516" t="s">
        <v>49</v>
      </c>
      <c r="AD3516">
        <v>0</v>
      </c>
      <c r="AE3516">
        <v>10479192</v>
      </c>
      <c r="AF3516" t="s">
        <v>63</v>
      </c>
      <c r="AG3516" t="s">
        <v>996</v>
      </c>
    </row>
    <row r="3517" spans="1:33" x14ac:dyDescent="0.35">
      <c r="A3517" s="1">
        <v>44699.046527777777</v>
      </c>
      <c r="B3517">
        <v>4452251</v>
      </c>
      <c r="C3517" t="s">
        <v>7221</v>
      </c>
      <c r="D3517" t="s">
        <v>473</v>
      </c>
      <c r="E3517" s="2">
        <v>42446</v>
      </c>
      <c r="F3517" t="str">
        <f>"9789004312234"</f>
        <v>9789004312234</v>
      </c>
      <c r="G3517" t="str">
        <f>"9789004312227"</f>
        <v>9789004312227</v>
      </c>
      <c r="H3517" t="s">
        <v>712</v>
      </c>
      <c r="I3517" t="s">
        <v>7222</v>
      </c>
      <c r="J3517" t="s">
        <v>7223</v>
      </c>
      <c r="K3517" t="s">
        <v>44</v>
      </c>
      <c r="N3517" t="s">
        <v>45</v>
      </c>
      <c r="O3517" t="s">
        <v>46</v>
      </c>
      <c r="P3517" t="s">
        <v>45</v>
      </c>
      <c r="Q3517" t="s">
        <v>47</v>
      </c>
      <c r="R3517" t="s">
        <v>44</v>
      </c>
      <c r="S3517">
        <v>0</v>
      </c>
      <c r="W3517" s="3">
        <v>3.3564814814814812E-4</v>
      </c>
      <c r="X3517" t="s">
        <v>7224</v>
      </c>
      <c r="Y3517">
        <v>3</v>
      </c>
      <c r="Z3517">
        <v>0</v>
      </c>
      <c r="AA3517" t="s">
        <v>49</v>
      </c>
      <c r="AB3517">
        <v>0</v>
      </c>
      <c r="AC3517" t="s">
        <v>49</v>
      </c>
      <c r="AD3517">
        <v>0</v>
      </c>
      <c r="AE3517">
        <v>11175042</v>
      </c>
      <c r="AF3517" t="s">
        <v>63</v>
      </c>
      <c r="AG3517" t="s">
        <v>996</v>
      </c>
    </row>
    <row r="3518" spans="1:33" x14ac:dyDescent="0.35">
      <c r="A3518" s="1">
        <v>44699.031944444447</v>
      </c>
      <c r="B3518">
        <v>1666477</v>
      </c>
      <c r="C3518" t="s">
        <v>7225</v>
      </c>
      <c r="D3518" t="s">
        <v>59</v>
      </c>
      <c r="E3518" s="2">
        <v>41813</v>
      </c>
      <c r="F3518" t="str">
        <f>"9781118636374"</f>
        <v>9781118636374</v>
      </c>
      <c r="G3518" t="str">
        <f>"9781118636459"</f>
        <v>9781118636459</v>
      </c>
      <c r="H3518" t="s">
        <v>126</v>
      </c>
      <c r="I3518">
        <v>629.43399999999997</v>
      </c>
      <c r="J3518" t="s">
        <v>7226</v>
      </c>
      <c r="K3518" t="s">
        <v>44</v>
      </c>
      <c r="N3518" t="s">
        <v>45</v>
      </c>
      <c r="O3518" t="s">
        <v>46</v>
      </c>
      <c r="P3518" t="s">
        <v>45</v>
      </c>
      <c r="Q3518" t="s">
        <v>47</v>
      </c>
      <c r="R3518" t="s">
        <v>44</v>
      </c>
      <c r="S3518">
        <v>0</v>
      </c>
      <c r="W3518" s="3">
        <v>1.1168981481481481E-2</v>
      </c>
      <c r="X3518" t="s">
        <v>7227</v>
      </c>
      <c r="Y3518">
        <v>35</v>
      </c>
      <c r="Z3518">
        <v>0</v>
      </c>
      <c r="AA3518" t="s">
        <v>49</v>
      </c>
      <c r="AB3518">
        <v>0</v>
      </c>
      <c r="AC3518" t="s">
        <v>49</v>
      </c>
      <c r="AD3518">
        <v>0</v>
      </c>
      <c r="AE3518">
        <v>10862656</v>
      </c>
      <c r="AF3518" t="s">
        <v>50</v>
      </c>
      <c r="AG3518" t="s">
        <v>996</v>
      </c>
    </row>
    <row r="3519" spans="1:33" x14ac:dyDescent="0.35">
      <c r="A3519" s="1">
        <v>44698.998611111114</v>
      </c>
      <c r="B3519">
        <v>1666477</v>
      </c>
      <c r="C3519" t="s">
        <v>7225</v>
      </c>
      <c r="D3519" t="s">
        <v>59</v>
      </c>
      <c r="E3519" s="2">
        <v>41813</v>
      </c>
      <c r="F3519" t="str">
        <f>"9781118636374"</f>
        <v>9781118636374</v>
      </c>
      <c r="G3519" t="str">
        <f>"9781118636459"</f>
        <v>9781118636459</v>
      </c>
      <c r="H3519" t="s">
        <v>126</v>
      </c>
      <c r="I3519">
        <v>629.43399999999997</v>
      </c>
      <c r="J3519" t="s">
        <v>7226</v>
      </c>
      <c r="K3519" t="s">
        <v>44</v>
      </c>
      <c r="N3519" t="s">
        <v>45</v>
      </c>
      <c r="O3519" t="s">
        <v>46</v>
      </c>
      <c r="P3519" t="s">
        <v>45</v>
      </c>
      <c r="Q3519" t="s">
        <v>47</v>
      </c>
      <c r="R3519" t="s">
        <v>44</v>
      </c>
      <c r="S3519">
        <v>0</v>
      </c>
      <c r="W3519" s="3">
        <v>2.3958333333333336E-3</v>
      </c>
      <c r="X3519" t="s">
        <v>7228</v>
      </c>
      <c r="Y3519">
        <v>16</v>
      </c>
      <c r="Z3519">
        <v>1</v>
      </c>
      <c r="AA3519" t="s">
        <v>7229</v>
      </c>
      <c r="AB3519">
        <v>29</v>
      </c>
      <c r="AC3519" t="s">
        <v>49</v>
      </c>
      <c r="AD3519">
        <v>0</v>
      </c>
      <c r="AE3519">
        <v>10862656</v>
      </c>
      <c r="AF3519" t="s">
        <v>63</v>
      </c>
      <c r="AG3519" t="s">
        <v>996</v>
      </c>
    </row>
    <row r="3520" spans="1:33" x14ac:dyDescent="0.35">
      <c r="A3520" s="1">
        <v>44698.748611111114</v>
      </c>
      <c r="B3520">
        <v>4612356</v>
      </c>
      <c r="C3520" t="s">
        <v>6697</v>
      </c>
      <c r="D3520" t="s">
        <v>76</v>
      </c>
      <c r="E3520" s="2">
        <v>42590</v>
      </c>
      <c r="F3520" t="str">
        <f>"9781317271918"</f>
        <v>9781317271918</v>
      </c>
      <c r="G3520" t="str">
        <f>"9781138649637"</f>
        <v>9781138649637</v>
      </c>
      <c r="H3520" t="s">
        <v>90</v>
      </c>
      <c r="I3520">
        <v>370.15230000000003</v>
      </c>
      <c r="J3520" t="s">
        <v>6698</v>
      </c>
      <c r="K3520" t="s">
        <v>55</v>
      </c>
      <c r="N3520" t="s">
        <v>79</v>
      </c>
      <c r="P3520" t="s">
        <v>80</v>
      </c>
      <c r="Q3520" t="s">
        <v>47</v>
      </c>
      <c r="R3520" t="s">
        <v>44</v>
      </c>
      <c r="S3520">
        <v>0</v>
      </c>
      <c r="W3520" s="3">
        <v>1.1574074074074073E-5</v>
      </c>
      <c r="X3520" t="s">
        <v>49</v>
      </c>
      <c r="Y3520">
        <v>0</v>
      </c>
      <c r="Z3520">
        <v>2</v>
      </c>
      <c r="AA3520" t="s">
        <v>7230</v>
      </c>
      <c r="AB3520">
        <v>3</v>
      </c>
      <c r="AC3520" t="s">
        <v>49</v>
      </c>
      <c r="AD3520">
        <v>0</v>
      </c>
      <c r="AE3520">
        <v>11239000</v>
      </c>
      <c r="AF3520" t="s">
        <v>50</v>
      </c>
      <c r="AG3520" t="s">
        <v>5850</v>
      </c>
    </row>
    <row r="3521" spans="1:33" x14ac:dyDescent="0.35">
      <c r="A3521" s="1">
        <v>44698.719444444447</v>
      </c>
      <c r="B3521">
        <v>1584552</v>
      </c>
      <c r="C3521" t="s">
        <v>7231</v>
      </c>
      <c r="D3521" t="s">
        <v>65</v>
      </c>
      <c r="E3521" s="2">
        <v>41704</v>
      </c>
      <c r="F3521" t="str">
        <f>"9780124055254"</f>
        <v>9780124055254</v>
      </c>
      <c r="G3521" t="str">
        <f>"9780124052062"</f>
        <v>9780124052062</v>
      </c>
      <c r="H3521" t="s">
        <v>77</v>
      </c>
      <c r="I3521" t="s">
        <v>7232</v>
      </c>
      <c r="J3521" t="s">
        <v>7233</v>
      </c>
      <c r="K3521" t="s">
        <v>55</v>
      </c>
      <c r="N3521" t="s">
        <v>79</v>
      </c>
      <c r="P3521" t="s">
        <v>80</v>
      </c>
      <c r="Q3521" t="s">
        <v>47</v>
      </c>
      <c r="R3521" t="s">
        <v>44</v>
      </c>
      <c r="S3521">
        <v>0</v>
      </c>
      <c r="W3521" s="3">
        <v>1.4699074074074074E-3</v>
      </c>
      <c r="X3521" t="s">
        <v>121</v>
      </c>
      <c r="Y3521">
        <v>1</v>
      </c>
      <c r="Z3521">
        <v>0</v>
      </c>
      <c r="AA3521" t="s">
        <v>49</v>
      </c>
      <c r="AB3521">
        <v>0</v>
      </c>
      <c r="AC3521" t="s">
        <v>49</v>
      </c>
      <c r="AD3521">
        <v>0</v>
      </c>
      <c r="AE3521">
        <v>10826683</v>
      </c>
      <c r="AF3521" t="s">
        <v>50</v>
      </c>
      <c r="AG3521" t="s">
        <v>7234</v>
      </c>
    </row>
    <row r="3522" spans="1:33" x14ac:dyDescent="0.35">
      <c r="A3522" s="1">
        <v>44698.7</v>
      </c>
      <c r="B3522">
        <v>1584552</v>
      </c>
      <c r="C3522" t="s">
        <v>7231</v>
      </c>
      <c r="D3522" t="s">
        <v>65</v>
      </c>
      <c r="E3522" s="2">
        <v>41704</v>
      </c>
      <c r="F3522" t="str">
        <f>"9780124055254"</f>
        <v>9780124055254</v>
      </c>
      <c r="G3522" t="str">
        <f>"9780124052062"</f>
        <v>9780124052062</v>
      </c>
      <c r="H3522" t="s">
        <v>77</v>
      </c>
      <c r="I3522" t="s">
        <v>7232</v>
      </c>
      <c r="J3522" t="s">
        <v>7233</v>
      </c>
      <c r="K3522" t="s">
        <v>55</v>
      </c>
      <c r="N3522" t="s">
        <v>79</v>
      </c>
      <c r="P3522" t="s">
        <v>80</v>
      </c>
      <c r="Q3522" t="s">
        <v>47</v>
      </c>
      <c r="R3522" t="s">
        <v>44</v>
      </c>
      <c r="S3522">
        <v>0</v>
      </c>
      <c r="W3522" s="3">
        <v>3.7037037037037035E-4</v>
      </c>
      <c r="X3522" t="s">
        <v>4232</v>
      </c>
      <c r="Y3522">
        <v>2</v>
      </c>
      <c r="Z3522">
        <v>0</v>
      </c>
      <c r="AA3522" t="s">
        <v>49</v>
      </c>
      <c r="AB3522">
        <v>0</v>
      </c>
      <c r="AC3522" t="s">
        <v>49</v>
      </c>
      <c r="AD3522">
        <v>0</v>
      </c>
      <c r="AE3522">
        <v>10826683</v>
      </c>
      <c r="AF3522" t="s">
        <v>50</v>
      </c>
      <c r="AG3522" t="s">
        <v>7235</v>
      </c>
    </row>
    <row r="3523" spans="1:33" x14ac:dyDescent="0.35">
      <c r="A3523" s="1">
        <v>44698.693055555559</v>
      </c>
      <c r="B3523">
        <v>1584552</v>
      </c>
      <c r="C3523" t="s">
        <v>7231</v>
      </c>
      <c r="D3523" t="s">
        <v>65</v>
      </c>
      <c r="E3523" s="2">
        <v>41704</v>
      </c>
      <c r="F3523" t="str">
        <f>"9780124055254"</f>
        <v>9780124055254</v>
      </c>
      <c r="G3523" t="str">
        <f>"9780124052062"</f>
        <v>9780124052062</v>
      </c>
      <c r="H3523" t="s">
        <v>77</v>
      </c>
      <c r="I3523" t="s">
        <v>7232</v>
      </c>
      <c r="J3523" t="s">
        <v>7233</v>
      </c>
      <c r="K3523" t="s">
        <v>55</v>
      </c>
      <c r="N3523" t="s">
        <v>79</v>
      </c>
      <c r="P3523" t="s">
        <v>80</v>
      </c>
      <c r="Q3523" t="s">
        <v>47</v>
      </c>
      <c r="R3523" t="s">
        <v>44</v>
      </c>
      <c r="S3523">
        <v>1</v>
      </c>
      <c r="T3523">
        <v>90</v>
      </c>
      <c r="U3523" s="1">
        <v>44698.693055555559</v>
      </c>
      <c r="V3523" s="1">
        <v>44788.693055555559</v>
      </c>
      <c r="W3523" s="3">
        <v>0</v>
      </c>
      <c r="X3523" t="s">
        <v>49</v>
      </c>
      <c r="Y3523">
        <v>0</v>
      </c>
      <c r="Z3523">
        <v>0</v>
      </c>
      <c r="AA3523" t="s">
        <v>49</v>
      </c>
      <c r="AB3523">
        <v>0</v>
      </c>
      <c r="AC3523" t="s">
        <v>49</v>
      </c>
      <c r="AD3523">
        <v>0</v>
      </c>
      <c r="AE3523">
        <v>10826683</v>
      </c>
      <c r="AF3523" t="s">
        <v>63</v>
      </c>
      <c r="AG3523" t="s">
        <v>7234</v>
      </c>
    </row>
    <row r="3524" spans="1:33" x14ac:dyDescent="0.35">
      <c r="A3524" s="1">
        <v>44698.690972222219</v>
      </c>
      <c r="B3524">
        <v>1584552</v>
      </c>
      <c r="C3524" t="s">
        <v>7231</v>
      </c>
      <c r="D3524" t="s">
        <v>65</v>
      </c>
      <c r="E3524" s="2">
        <v>41704</v>
      </c>
      <c r="F3524" t="str">
        <f>"9780124055254"</f>
        <v>9780124055254</v>
      </c>
      <c r="G3524" t="str">
        <f>"9780124052062"</f>
        <v>9780124052062</v>
      </c>
      <c r="H3524" t="s">
        <v>77</v>
      </c>
      <c r="I3524" t="s">
        <v>7232</v>
      </c>
      <c r="J3524" t="s">
        <v>7233</v>
      </c>
      <c r="K3524" t="s">
        <v>55</v>
      </c>
      <c r="N3524" t="s">
        <v>79</v>
      </c>
      <c r="P3524" t="s">
        <v>80</v>
      </c>
      <c r="Q3524" t="s">
        <v>47</v>
      </c>
      <c r="R3524" t="s">
        <v>44</v>
      </c>
      <c r="S3524">
        <v>0</v>
      </c>
      <c r="W3524" s="3">
        <v>2.2685185185185182E-3</v>
      </c>
      <c r="X3524" t="s">
        <v>7236</v>
      </c>
      <c r="Y3524">
        <v>5</v>
      </c>
      <c r="Z3524">
        <v>0</v>
      </c>
      <c r="AA3524" t="s">
        <v>49</v>
      </c>
      <c r="AB3524">
        <v>0</v>
      </c>
      <c r="AC3524" t="s">
        <v>49</v>
      </c>
      <c r="AD3524">
        <v>0</v>
      </c>
      <c r="AE3524">
        <v>10826683</v>
      </c>
      <c r="AF3524" t="s">
        <v>63</v>
      </c>
      <c r="AG3524" t="s">
        <v>7234</v>
      </c>
    </row>
    <row r="3525" spans="1:33" x14ac:dyDescent="0.35">
      <c r="A3525" s="1">
        <v>44698.556250000001</v>
      </c>
      <c r="B3525">
        <v>6931846</v>
      </c>
      <c r="C3525" t="s">
        <v>7237</v>
      </c>
      <c r="D3525" t="s">
        <v>7115</v>
      </c>
      <c r="E3525" s="2">
        <v>44656</v>
      </c>
      <c r="F3525" t="str">
        <f>"9780062991034"</f>
        <v>9780062991034</v>
      </c>
      <c r="G3525" t="str">
        <f>"9780062991010"</f>
        <v>9780062991010</v>
      </c>
      <c r="H3525" t="s">
        <v>1046</v>
      </c>
      <c r="I3525">
        <v>362.73200000000003</v>
      </c>
      <c r="K3525" t="s">
        <v>44</v>
      </c>
      <c r="Q3525" t="s">
        <v>47</v>
      </c>
      <c r="R3525" t="s">
        <v>44</v>
      </c>
      <c r="S3525">
        <v>0</v>
      </c>
      <c r="W3525" s="3">
        <v>1.3888888888888889E-4</v>
      </c>
      <c r="X3525" t="s">
        <v>7238</v>
      </c>
      <c r="Y3525">
        <v>4</v>
      </c>
      <c r="Z3525">
        <v>0</v>
      </c>
      <c r="AA3525" t="s">
        <v>49</v>
      </c>
      <c r="AB3525">
        <v>0</v>
      </c>
      <c r="AC3525" t="s">
        <v>49</v>
      </c>
      <c r="AD3525">
        <v>0</v>
      </c>
      <c r="AE3525">
        <v>-1</v>
      </c>
      <c r="AF3525" t="s">
        <v>50</v>
      </c>
      <c r="AG3525" t="s">
        <v>7146</v>
      </c>
    </row>
    <row r="3526" spans="1:33" x14ac:dyDescent="0.35">
      <c r="A3526" s="1">
        <v>44697.709722222222</v>
      </c>
      <c r="B3526">
        <v>4914179</v>
      </c>
      <c r="C3526" t="s">
        <v>7239</v>
      </c>
      <c r="D3526" t="s">
        <v>59</v>
      </c>
      <c r="E3526" s="2">
        <v>42961</v>
      </c>
      <c r="F3526" t="str">
        <f>"9781119420705"</f>
        <v>9781119420705</v>
      </c>
      <c r="G3526" t="str">
        <f>"9781118116173"</f>
        <v>9781118116173</v>
      </c>
      <c r="H3526" t="s">
        <v>6624</v>
      </c>
      <c r="I3526">
        <v>6.22</v>
      </c>
      <c r="J3526" t="s">
        <v>7240</v>
      </c>
      <c r="K3526" t="s">
        <v>44</v>
      </c>
      <c r="N3526" t="s">
        <v>45</v>
      </c>
      <c r="O3526" t="s">
        <v>46</v>
      </c>
      <c r="P3526" t="s">
        <v>45</v>
      </c>
      <c r="Q3526" t="s">
        <v>47</v>
      </c>
      <c r="R3526" t="s">
        <v>44</v>
      </c>
      <c r="S3526">
        <v>0</v>
      </c>
      <c r="W3526" s="3">
        <v>0</v>
      </c>
      <c r="X3526" t="s">
        <v>49</v>
      </c>
      <c r="Y3526">
        <v>0</v>
      </c>
      <c r="Z3526">
        <v>0</v>
      </c>
      <c r="AA3526" t="s">
        <v>49</v>
      </c>
      <c r="AB3526">
        <v>0</v>
      </c>
      <c r="AC3526" t="s">
        <v>49</v>
      </c>
      <c r="AD3526">
        <v>0</v>
      </c>
      <c r="AE3526">
        <v>11412425</v>
      </c>
      <c r="AF3526" t="s">
        <v>50</v>
      </c>
      <c r="AG3526" t="s">
        <v>7077</v>
      </c>
    </row>
    <row r="3527" spans="1:33" x14ac:dyDescent="0.35">
      <c r="A3527" s="1">
        <v>44697.572916666664</v>
      </c>
      <c r="B3527">
        <v>871260</v>
      </c>
      <c r="C3527" t="s">
        <v>7241</v>
      </c>
      <c r="D3527" t="s">
        <v>59</v>
      </c>
      <c r="E3527" s="2">
        <v>41015</v>
      </c>
      <c r="F3527" t="str">
        <f>"9783527644513"</f>
        <v>9783527644513</v>
      </c>
      <c r="G3527" t="str">
        <f>"9783527328505"</f>
        <v>9783527328505</v>
      </c>
      <c r="H3527" t="s">
        <v>2062</v>
      </c>
      <c r="I3527">
        <v>572</v>
      </c>
      <c r="J3527" t="s">
        <v>7242</v>
      </c>
      <c r="K3527" t="s">
        <v>44</v>
      </c>
      <c r="N3527" t="s">
        <v>45</v>
      </c>
      <c r="O3527" t="s">
        <v>46</v>
      </c>
      <c r="P3527" t="s">
        <v>45</v>
      </c>
      <c r="Q3527" t="s">
        <v>47</v>
      </c>
      <c r="R3527" t="s">
        <v>44</v>
      </c>
      <c r="S3527">
        <v>1</v>
      </c>
      <c r="W3527" s="3">
        <v>0</v>
      </c>
      <c r="X3527" t="s">
        <v>49</v>
      </c>
      <c r="Y3527">
        <v>0</v>
      </c>
      <c r="Z3527">
        <v>0</v>
      </c>
      <c r="AA3527" t="s">
        <v>49</v>
      </c>
      <c r="AB3527">
        <v>0</v>
      </c>
      <c r="AC3527" t="s">
        <v>49</v>
      </c>
      <c r="AD3527">
        <v>0</v>
      </c>
      <c r="AE3527">
        <v>10608633</v>
      </c>
      <c r="AF3527" t="s">
        <v>63</v>
      </c>
      <c r="AG3527" t="s">
        <v>7205</v>
      </c>
    </row>
    <row r="3528" spans="1:33" x14ac:dyDescent="0.35">
      <c r="A3528" s="1">
        <v>44697.390972222223</v>
      </c>
      <c r="B3528">
        <v>4432254</v>
      </c>
      <c r="C3528" t="s">
        <v>7243</v>
      </c>
      <c r="D3528" t="s">
        <v>2116</v>
      </c>
      <c r="E3528" s="2">
        <v>42282</v>
      </c>
      <c r="F3528" t="str">
        <f>"9781606508633"</f>
        <v>9781606508633</v>
      </c>
      <c r="G3528" t="str">
        <f>""</f>
        <v/>
      </c>
      <c r="H3528" t="s">
        <v>43</v>
      </c>
      <c r="K3528" t="s">
        <v>44</v>
      </c>
      <c r="N3528" t="s">
        <v>45</v>
      </c>
      <c r="O3528" t="s">
        <v>46</v>
      </c>
      <c r="P3528" t="s">
        <v>45</v>
      </c>
      <c r="Q3528" t="s">
        <v>47</v>
      </c>
      <c r="R3528" t="s">
        <v>44</v>
      </c>
      <c r="S3528">
        <v>0</v>
      </c>
      <c r="W3528" s="3">
        <v>1.1574074074074073E-4</v>
      </c>
      <c r="X3528" t="s">
        <v>3105</v>
      </c>
      <c r="Y3528">
        <v>3</v>
      </c>
      <c r="Z3528">
        <v>0</v>
      </c>
      <c r="AA3528" t="s">
        <v>49</v>
      </c>
      <c r="AB3528">
        <v>0</v>
      </c>
      <c r="AC3528" t="s">
        <v>49</v>
      </c>
      <c r="AD3528">
        <v>0</v>
      </c>
      <c r="AE3528">
        <v>11169572</v>
      </c>
      <c r="AF3528" t="s">
        <v>50</v>
      </c>
      <c r="AG3528" t="s">
        <v>7146</v>
      </c>
    </row>
    <row r="3529" spans="1:33" x14ac:dyDescent="0.35">
      <c r="A3529" s="1">
        <v>44696.750694444447</v>
      </c>
      <c r="B3529">
        <v>3420193</v>
      </c>
      <c r="C3529" t="s">
        <v>7244</v>
      </c>
      <c r="D3529" t="s">
        <v>347</v>
      </c>
      <c r="E3529" s="2">
        <v>38118</v>
      </c>
      <c r="F3529" t="str">
        <f>"9780300133684"</f>
        <v>9780300133684</v>
      </c>
      <c r="G3529" t="str">
        <f>"9780300100327"</f>
        <v>9780300100327</v>
      </c>
      <c r="H3529" t="s">
        <v>498</v>
      </c>
      <c r="I3529" t="s">
        <v>6125</v>
      </c>
      <c r="J3529" t="s">
        <v>7245</v>
      </c>
      <c r="K3529" t="s">
        <v>44</v>
      </c>
      <c r="N3529" t="s">
        <v>45</v>
      </c>
      <c r="O3529" t="s">
        <v>46</v>
      </c>
      <c r="P3529" t="s">
        <v>45</v>
      </c>
      <c r="Q3529" t="s">
        <v>47</v>
      </c>
      <c r="R3529" t="s">
        <v>44</v>
      </c>
      <c r="S3529">
        <v>0</v>
      </c>
      <c r="W3529" s="3">
        <v>8.1018518518518516E-5</v>
      </c>
      <c r="X3529" t="s">
        <v>121</v>
      </c>
      <c r="Y3529">
        <v>1</v>
      </c>
      <c r="Z3529">
        <v>0</v>
      </c>
      <c r="AA3529" t="s">
        <v>49</v>
      </c>
      <c r="AB3529">
        <v>0</v>
      </c>
      <c r="AC3529" t="s">
        <v>49</v>
      </c>
      <c r="AD3529">
        <v>0</v>
      </c>
      <c r="AE3529">
        <v>10170884</v>
      </c>
      <c r="AF3529" t="s">
        <v>50</v>
      </c>
      <c r="AG3529" t="s">
        <v>7146</v>
      </c>
    </row>
    <row r="3530" spans="1:33" x14ac:dyDescent="0.35">
      <c r="A3530" s="1">
        <v>44696.75</v>
      </c>
      <c r="B3530">
        <v>536977</v>
      </c>
      <c r="C3530" t="s">
        <v>1900</v>
      </c>
      <c r="D3530" t="s">
        <v>507</v>
      </c>
      <c r="E3530" s="2">
        <v>40043</v>
      </c>
      <c r="F3530" t="str">
        <f>"9780748637942"</f>
        <v>9780748637942</v>
      </c>
      <c r="G3530" t="str">
        <f>"9780748637928"</f>
        <v>9780748637928</v>
      </c>
      <c r="H3530" t="s">
        <v>162</v>
      </c>
      <c r="I3530">
        <v>297</v>
      </c>
      <c r="J3530" t="s">
        <v>1901</v>
      </c>
      <c r="K3530" t="s">
        <v>44</v>
      </c>
      <c r="N3530" t="s">
        <v>45</v>
      </c>
      <c r="O3530" t="s">
        <v>46</v>
      </c>
      <c r="P3530" t="s">
        <v>45</v>
      </c>
      <c r="Q3530" t="s">
        <v>47</v>
      </c>
      <c r="R3530" t="s">
        <v>44</v>
      </c>
      <c r="S3530">
        <v>0</v>
      </c>
      <c r="W3530" s="3">
        <v>8.0671296296296307E-3</v>
      </c>
      <c r="X3530" t="s">
        <v>7246</v>
      </c>
      <c r="Y3530">
        <v>5</v>
      </c>
      <c r="Z3530">
        <v>0</v>
      </c>
      <c r="AA3530" t="s">
        <v>49</v>
      </c>
      <c r="AB3530">
        <v>0</v>
      </c>
      <c r="AC3530" t="s">
        <v>49</v>
      </c>
      <c r="AD3530">
        <v>0</v>
      </c>
      <c r="AE3530">
        <v>10391780</v>
      </c>
      <c r="AF3530" t="s">
        <v>50</v>
      </c>
      <c r="AG3530" t="s">
        <v>7146</v>
      </c>
    </row>
    <row r="3531" spans="1:33" x14ac:dyDescent="0.35">
      <c r="A3531" s="1">
        <v>44696.712500000001</v>
      </c>
      <c r="B3531">
        <v>536977</v>
      </c>
      <c r="C3531" t="s">
        <v>1900</v>
      </c>
      <c r="D3531" t="s">
        <v>507</v>
      </c>
      <c r="E3531" s="2">
        <v>40043</v>
      </c>
      <c r="F3531" t="str">
        <f>"9780748637942"</f>
        <v>9780748637942</v>
      </c>
      <c r="G3531" t="str">
        <f>"9780748637928"</f>
        <v>9780748637928</v>
      </c>
      <c r="H3531" t="s">
        <v>162</v>
      </c>
      <c r="I3531">
        <v>297</v>
      </c>
      <c r="J3531" t="s">
        <v>1901</v>
      </c>
      <c r="K3531" t="s">
        <v>44</v>
      </c>
      <c r="N3531" t="s">
        <v>45</v>
      </c>
      <c r="O3531" t="s">
        <v>46</v>
      </c>
      <c r="P3531" t="s">
        <v>45</v>
      </c>
      <c r="Q3531" t="s">
        <v>47</v>
      </c>
      <c r="R3531" t="s">
        <v>44</v>
      </c>
      <c r="S3531">
        <v>0</v>
      </c>
      <c r="W3531" s="3">
        <v>8.3333333333333339E-4</v>
      </c>
      <c r="X3531" t="s">
        <v>7247</v>
      </c>
      <c r="Y3531">
        <v>7</v>
      </c>
      <c r="Z3531">
        <v>0</v>
      </c>
      <c r="AA3531" t="s">
        <v>49</v>
      </c>
      <c r="AB3531">
        <v>0</v>
      </c>
      <c r="AC3531" t="s">
        <v>49</v>
      </c>
      <c r="AD3531">
        <v>0</v>
      </c>
      <c r="AE3531">
        <v>10391780</v>
      </c>
      <c r="AF3531" t="s">
        <v>50</v>
      </c>
      <c r="AG3531" t="s">
        <v>7146</v>
      </c>
    </row>
    <row r="3532" spans="1:33" x14ac:dyDescent="0.35">
      <c r="A3532" s="1">
        <v>44696.575694444444</v>
      </c>
      <c r="B3532">
        <v>536977</v>
      </c>
      <c r="C3532" t="s">
        <v>1900</v>
      </c>
      <c r="D3532" t="s">
        <v>507</v>
      </c>
      <c r="E3532" s="2">
        <v>40043</v>
      </c>
      <c r="F3532" t="str">
        <f>"9780748637942"</f>
        <v>9780748637942</v>
      </c>
      <c r="G3532" t="str">
        <f>"9780748637928"</f>
        <v>9780748637928</v>
      </c>
      <c r="H3532" t="s">
        <v>162</v>
      </c>
      <c r="I3532">
        <v>297</v>
      </c>
      <c r="J3532" t="s">
        <v>1901</v>
      </c>
      <c r="K3532" t="s">
        <v>44</v>
      </c>
      <c r="N3532" t="s">
        <v>45</v>
      </c>
      <c r="O3532" t="s">
        <v>46</v>
      </c>
      <c r="P3532" t="s">
        <v>45</v>
      </c>
      <c r="Q3532" t="s">
        <v>47</v>
      </c>
      <c r="R3532" t="s">
        <v>44</v>
      </c>
      <c r="S3532">
        <v>0</v>
      </c>
      <c r="W3532" s="3">
        <v>4.6296296296296294E-5</v>
      </c>
      <c r="X3532" t="s">
        <v>121</v>
      </c>
      <c r="Y3532">
        <v>1</v>
      </c>
      <c r="Z3532">
        <v>0</v>
      </c>
      <c r="AA3532" t="s">
        <v>49</v>
      </c>
      <c r="AB3532">
        <v>0</v>
      </c>
      <c r="AC3532" t="s">
        <v>49</v>
      </c>
      <c r="AD3532">
        <v>0</v>
      </c>
      <c r="AE3532">
        <v>10391780</v>
      </c>
      <c r="AF3532" t="s">
        <v>50</v>
      </c>
      <c r="AG3532" t="s">
        <v>7146</v>
      </c>
    </row>
    <row r="3533" spans="1:33" x14ac:dyDescent="0.35">
      <c r="A3533" s="1">
        <v>44695.788194444445</v>
      </c>
      <c r="B3533">
        <v>1787121</v>
      </c>
      <c r="C3533" t="s">
        <v>7248</v>
      </c>
      <c r="D3533" t="s">
        <v>1224</v>
      </c>
      <c r="E3533" s="2">
        <v>42230</v>
      </c>
      <c r="F3533" t="str">
        <f>"9783110361858"</f>
        <v>9783110361858</v>
      </c>
      <c r="G3533" t="str">
        <f>"9783110355536"</f>
        <v>9783110355536</v>
      </c>
      <c r="H3533" t="s">
        <v>171</v>
      </c>
      <c r="I3533" t="s">
        <v>7249</v>
      </c>
      <c r="J3533" t="s">
        <v>7250</v>
      </c>
      <c r="K3533" t="s">
        <v>44</v>
      </c>
      <c r="N3533" t="s">
        <v>45</v>
      </c>
      <c r="O3533" t="s">
        <v>46</v>
      </c>
      <c r="P3533" t="s">
        <v>45</v>
      </c>
      <c r="Q3533" t="s">
        <v>47</v>
      </c>
      <c r="R3533" t="s">
        <v>44</v>
      </c>
      <c r="S3533">
        <v>0</v>
      </c>
      <c r="W3533" s="3">
        <v>7.291666666666667E-4</v>
      </c>
      <c r="X3533" t="s">
        <v>7251</v>
      </c>
      <c r="Y3533">
        <v>9</v>
      </c>
      <c r="Z3533">
        <v>0</v>
      </c>
      <c r="AA3533" t="s">
        <v>49</v>
      </c>
      <c r="AB3533">
        <v>0</v>
      </c>
      <c r="AC3533" t="s">
        <v>49</v>
      </c>
      <c r="AD3533">
        <v>0</v>
      </c>
      <c r="AE3533">
        <v>11094207</v>
      </c>
      <c r="AF3533" t="s">
        <v>50</v>
      </c>
      <c r="AG3533" t="s">
        <v>7252</v>
      </c>
    </row>
    <row r="3534" spans="1:33" x14ac:dyDescent="0.35">
      <c r="A3534" s="1">
        <v>44695.031944444447</v>
      </c>
      <c r="B3534">
        <v>3410136</v>
      </c>
      <c r="C3534" t="s">
        <v>7253</v>
      </c>
      <c r="D3534" t="s">
        <v>2817</v>
      </c>
      <c r="E3534" s="2">
        <v>41396</v>
      </c>
      <c r="F3534" t="str">
        <f>"9780815652076"</f>
        <v>9780815652076</v>
      </c>
      <c r="G3534" t="str">
        <f>"9780815610137"</f>
        <v>9780815610137</v>
      </c>
      <c r="H3534" t="s">
        <v>3476</v>
      </c>
      <c r="I3534" t="s">
        <v>7254</v>
      </c>
      <c r="J3534" t="s">
        <v>7255</v>
      </c>
      <c r="K3534" t="s">
        <v>44</v>
      </c>
      <c r="N3534" t="s">
        <v>45</v>
      </c>
      <c r="O3534" t="s">
        <v>46</v>
      </c>
      <c r="P3534" t="s">
        <v>45</v>
      </c>
      <c r="Q3534" t="s">
        <v>47</v>
      </c>
      <c r="R3534" t="s">
        <v>44</v>
      </c>
      <c r="S3534">
        <v>0</v>
      </c>
      <c r="W3534" s="3">
        <v>3.9351851851851852E-4</v>
      </c>
      <c r="X3534" t="s">
        <v>1554</v>
      </c>
      <c r="Y3534">
        <v>6</v>
      </c>
      <c r="Z3534">
        <v>0</v>
      </c>
      <c r="AA3534" t="s">
        <v>49</v>
      </c>
      <c r="AB3534">
        <v>0</v>
      </c>
      <c r="AC3534" t="s">
        <v>49</v>
      </c>
      <c r="AD3534">
        <v>0</v>
      </c>
      <c r="AE3534">
        <v>10772431</v>
      </c>
      <c r="AF3534" t="s">
        <v>50</v>
      </c>
      <c r="AG3534" t="s">
        <v>7146</v>
      </c>
    </row>
    <row r="3535" spans="1:33" x14ac:dyDescent="0.35">
      <c r="A3535" s="1">
        <v>44695.021527777775</v>
      </c>
      <c r="B3535">
        <v>692189</v>
      </c>
      <c r="C3535" t="s">
        <v>7256</v>
      </c>
      <c r="D3535" t="s">
        <v>7257</v>
      </c>
      <c r="E3535" s="2">
        <v>40466</v>
      </c>
      <c r="F3535" t="str">
        <f>"9781861898920"</f>
        <v>9781861898920</v>
      </c>
      <c r="G3535" t="str">
        <f>"9781861897763"</f>
        <v>9781861897763</v>
      </c>
      <c r="H3535" t="s">
        <v>7258</v>
      </c>
      <c r="I3535">
        <v>641.33720000000005</v>
      </c>
      <c r="K3535" t="s">
        <v>44</v>
      </c>
      <c r="N3535" t="s">
        <v>45</v>
      </c>
      <c r="O3535" t="s">
        <v>46</v>
      </c>
      <c r="P3535" t="s">
        <v>177</v>
      </c>
      <c r="Q3535" t="s">
        <v>47</v>
      </c>
      <c r="R3535" t="s">
        <v>55</v>
      </c>
      <c r="S3535">
        <v>0</v>
      </c>
      <c r="W3535" s="3">
        <v>1.7592592592592592E-3</v>
      </c>
      <c r="X3535" t="s">
        <v>7259</v>
      </c>
      <c r="Y3535">
        <v>12</v>
      </c>
      <c r="Z3535">
        <v>0</v>
      </c>
      <c r="AA3535" t="s">
        <v>49</v>
      </c>
      <c r="AB3535">
        <v>0</v>
      </c>
      <c r="AC3535" t="s">
        <v>49</v>
      </c>
      <c r="AD3535">
        <v>0</v>
      </c>
      <c r="AE3535">
        <v>10470242</v>
      </c>
      <c r="AF3535" t="s">
        <v>50</v>
      </c>
      <c r="AG3535" t="s">
        <v>7146</v>
      </c>
    </row>
    <row r="3536" spans="1:33" x14ac:dyDescent="0.35">
      <c r="A3536" s="1">
        <v>44694.6</v>
      </c>
      <c r="B3536">
        <v>5092727</v>
      </c>
      <c r="C3536" t="s">
        <v>7260</v>
      </c>
      <c r="D3536" t="s">
        <v>59</v>
      </c>
      <c r="E3536" s="2">
        <v>43192</v>
      </c>
      <c r="F3536" t="str">
        <f>"9781118747735"</f>
        <v>9781118747735</v>
      </c>
      <c r="G3536" t="str">
        <f>"9781118747698"</f>
        <v>9781118747698</v>
      </c>
      <c r="H3536" t="s">
        <v>1046</v>
      </c>
      <c r="I3536">
        <v>307.76</v>
      </c>
      <c r="J3536" t="s">
        <v>7261</v>
      </c>
      <c r="K3536" t="s">
        <v>44</v>
      </c>
      <c r="N3536" t="s">
        <v>45</v>
      </c>
      <c r="O3536" t="s">
        <v>46</v>
      </c>
      <c r="P3536" t="s">
        <v>45</v>
      </c>
      <c r="Q3536" t="s">
        <v>47</v>
      </c>
      <c r="R3536" t="s">
        <v>44</v>
      </c>
      <c r="S3536">
        <v>0</v>
      </c>
      <c r="W3536" s="3">
        <v>2.9282407407407412E-3</v>
      </c>
      <c r="X3536" t="s">
        <v>7262</v>
      </c>
      <c r="Y3536">
        <v>14</v>
      </c>
      <c r="Z3536">
        <v>0</v>
      </c>
      <c r="AA3536" t="s">
        <v>49</v>
      </c>
      <c r="AB3536">
        <v>0</v>
      </c>
      <c r="AC3536" t="s">
        <v>49</v>
      </c>
      <c r="AD3536">
        <v>0</v>
      </c>
      <c r="AE3536">
        <v>11451484</v>
      </c>
      <c r="AF3536" t="s">
        <v>50</v>
      </c>
      <c r="AG3536" t="s">
        <v>7263</v>
      </c>
    </row>
    <row r="3537" spans="1:33" x14ac:dyDescent="0.35">
      <c r="A3537" s="1">
        <v>44694.49722222222</v>
      </c>
      <c r="B3537">
        <v>3019480</v>
      </c>
      <c r="C3537" t="s">
        <v>7264</v>
      </c>
      <c r="D3537" t="s">
        <v>137</v>
      </c>
      <c r="E3537" s="2">
        <v>40513</v>
      </c>
      <c r="F3537" t="str">
        <f>"9781613243855"</f>
        <v>9781613243855</v>
      </c>
      <c r="G3537" t="str">
        <f>"9781617285134"</f>
        <v>9781617285134</v>
      </c>
      <c r="H3537" t="s">
        <v>712</v>
      </c>
      <c r="I3537" t="s">
        <v>7265</v>
      </c>
      <c r="J3537" t="s">
        <v>7266</v>
      </c>
      <c r="K3537" t="s">
        <v>44</v>
      </c>
      <c r="N3537" t="s">
        <v>45</v>
      </c>
      <c r="O3537" t="s">
        <v>46</v>
      </c>
      <c r="P3537" t="s">
        <v>177</v>
      </c>
      <c r="Q3537" t="s">
        <v>47</v>
      </c>
      <c r="R3537" t="s">
        <v>55</v>
      </c>
      <c r="S3537">
        <v>0</v>
      </c>
      <c r="W3537" s="3">
        <v>3.4722222222222222E-5</v>
      </c>
      <c r="X3537" t="s">
        <v>121</v>
      </c>
      <c r="Y3537">
        <v>1</v>
      </c>
      <c r="Z3537">
        <v>0</v>
      </c>
      <c r="AA3537" t="s">
        <v>49</v>
      </c>
      <c r="AB3537">
        <v>0</v>
      </c>
      <c r="AC3537" t="s">
        <v>49</v>
      </c>
      <c r="AD3537">
        <v>0</v>
      </c>
      <c r="AE3537">
        <v>10671045</v>
      </c>
      <c r="AF3537" t="s">
        <v>50</v>
      </c>
      <c r="AG3537" t="s">
        <v>7252</v>
      </c>
    </row>
    <row r="3538" spans="1:33" x14ac:dyDescent="0.35">
      <c r="A3538" s="1">
        <v>44694.443055555559</v>
      </c>
      <c r="B3538">
        <v>3019480</v>
      </c>
      <c r="C3538" t="s">
        <v>7264</v>
      </c>
      <c r="D3538" t="s">
        <v>137</v>
      </c>
      <c r="E3538" s="2">
        <v>40513</v>
      </c>
      <c r="F3538" t="str">
        <f>"9781613243855"</f>
        <v>9781613243855</v>
      </c>
      <c r="G3538" t="str">
        <f>"9781617285134"</f>
        <v>9781617285134</v>
      </c>
      <c r="H3538" t="s">
        <v>712</v>
      </c>
      <c r="I3538" t="s">
        <v>7265</v>
      </c>
      <c r="J3538" t="s">
        <v>7266</v>
      </c>
      <c r="K3538" t="s">
        <v>44</v>
      </c>
      <c r="N3538" t="s">
        <v>45</v>
      </c>
      <c r="O3538" t="s">
        <v>46</v>
      </c>
      <c r="P3538" t="s">
        <v>177</v>
      </c>
      <c r="Q3538" t="s">
        <v>47</v>
      </c>
      <c r="R3538" t="s">
        <v>55</v>
      </c>
      <c r="S3538">
        <v>0</v>
      </c>
      <c r="W3538" s="3">
        <v>1.3379629629629628E-2</v>
      </c>
      <c r="X3538" t="s">
        <v>7267</v>
      </c>
      <c r="Y3538">
        <v>31</v>
      </c>
      <c r="Z3538">
        <v>0</v>
      </c>
      <c r="AA3538" t="s">
        <v>49</v>
      </c>
      <c r="AB3538">
        <v>0</v>
      </c>
      <c r="AC3538" t="s">
        <v>49</v>
      </c>
      <c r="AD3538">
        <v>0</v>
      </c>
      <c r="AE3538">
        <v>10671045</v>
      </c>
      <c r="AF3538" t="s">
        <v>63</v>
      </c>
      <c r="AG3538" t="s">
        <v>7252</v>
      </c>
    </row>
    <row r="3539" spans="1:33" x14ac:dyDescent="0.35">
      <c r="A3539" s="1">
        <v>44694.442361111112</v>
      </c>
      <c r="B3539">
        <v>3019480</v>
      </c>
      <c r="C3539" t="s">
        <v>7264</v>
      </c>
      <c r="D3539" t="s">
        <v>137</v>
      </c>
      <c r="E3539" s="2">
        <v>40513</v>
      </c>
      <c r="F3539" t="str">
        <f>"9781613243855"</f>
        <v>9781613243855</v>
      </c>
      <c r="G3539" t="str">
        <f>"9781617285134"</f>
        <v>9781617285134</v>
      </c>
      <c r="H3539" t="s">
        <v>712</v>
      </c>
      <c r="I3539" t="s">
        <v>7265</v>
      </c>
      <c r="J3539" t="s">
        <v>7266</v>
      </c>
      <c r="K3539" t="s">
        <v>44</v>
      </c>
      <c r="N3539" t="s">
        <v>45</v>
      </c>
      <c r="O3539" t="s">
        <v>46</v>
      </c>
      <c r="P3539" t="s">
        <v>177</v>
      </c>
      <c r="Q3539" t="s">
        <v>47</v>
      </c>
      <c r="R3539" t="s">
        <v>55</v>
      </c>
      <c r="S3539">
        <v>0</v>
      </c>
      <c r="W3539" s="3">
        <v>4.6296296296296294E-5</v>
      </c>
      <c r="X3539" t="s">
        <v>121</v>
      </c>
      <c r="Y3539">
        <v>1</v>
      </c>
      <c r="Z3539">
        <v>0</v>
      </c>
      <c r="AA3539" t="s">
        <v>49</v>
      </c>
      <c r="AB3539">
        <v>0</v>
      </c>
      <c r="AC3539" t="s">
        <v>49</v>
      </c>
      <c r="AD3539">
        <v>0</v>
      </c>
      <c r="AE3539">
        <v>10671045</v>
      </c>
      <c r="AF3539" t="s">
        <v>50</v>
      </c>
      <c r="AG3539" t="s">
        <v>7252</v>
      </c>
    </row>
    <row r="3540" spans="1:33" x14ac:dyDescent="0.35">
      <c r="A3540" s="1">
        <v>44694.409722222219</v>
      </c>
      <c r="B3540">
        <v>3116788</v>
      </c>
      <c r="C3540" t="s">
        <v>7268</v>
      </c>
      <c r="D3540" t="s">
        <v>1550</v>
      </c>
      <c r="E3540" s="2">
        <v>40878</v>
      </c>
      <c r="F3540" t="str">
        <f>"9781613001424"</f>
        <v>9781613001424</v>
      </c>
      <c r="G3540" t="str">
        <f>"9781583218846"</f>
        <v>9781583218846</v>
      </c>
      <c r="H3540" t="s">
        <v>261</v>
      </c>
      <c r="J3540" t="s">
        <v>7269</v>
      </c>
      <c r="K3540" t="s">
        <v>44</v>
      </c>
      <c r="N3540" t="s">
        <v>45</v>
      </c>
      <c r="O3540" t="s">
        <v>46</v>
      </c>
      <c r="P3540" t="s">
        <v>45</v>
      </c>
      <c r="Q3540" t="s">
        <v>47</v>
      </c>
      <c r="R3540" t="s">
        <v>44</v>
      </c>
      <c r="S3540">
        <v>0</v>
      </c>
      <c r="W3540" s="3">
        <v>4.0162037037037033E-3</v>
      </c>
      <c r="X3540" t="s">
        <v>7270</v>
      </c>
      <c r="Y3540">
        <v>26</v>
      </c>
      <c r="Z3540">
        <v>0</v>
      </c>
      <c r="AA3540" t="s">
        <v>49</v>
      </c>
      <c r="AB3540">
        <v>0</v>
      </c>
      <c r="AC3540" t="s">
        <v>121</v>
      </c>
      <c r="AD3540">
        <v>1</v>
      </c>
      <c r="AE3540">
        <v>10568068</v>
      </c>
      <c r="AF3540" t="s">
        <v>50</v>
      </c>
      <c r="AG3540" t="s">
        <v>7146</v>
      </c>
    </row>
    <row r="3541" spans="1:33" x14ac:dyDescent="0.35">
      <c r="A3541" s="1">
        <v>44694.386111111111</v>
      </c>
      <c r="B3541">
        <v>3019480</v>
      </c>
      <c r="C3541" t="s">
        <v>7264</v>
      </c>
      <c r="D3541" t="s">
        <v>137</v>
      </c>
      <c r="E3541" s="2">
        <v>40513</v>
      </c>
      <c r="F3541" t="str">
        <f>"9781613243855"</f>
        <v>9781613243855</v>
      </c>
      <c r="G3541" t="str">
        <f>"9781617285134"</f>
        <v>9781617285134</v>
      </c>
      <c r="H3541" t="s">
        <v>712</v>
      </c>
      <c r="I3541" t="s">
        <v>7265</v>
      </c>
      <c r="J3541" t="s">
        <v>7266</v>
      </c>
      <c r="K3541" t="s">
        <v>44</v>
      </c>
      <c r="N3541" t="s">
        <v>45</v>
      </c>
      <c r="O3541" t="s">
        <v>46</v>
      </c>
      <c r="P3541" t="s">
        <v>177</v>
      </c>
      <c r="Q3541" t="s">
        <v>47</v>
      </c>
      <c r="R3541" t="s">
        <v>55</v>
      </c>
      <c r="S3541">
        <v>0</v>
      </c>
      <c r="W3541" s="3">
        <v>3.4722222222222222E-5</v>
      </c>
      <c r="X3541" t="s">
        <v>121</v>
      </c>
      <c r="Y3541">
        <v>1</v>
      </c>
      <c r="Z3541">
        <v>0</v>
      </c>
      <c r="AA3541" t="s">
        <v>49</v>
      </c>
      <c r="AB3541">
        <v>0</v>
      </c>
      <c r="AC3541" t="s">
        <v>49</v>
      </c>
      <c r="AD3541">
        <v>0</v>
      </c>
      <c r="AE3541">
        <v>10671045</v>
      </c>
      <c r="AF3541" t="s">
        <v>50</v>
      </c>
      <c r="AG3541" t="s">
        <v>7252</v>
      </c>
    </row>
    <row r="3542" spans="1:33" x14ac:dyDescent="0.35">
      <c r="A3542" s="1">
        <v>44694.365277777775</v>
      </c>
      <c r="B3542">
        <v>3019480</v>
      </c>
      <c r="C3542" t="s">
        <v>7264</v>
      </c>
      <c r="D3542" t="s">
        <v>137</v>
      </c>
      <c r="E3542" s="2">
        <v>40513</v>
      </c>
      <c r="F3542" t="str">
        <f>"9781613243855"</f>
        <v>9781613243855</v>
      </c>
      <c r="G3542" t="str">
        <f>"9781617285134"</f>
        <v>9781617285134</v>
      </c>
      <c r="H3542" t="s">
        <v>712</v>
      </c>
      <c r="I3542" t="s">
        <v>7265</v>
      </c>
      <c r="J3542" t="s">
        <v>7266</v>
      </c>
      <c r="K3542" t="s">
        <v>44</v>
      </c>
      <c r="N3542" t="s">
        <v>45</v>
      </c>
      <c r="O3542" t="s">
        <v>46</v>
      </c>
      <c r="P3542" t="s">
        <v>177</v>
      </c>
      <c r="Q3542" t="s">
        <v>47</v>
      </c>
      <c r="R3542" t="s">
        <v>55</v>
      </c>
      <c r="S3542">
        <v>1</v>
      </c>
      <c r="W3542" s="3">
        <v>0</v>
      </c>
      <c r="X3542" t="s">
        <v>49</v>
      </c>
      <c r="Y3542">
        <v>0</v>
      </c>
      <c r="Z3542">
        <v>0</v>
      </c>
      <c r="AA3542" t="s">
        <v>49</v>
      </c>
      <c r="AB3542">
        <v>0</v>
      </c>
      <c r="AC3542" t="s">
        <v>49</v>
      </c>
      <c r="AD3542">
        <v>0</v>
      </c>
      <c r="AE3542">
        <v>10671045</v>
      </c>
      <c r="AF3542" t="s">
        <v>63</v>
      </c>
      <c r="AG3542" t="s">
        <v>7252</v>
      </c>
    </row>
    <row r="3543" spans="1:33" x14ac:dyDescent="0.35">
      <c r="A3543" s="1">
        <v>44694.363194444442</v>
      </c>
      <c r="B3543">
        <v>3019480</v>
      </c>
      <c r="C3543" t="s">
        <v>7264</v>
      </c>
      <c r="D3543" t="s">
        <v>137</v>
      </c>
      <c r="E3543" s="2">
        <v>40513</v>
      </c>
      <c r="F3543" t="str">
        <f>"9781613243855"</f>
        <v>9781613243855</v>
      </c>
      <c r="G3543" t="str">
        <f>"9781617285134"</f>
        <v>9781617285134</v>
      </c>
      <c r="H3543" t="s">
        <v>712</v>
      </c>
      <c r="I3543" t="s">
        <v>7265</v>
      </c>
      <c r="J3543" t="s">
        <v>7266</v>
      </c>
      <c r="K3543" t="s">
        <v>44</v>
      </c>
      <c r="N3543" t="s">
        <v>45</v>
      </c>
      <c r="O3543" t="s">
        <v>46</v>
      </c>
      <c r="P3543" t="s">
        <v>177</v>
      </c>
      <c r="Q3543" t="s">
        <v>47</v>
      </c>
      <c r="R3543" t="s">
        <v>55</v>
      </c>
      <c r="S3543">
        <v>0</v>
      </c>
      <c r="W3543" s="3">
        <v>8.1018518518518516E-5</v>
      </c>
      <c r="X3543" t="s">
        <v>113</v>
      </c>
      <c r="Y3543">
        <v>2</v>
      </c>
      <c r="Z3543">
        <v>0</v>
      </c>
      <c r="AA3543" t="s">
        <v>49</v>
      </c>
      <c r="AB3543">
        <v>0</v>
      </c>
      <c r="AC3543" t="s">
        <v>49</v>
      </c>
      <c r="AD3543">
        <v>0</v>
      </c>
      <c r="AE3543">
        <v>10671045</v>
      </c>
      <c r="AF3543" t="s">
        <v>63</v>
      </c>
      <c r="AG3543" t="s">
        <v>7252</v>
      </c>
    </row>
    <row r="3544" spans="1:33" x14ac:dyDescent="0.35">
      <c r="A3544" s="1">
        <v>44694.362500000003</v>
      </c>
      <c r="B3544">
        <v>3443869</v>
      </c>
      <c r="C3544" t="s">
        <v>7271</v>
      </c>
      <c r="D3544" t="s">
        <v>7272</v>
      </c>
      <c r="E3544" s="2">
        <v>41243</v>
      </c>
      <c r="F3544" t="str">
        <f>"9781607812258"</f>
        <v>9781607812258</v>
      </c>
      <c r="G3544" t="str">
        <f>"9781607812043"</f>
        <v>9781607812043</v>
      </c>
      <c r="H3544" t="s">
        <v>162</v>
      </c>
      <c r="I3544" t="s">
        <v>7273</v>
      </c>
      <c r="J3544" t="s">
        <v>7274</v>
      </c>
      <c r="K3544" t="s">
        <v>44</v>
      </c>
      <c r="N3544" t="s">
        <v>45</v>
      </c>
      <c r="O3544" t="s">
        <v>46</v>
      </c>
      <c r="P3544" t="s">
        <v>45</v>
      </c>
      <c r="Q3544" t="s">
        <v>47</v>
      </c>
      <c r="R3544" t="s">
        <v>44</v>
      </c>
      <c r="S3544">
        <v>0</v>
      </c>
      <c r="W3544" s="3">
        <v>1.8981481481481482E-3</v>
      </c>
      <c r="X3544" t="s">
        <v>7275</v>
      </c>
      <c r="Y3544">
        <v>13</v>
      </c>
      <c r="Z3544">
        <v>0</v>
      </c>
      <c r="AA3544" t="s">
        <v>49</v>
      </c>
      <c r="AB3544">
        <v>0</v>
      </c>
      <c r="AC3544" t="s">
        <v>49</v>
      </c>
      <c r="AD3544">
        <v>0</v>
      </c>
      <c r="AE3544">
        <v>10622552</v>
      </c>
      <c r="AF3544" t="s">
        <v>63</v>
      </c>
      <c r="AG3544" t="s">
        <v>7252</v>
      </c>
    </row>
    <row r="3545" spans="1:33" x14ac:dyDescent="0.35">
      <c r="A3545" s="1">
        <v>44693.966666666667</v>
      </c>
      <c r="B3545">
        <v>3572005</v>
      </c>
      <c r="C3545" t="s">
        <v>7276</v>
      </c>
      <c r="D3545" t="s">
        <v>7277</v>
      </c>
      <c r="E3545" s="2">
        <v>40513</v>
      </c>
      <c r="F3545" t="str">
        <f>"9789955287810"</f>
        <v>9789955287810</v>
      </c>
      <c r="G3545" t="str">
        <f>"9789955287766"</f>
        <v>9789955287766</v>
      </c>
      <c r="H3545" t="s">
        <v>542</v>
      </c>
      <c r="J3545" t="s">
        <v>7278</v>
      </c>
      <c r="K3545" t="s">
        <v>44</v>
      </c>
      <c r="N3545" t="s">
        <v>45</v>
      </c>
      <c r="O3545" t="s">
        <v>46</v>
      </c>
      <c r="P3545" t="s">
        <v>45</v>
      </c>
      <c r="Q3545" t="s">
        <v>47</v>
      </c>
      <c r="R3545" t="s">
        <v>44</v>
      </c>
      <c r="S3545">
        <v>0</v>
      </c>
      <c r="W3545" s="3">
        <v>3.7500000000000003E-3</v>
      </c>
      <c r="X3545" t="s">
        <v>7279</v>
      </c>
      <c r="Y3545">
        <v>36</v>
      </c>
      <c r="Z3545">
        <v>0</v>
      </c>
      <c r="AA3545" t="s">
        <v>49</v>
      </c>
      <c r="AB3545">
        <v>0</v>
      </c>
      <c r="AC3545" t="s">
        <v>49</v>
      </c>
      <c r="AD3545">
        <v>0</v>
      </c>
      <c r="AE3545">
        <v>10621764</v>
      </c>
      <c r="AF3545" t="s">
        <v>50</v>
      </c>
      <c r="AG3545" t="s">
        <v>7146</v>
      </c>
    </row>
    <row r="3546" spans="1:33" x14ac:dyDescent="0.35">
      <c r="A3546" s="1">
        <v>44693.814583333333</v>
      </c>
      <c r="B3546">
        <v>4770367</v>
      </c>
      <c r="C3546" t="s">
        <v>7280</v>
      </c>
      <c r="D3546" t="s">
        <v>59</v>
      </c>
      <c r="E3546" s="2">
        <v>42731</v>
      </c>
      <c r="F3546" t="str">
        <f>"9781119276951"</f>
        <v>9781119276951</v>
      </c>
      <c r="G3546" t="str">
        <f>"9781119042730"</f>
        <v>9781119042730</v>
      </c>
      <c r="H3546" t="s">
        <v>116</v>
      </c>
      <c r="I3546">
        <v>660.28422999999998</v>
      </c>
      <c r="J3546" t="s">
        <v>7281</v>
      </c>
      <c r="K3546" t="s">
        <v>44</v>
      </c>
      <c r="N3546" t="s">
        <v>45</v>
      </c>
      <c r="O3546" t="s">
        <v>46</v>
      </c>
      <c r="P3546" t="s">
        <v>45</v>
      </c>
      <c r="Q3546" t="s">
        <v>47</v>
      </c>
      <c r="R3546" t="s">
        <v>44</v>
      </c>
      <c r="S3546">
        <v>0</v>
      </c>
      <c r="W3546" s="3">
        <v>2.3854166666666666E-2</v>
      </c>
      <c r="X3546" t="s">
        <v>7282</v>
      </c>
      <c r="Y3546">
        <v>91</v>
      </c>
      <c r="Z3546">
        <v>0</v>
      </c>
      <c r="AA3546" t="s">
        <v>49</v>
      </c>
      <c r="AB3546">
        <v>0</v>
      </c>
      <c r="AC3546" t="s">
        <v>7283</v>
      </c>
      <c r="AD3546">
        <v>1</v>
      </c>
      <c r="AE3546">
        <v>11318073</v>
      </c>
      <c r="AF3546" t="s">
        <v>50</v>
      </c>
      <c r="AG3546" t="s">
        <v>7146</v>
      </c>
    </row>
    <row r="3547" spans="1:33" x14ac:dyDescent="0.35">
      <c r="A3547" s="1">
        <v>44693.772222222222</v>
      </c>
      <c r="B3547">
        <v>514421</v>
      </c>
      <c r="C3547" t="s">
        <v>7284</v>
      </c>
      <c r="D3547" t="s">
        <v>59</v>
      </c>
      <c r="E3547" s="2">
        <v>40343</v>
      </c>
      <c r="F3547" t="str">
        <f>"9780470661086"</f>
        <v>9780470661086</v>
      </c>
      <c r="G3547" t="str">
        <f>"9780470747407"</f>
        <v>9780470747407</v>
      </c>
      <c r="H3547" t="s">
        <v>3700</v>
      </c>
      <c r="I3547" t="s">
        <v>7285</v>
      </c>
      <c r="J3547" t="s">
        <v>7286</v>
      </c>
      <c r="K3547" t="s">
        <v>44</v>
      </c>
      <c r="N3547" t="s">
        <v>45</v>
      </c>
      <c r="O3547" t="s">
        <v>46</v>
      </c>
      <c r="P3547" t="s">
        <v>45</v>
      </c>
      <c r="Q3547" t="s">
        <v>47</v>
      </c>
      <c r="R3547" t="s">
        <v>44</v>
      </c>
      <c r="S3547">
        <v>0</v>
      </c>
      <c r="W3547" s="3">
        <v>3.2407407407407406E-4</v>
      </c>
      <c r="X3547" t="s">
        <v>7287</v>
      </c>
      <c r="Y3547">
        <v>3</v>
      </c>
      <c r="Z3547">
        <v>0</v>
      </c>
      <c r="AA3547" t="s">
        <v>49</v>
      </c>
      <c r="AB3547">
        <v>0</v>
      </c>
      <c r="AC3547" t="s">
        <v>49</v>
      </c>
      <c r="AD3547">
        <v>0</v>
      </c>
      <c r="AE3547">
        <v>10381039</v>
      </c>
      <c r="AF3547" t="s">
        <v>50</v>
      </c>
      <c r="AG3547" t="s">
        <v>7146</v>
      </c>
    </row>
    <row r="3548" spans="1:33" x14ac:dyDescent="0.35">
      <c r="A3548" s="1">
        <v>44693.771527777775</v>
      </c>
      <c r="B3548">
        <v>269950</v>
      </c>
      <c r="C3548" t="s">
        <v>7288</v>
      </c>
      <c r="D3548" t="s">
        <v>65</v>
      </c>
      <c r="E3548" s="2">
        <v>38552</v>
      </c>
      <c r="F3548" t="str">
        <f>"9780080455648"</f>
        <v>9780080455648</v>
      </c>
      <c r="G3548" t="str">
        <f>"9781493302031"</f>
        <v>9781493302031</v>
      </c>
      <c r="H3548" t="s">
        <v>1112</v>
      </c>
      <c r="I3548">
        <v>664</v>
      </c>
      <c r="J3548" t="s">
        <v>7289</v>
      </c>
      <c r="K3548" t="s">
        <v>44</v>
      </c>
      <c r="N3548" t="s">
        <v>45</v>
      </c>
      <c r="O3548" t="s">
        <v>46</v>
      </c>
      <c r="P3548" t="s">
        <v>45</v>
      </c>
      <c r="Q3548" t="s">
        <v>47</v>
      </c>
      <c r="R3548" t="s">
        <v>44</v>
      </c>
      <c r="S3548">
        <v>0</v>
      </c>
      <c r="W3548" s="3">
        <v>6.9444444444444444E-5</v>
      </c>
      <c r="X3548" t="s">
        <v>196</v>
      </c>
      <c r="Y3548">
        <v>2</v>
      </c>
      <c r="Z3548">
        <v>0</v>
      </c>
      <c r="AA3548" t="s">
        <v>49</v>
      </c>
      <c r="AB3548">
        <v>0</v>
      </c>
      <c r="AC3548" t="s">
        <v>49</v>
      </c>
      <c r="AD3548">
        <v>0</v>
      </c>
      <c r="AE3548">
        <v>10138403</v>
      </c>
      <c r="AF3548" t="s">
        <v>50</v>
      </c>
      <c r="AG3548" t="s">
        <v>7146</v>
      </c>
    </row>
    <row r="3549" spans="1:33" x14ac:dyDescent="0.35">
      <c r="A3549" s="1">
        <v>44693.710416666669</v>
      </c>
      <c r="B3549">
        <v>1742688</v>
      </c>
      <c r="C3549" t="s">
        <v>7290</v>
      </c>
      <c r="D3549" t="s">
        <v>65</v>
      </c>
      <c r="E3549" s="2">
        <v>41857</v>
      </c>
      <c r="F3549" t="str">
        <f>"9780123978196"</f>
        <v>9780123978196</v>
      </c>
      <c r="G3549" t="str">
        <f>"9780123944276"</f>
        <v>9780123944276</v>
      </c>
      <c r="H3549" t="s">
        <v>151</v>
      </c>
      <c r="I3549">
        <v>616.85225000000003</v>
      </c>
      <c r="J3549" t="s">
        <v>7291</v>
      </c>
      <c r="K3549" t="s">
        <v>44</v>
      </c>
      <c r="N3549" t="s">
        <v>45</v>
      </c>
      <c r="O3549" t="s">
        <v>46</v>
      </c>
      <c r="P3549" t="s">
        <v>45</v>
      </c>
      <c r="Q3549" t="s">
        <v>47</v>
      </c>
      <c r="R3549" t="s">
        <v>44</v>
      </c>
      <c r="S3549">
        <v>0</v>
      </c>
      <c r="W3549" s="3">
        <v>6.3657407407407402E-4</v>
      </c>
      <c r="X3549" t="s">
        <v>4141</v>
      </c>
      <c r="Y3549">
        <v>4</v>
      </c>
      <c r="Z3549">
        <v>0</v>
      </c>
      <c r="AA3549" t="s">
        <v>49</v>
      </c>
      <c r="AB3549">
        <v>0</v>
      </c>
      <c r="AC3549" t="s">
        <v>49</v>
      </c>
      <c r="AD3549">
        <v>0</v>
      </c>
      <c r="AE3549">
        <v>10895263</v>
      </c>
      <c r="AF3549" t="s">
        <v>50</v>
      </c>
      <c r="AG3549" t="s">
        <v>7146</v>
      </c>
    </row>
    <row r="3550" spans="1:33" x14ac:dyDescent="0.35">
      <c r="A3550" s="1">
        <v>44693.667361111111</v>
      </c>
      <c r="B3550">
        <v>4563489</v>
      </c>
      <c r="C3550" t="s">
        <v>7292</v>
      </c>
      <c r="D3550" t="s">
        <v>170</v>
      </c>
      <c r="E3550" s="2">
        <v>42591</v>
      </c>
      <c r="F3550" t="str">
        <f>"9781462918836"</f>
        <v>9781462918836</v>
      </c>
      <c r="G3550" t="str">
        <f>"9784805311639"</f>
        <v>9784805311639</v>
      </c>
      <c r="H3550" t="s">
        <v>162</v>
      </c>
      <c r="I3550">
        <v>200.952</v>
      </c>
      <c r="J3550" t="s">
        <v>7293</v>
      </c>
      <c r="K3550" t="s">
        <v>44</v>
      </c>
      <c r="N3550" t="s">
        <v>45</v>
      </c>
      <c r="O3550" t="s">
        <v>46</v>
      </c>
      <c r="P3550" t="s">
        <v>45</v>
      </c>
      <c r="Q3550" t="s">
        <v>47</v>
      </c>
      <c r="R3550" t="s">
        <v>44</v>
      </c>
      <c r="S3550">
        <v>0</v>
      </c>
      <c r="W3550" s="3">
        <v>4.6296296296296294E-5</v>
      </c>
      <c r="X3550" t="s">
        <v>121</v>
      </c>
      <c r="Y3550">
        <v>1</v>
      </c>
      <c r="Z3550">
        <v>0</v>
      </c>
      <c r="AA3550" t="s">
        <v>49</v>
      </c>
      <c r="AB3550">
        <v>0</v>
      </c>
      <c r="AC3550" t="s">
        <v>49</v>
      </c>
      <c r="AD3550">
        <v>0</v>
      </c>
      <c r="AE3550">
        <v>11230081</v>
      </c>
      <c r="AF3550" t="s">
        <v>50</v>
      </c>
      <c r="AG3550" t="s">
        <v>7146</v>
      </c>
    </row>
    <row r="3551" spans="1:33" x14ac:dyDescent="0.35">
      <c r="A3551" s="1">
        <v>44693.632638888892</v>
      </c>
      <c r="B3551">
        <v>3116788</v>
      </c>
      <c r="C3551" t="s">
        <v>7268</v>
      </c>
      <c r="D3551" t="s">
        <v>1550</v>
      </c>
      <c r="E3551" s="2">
        <v>40878</v>
      </c>
      <c r="F3551" t="str">
        <f>"9781613001424"</f>
        <v>9781613001424</v>
      </c>
      <c r="G3551" t="str">
        <f>"9781583218846"</f>
        <v>9781583218846</v>
      </c>
      <c r="H3551" t="s">
        <v>261</v>
      </c>
      <c r="J3551" t="s">
        <v>7269</v>
      </c>
      <c r="K3551" t="s">
        <v>44</v>
      </c>
      <c r="N3551" t="s">
        <v>45</v>
      </c>
      <c r="O3551" t="s">
        <v>46</v>
      </c>
      <c r="P3551" t="s">
        <v>45</v>
      </c>
      <c r="Q3551" t="s">
        <v>47</v>
      </c>
      <c r="R3551" t="s">
        <v>44</v>
      </c>
      <c r="S3551">
        <v>0</v>
      </c>
      <c r="W3551" s="3">
        <v>3.9351851851851857E-3</v>
      </c>
      <c r="X3551" t="s">
        <v>7294</v>
      </c>
      <c r="Y3551">
        <v>23</v>
      </c>
      <c r="Z3551">
        <v>0</v>
      </c>
      <c r="AA3551" t="s">
        <v>49</v>
      </c>
      <c r="AB3551">
        <v>0</v>
      </c>
      <c r="AC3551" t="s">
        <v>49</v>
      </c>
      <c r="AD3551">
        <v>0</v>
      </c>
      <c r="AE3551">
        <v>10568068</v>
      </c>
      <c r="AF3551" t="s">
        <v>50</v>
      </c>
      <c r="AG3551" t="s">
        <v>7146</v>
      </c>
    </row>
    <row r="3552" spans="1:33" x14ac:dyDescent="0.35">
      <c r="A3552" s="1">
        <v>44693.629166666666</v>
      </c>
      <c r="B3552">
        <v>892354</v>
      </c>
      <c r="C3552" t="s">
        <v>7295</v>
      </c>
      <c r="D3552" t="s">
        <v>7296</v>
      </c>
      <c r="E3552" s="2">
        <v>40010</v>
      </c>
      <c r="F3552" t="str">
        <f>"9780813548517"</f>
        <v>9780813548517</v>
      </c>
      <c r="G3552" t="str">
        <f>"9780813545486"</f>
        <v>9780813545486</v>
      </c>
      <c r="H3552" t="s">
        <v>66</v>
      </c>
      <c r="I3552">
        <v>578.76900000000001</v>
      </c>
      <c r="J3552" t="s">
        <v>7297</v>
      </c>
      <c r="K3552" t="s">
        <v>44</v>
      </c>
      <c r="N3552" t="s">
        <v>45</v>
      </c>
      <c r="O3552" t="s">
        <v>46</v>
      </c>
      <c r="P3552" t="s">
        <v>45</v>
      </c>
      <c r="Q3552" t="s">
        <v>47</v>
      </c>
      <c r="R3552" t="s">
        <v>44</v>
      </c>
      <c r="S3552">
        <v>0</v>
      </c>
      <c r="W3552" s="3">
        <v>2.6620370370370372E-4</v>
      </c>
      <c r="X3552" t="s">
        <v>2249</v>
      </c>
      <c r="Y3552">
        <v>6</v>
      </c>
      <c r="Z3552">
        <v>0</v>
      </c>
      <c r="AA3552" t="s">
        <v>49</v>
      </c>
      <c r="AB3552">
        <v>0</v>
      </c>
      <c r="AC3552" t="s">
        <v>49</v>
      </c>
      <c r="AD3552">
        <v>0</v>
      </c>
      <c r="AE3552">
        <v>10555069</v>
      </c>
      <c r="AF3552" t="s">
        <v>50</v>
      </c>
      <c r="AG3552" t="s">
        <v>7146</v>
      </c>
    </row>
    <row r="3553" spans="1:33" x14ac:dyDescent="0.35">
      <c r="A3553" s="1">
        <v>44693.575694444444</v>
      </c>
      <c r="B3553">
        <v>5527155</v>
      </c>
      <c r="C3553" t="s">
        <v>7298</v>
      </c>
      <c r="D3553" t="s">
        <v>1017</v>
      </c>
      <c r="E3553" s="2">
        <v>41548</v>
      </c>
      <c r="F3553" t="str">
        <f>"9781614487791"</f>
        <v>9781614487791</v>
      </c>
      <c r="G3553" t="str">
        <f>""</f>
        <v/>
      </c>
      <c r="H3553" t="s">
        <v>900</v>
      </c>
      <c r="I3553">
        <v>332.024</v>
      </c>
      <c r="J3553" t="s">
        <v>7299</v>
      </c>
      <c r="K3553" t="s">
        <v>44</v>
      </c>
      <c r="N3553" t="s">
        <v>45</v>
      </c>
      <c r="O3553" t="s">
        <v>46</v>
      </c>
      <c r="P3553" t="s">
        <v>45</v>
      </c>
      <c r="Q3553" t="s">
        <v>47</v>
      </c>
      <c r="R3553" t="s">
        <v>44</v>
      </c>
      <c r="S3553">
        <v>0</v>
      </c>
      <c r="W3553" s="3">
        <v>3.2407407407407406E-4</v>
      </c>
      <c r="X3553" t="s">
        <v>7300</v>
      </c>
      <c r="Y3553">
        <v>7</v>
      </c>
      <c r="Z3553">
        <v>0</v>
      </c>
      <c r="AA3553" t="s">
        <v>49</v>
      </c>
      <c r="AB3553">
        <v>0</v>
      </c>
      <c r="AC3553" t="s">
        <v>49</v>
      </c>
      <c r="AD3553">
        <v>0</v>
      </c>
      <c r="AE3553">
        <v>11613300</v>
      </c>
      <c r="AF3553" t="s">
        <v>50</v>
      </c>
      <c r="AG3553" t="s">
        <v>7301</v>
      </c>
    </row>
    <row r="3554" spans="1:33" x14ac:dyDescent="0.35">
      <c r="A3554" s="1">
        <v>44693.468055555553</v>
      </c>
      <c r="B3554">
        <v>908552</v>
      </c>
      <c r="C3554" t="s">
        <v>7302</v>
      </c>
      <c r="D3554" t="s">
        <v>666</v>
      </c>
      <c r="E3554" s="2">
        <v>37069</v>
      </c>
      <c r="F3554" t="str">
        <f>"9780231511315"</f>
        <v>9780231511315</v>
      </c>
      <c r="G3554" t="str">
        <f>"9780231121989"</f>
        <v>9780231121989</v>
      </c>
      <c r="H3554" t="s">
        <v>7303</v>
      </c>
      <c r="I3554">
        <v>553.63208999999995</v>
      </c>
      <c r="J3554" t="s">
        <v>7304</v>
      </c>
      <c r="K3554" t="s">
        <v>44</v>
      </c>
      <c r="N3554" t="s">
        <v>45</v>
      </c>
      <c r="O3554" t="s">
        <v>46</v>
      </c>
      <c r="P3554" t="s">
        <v>45</v>
      </c>
      <c r="Q3554" t="s">
        <v>47</v>
      </c>
      <c r="R3554" t="s">
        <v>44</v>
      </c>
      <c r="S3554">
        <v>0</v>
      </c>
      <c r="W3554" s="3">
        <v>1.1562499999999998E-2</v>
      </c>
      <c r="X3554" t="s">
        <v>7305</v>
      </c>
      <c r="Y3554">
        <v>37</v>
      </c>
      <c r="Z3554">
        <v>0</v>
      </c>
      <c r="AA3554" t="s">
        <v>49</v>
      </c>
      <c r="AB3554">
        <v>0</v>
      </c>
      <c r="AC3554" t="s">
        <v>3489</v>
      </c>
      <c r="AD3554">
        <v>1</v>
      </c>
      <c r="AE3554">
        <v>10532623</v>
      </c>
      <c r="AF3554" t="s">
        <v>50</v>
      </c>
      <c r="AG3554" t="s">
        <v>7146</v>
      </c>
    </row>
    <row r="3555" spans="1:33" x14ac:dyDescent="0.35">
      <c r="A3555" s="1">
        <v>44693.468055555553</v>
      </c>
      <c r="B3555">
        <v>1996696</v>
      </c>
      <c r="C3555" t="s">
        <v>7306</v>
      </c>
      <c r="D3555" t="s">
        <v>7307</v>
      </c>
      <c r="E3555" s="2">
        <v>42074</v>
      </c>
      <c r="F3555" t="str">
        <f>"9789088903045"</f>
        <v>9789088903045</v>
      </c>
      <c r="G3555" t="str">
        <f>"9789088903038"</f>
        <v>9789088903038</v>
      </c>
      <c r="H3555" t="s">
        <v>7308</v>
      </c>
      <c r="I3555">
        <v>930.1</v>
      </c>
      <c r="J3555" t="s">
        <v>7309</v>
      </c>
      <c r="K3555" t="s">
        <v>44</v>
      </c>
      <c r="N3555" t="s">
        <v>45</v>
      </c>
      <c r="O3555" t="s">
        <v>46</v>
      </c>
      <c r="P3555" t="s">
        <v>45</v>
      </c>
      <c r="Q3555" t="s">
        <v>47</v>
      </c>
      <c r="R3555" t="s">
        <v>44</v>
      </c>
      <c r="S3555">
        <v>0</v>
      </c>
      <c r="W3555" s="3">
        <v>6.9907407407407409E-3</v>
      </c>
      <c r="X3555" t="s">
        <v>7310</v>
      </c>
      <c r="Y3555">
        <v>18</v>
      </c>
      <c r="Z3555">
        <v>0</v>
      </c>
      <c r="AA3555" t="s">
        <v>49</v>
      </c>
      <c r="AB3555">
        <v>0</v>
      </c>
      <c r="AC3555" t="s">
        <v>49</v>
      </c>
      <c r="AD3555">
        <v>0</v>
      </c>
      <c r="AE3555">
        <v>11035313</v>
      </c>
      <c r="AF3555" t="s">
        <v>50</v>
      </c>
      <c r="AG3555" t="s">
        <v>7146</v>
      </c>
    </row>
    <row r="3556" spans="1:33" x14ac:dyDescent="0.35">
      <c r="A3556" s="1">
        <v>44692.886111111111</v>
      </c>
      <c r="B3556">
        <v>1354400</v>
      </c>
      <c r="C3556" t="s">
        <v>7311</v>
      </c>
      <c r="D3556" t="s">
        <v>1585</v>
      </c>
      <c r="E3556" s="2">
        <v>36782</v>
      </c>
      <c r="F3556" t="str">
        <f>"9780809390373"</f>
        <v>9780809390373</v>
      </c>
      <c r="G3556" t="str">
        <f>"9780809323425"</f>
        <v>9780809323425</v>
      </c>
      <c r="H3556" t="s">
        <v>667</v>
      </c>
      <c r="J3556" t="s">
        <v>7312</v>
      </c>
      <c r="K3556" t="s">
        <v>44</v>
      </c>
      <c r="N3556" t="s">
        <v>45</v>
      </c>
      <c r="O3556" t="s">
        <v>46</v>
      </c>
      <c r="P3556" t="s">
        <v>45</v>
      </c>
      <c r="Q3556" t="s">
        <v>47</v>
      </c>
      <c r="R3556" t="s">
        <v>44</v>
      </c>
      <c r="S3556">
        <v>0</v>
      </c>
      <c r="W3556" s="3">
        <v>8.1018518518518516E-5</v>
      </c>
      <c r="X3556" t="s">
        <v>113</v>
      </c>
      <c r="Y3556">
        <v>2</v>
      </c>
      <c r="Z3556">
        <v>0</v>
      </c>
      <c r="AA3556" t="s">
        <v>49</v>
      </c>
      <c r="AB3556">
        <v>0</v>
      </c>
      <c r="AC3556" t="s">
        <v>49</v>
      </c>
      <c r="AD3556">
        <v>0</v>
      </c>
      <c r="AE3556">
        <v>10555641</v>
      </c>
      <c r="AF3556" t="s">
        <v>50</v>
      </c>
      <c r="AG3556" t="s">
        <v>7252</v>
      </c>
    </row>
    <row r="3557" spans="1:33" x14ac:dyDescent="0.35">
      <c r="A3557" s="1">
        <v>44692.876388888886</v>
      </c>
      <c r="B3557">
        <v>1354400</v>
      </c>
      <c r="C3557" t="s">
        <v>7311</v>
      </c>
      <c r="D3557" t="s">
        <v>1585</v>
      </c>
      <c r="E3557" s="2">
        <v>36782</v>
      </c>
      <c r="F3557" t="str">
        <f>"9780809390373"</f>
        <v>9780809390373</v>
      </c>
      <c r="G3557" t="str">
        <f>"9780809323425"</f>
        <v>9780809323425</v>
      </c>
      <c r="H3557" t="s">
        <v>667</v>
      </c>
      <c r="J3557" t="s">
        <v>7312</v>
      </c>
      <c r="K3557" t="s">
        <v>44</v>
      </c>
      <c r="N3557" t="s">
        <v>45</v>
      </c>
      <c r="O3557" t="s">
        <v>46</v>
      </c>
      <c r="P3557" t="s">
        <v>45</v>
      </c>
      <c r="Q3557" t="s">
        <v>47</v>
      </c>
      <c r="R3557" t="s">
        <v>44</v>
      </c>
      <c r="S3557">
        <v>0</v>
      </c>
      <c r="W3557" s="3">
        <v>1.2268518518518518E-3</v>
      </c>
      <c r="X3557" t="s">
        <v>1143</v>
      </c>
      <c r="Y3557">
        <v>7</v>
      </c>
      <c r="Z3557">
        <v>0</v>
      </c>
      <c r="AA3557" t="s">
        <v>49</v>
      </c>
      <c r="AB3557">
        <v>0</v>
      </c>
      <c r="AC3557" t="s">
        <v>49</v>
      </c>
      <c r="AD3557">
        <v>0</v>
      </c>
      <c r="AE3557">
        <v>10555641</v>
      </c>
      <c r="AF3557" t="s">
        <v>50</v>
      </c>
      <c r="AG3557" t="s">
        <v>1451</v>
      </c>
    </row>
    <row r="3558" spans="1:33" x14ac:dyDescent="0.35">
      <c r="A3558" s="1">
        <v>44692.845833333333</v>
      </c>
      <c r="B3558">
        <v>1354400</v>
      </c>
      <c r="C3558" t="s">
        <v>7311</v>
      </c>
      <c r="D3558" t="s">
        <v>1585</v>
      </c>
      <c r="E3558" s="2">
        <v>36782</v>
      </c>
      <c r="F3558" t="str">
        <f>"9780809390373"</f>
        <v>9780809390373</v>
      </c>
      <c r="G3558" t="str">
        <f>"9780809323425"</f>
        <v>9780809323425</v>
      </c>
      <c r="H3558" t="s">
        <v>667</v>
      </c>
      <c r="J3558" t="s">
        <v>7312</v>
      </c>
      <c r="K3558" t="s">
        <v>44</v>
      </c>
      <c r="N3558" t="s">
        <v>45</v>
      </c>
      <c r="O3558" t="s">
        <v>46</v>
      </c>
      <c r="P3558" t="s">
        <v>45</v>
      </c>
      <c r="Q3558" t="s">
        <v>47</v>
      </c>
      <c r="R3558" t="s">
        <v>44</v>
      </c>
      <c r="S3558">
        <v>0</v>
      </c>
      <c r="W3558" s="3">
        <v>5.7870370370370366E-5</v>
      </c>
      <c r="X3558" t="s">
        <v>121</v>
      </c>
      <c r="Y3558">
        <v>1</v>
      </c>
      <c r="Z3558">
        <v>0</v>
      </c>
      <c r="AA3558" t="s">
        <v>49</v>
      </c>
      <c r="AB3558">
        <v>0</v>
      </c>
      <c r="AC3558" t="s">
        <v>49</v>
      </c>
      <c r="AD3558">
        <v>0</v>
      </c>
      <c r="AE3558">
        <v>10555641</v>
      </c>
      <c r="AF3558" t="s">
        <v>50</v>
      </c>
      <c r="AG3558" t="s">
        <v>1451</v>
      </c>
    </row>
    <row r="3559" spans="1:33" x14ac:dyDescent="0.35">
      <c r="A3559" s="1">
        <v>44692.808333333334</v>
      </c>
      <c r="B3559">
        <v>1354400</v>
      </c>
      <c r="C3559" t="s">
        <v>7311</v>
      </c>
      <c r="D3559" t="s">
        <v>1585</v>
      </c>
      <c r="E3559" s="2">
        <v>36782</v>
      </c>
      <c r="F3559" t="str">
        <f>"9780809390373"</f>
        <v>9780809390373</v>
      </c>
      <c r="G3559" t="str">
        <f>"9780809323425"</f>
        <v>9780809323425</v>
      </c>
      <c r="H3559" t="s">
        <v>667</v>
      </c>
      <c r="J3559" t="s">
        <v>7312</v>
      </c>
      <c r="K3559" t="s">
        <v>44</v>
      </c>
      <c r="N3559" t="s">
        <v>45</v>
      </c>
      <c r="O3559" t="s">
        <v>46</v>
      </c>
      <c r="P3559" t="s">
        <v>45</v>
      </c>
      <c r="Q3559" t="s">
        <v>47</v>
      </c>
      <c r="R3559" t="s">
        <v>44</v>
      </c>
      <c r="S3559">
        <v>0</v>
      </c>
      <c r="W3559" s="3">
        <v>1.0416666666666667E-4</v>
      </c>
      <c r="X3559" t="s">
        <v>113</v>
      </c>
      <c r="Y3559">
        <v>2</v>
      </c>
      <c r="Z3559">
        <v>0</v>
      </c>
      <c r="AA3559" t="s">
        <v>49</v>
      </c>
      <c r="AB3559">
        <v>0</v>
      </c>
      <c r="AC3559" t="s">
        <v>49</v>
      </c>
      <c r="AD3559">
        <v>0</v>
      </c>
      <c r="AE3559">
        <v>10555641</v>
      </c>
      <c r="AF3559" t="s">
        <v>50</v>
      </c>
      <c r="AG3559" t="s">
        <v>7252</v>
      </c>
    </row>
    <row r="3560" spans="1:33" x14ac:dyDescent="0.35">
      <c r="A3560" s="1">
        <v>44692.804861111108</v>
      </c>
      <c r="B3560">
        <v>1124000</v>
      </c>
      <c r="C3560" t="s">
        <v>3866</v>
      </c>
      <c r="D3560" t="s">
        <v>59</v>
      </c>
      <c r="E3560" s="2">
        <v>41288</v>
      </c>
      <c r="F3560" t="str">
        <f>"9781118515150"</f>
        <v>9781118515150</v>
      </c>
      <c r="G3560" t="str">
        <f>"9781118279014"</f>
        <v>9781118279014</v>
      </c>
      <c r="H3560" t="s">
        <v>43</v>
      </c>
      <c r="I3560">
        <v>519.6</v>
      </c>
      <c r="J3560" t="s">
        <v>7313</v>
      </c>
      <c r="K3560" t="s">
        <v>44</v>
      </c>
      <c r="N3560" t="s">
        <v>45</v>
      </c>
      <c r="O3560" t="s">
        <v>46</v>
      </c>
      <c r="P3560" t="s">
        <v>45</v>
      </c>
      <c r="Q3560" t="s">
        <v>47</v>
      </c>
      <c r="R3560" t="s">
        <v>44</v>
      </c>
      <c r="S3560">
        <v>0</v>
      </c>
      <c r="W3560" s="3">
        <v>0</v>
      </c>
      <c r="X3560" t="s">
        <v>49</v>
      </c>
      <c r="Y3560">
        <v>0</v>
      </c>
      <c r="Z3560">
        <v>1</v>
      </c>
      <c r="AA3560" t="s">
        <v>7314</v>
      </c>
      <c r="AB3560">
        <v>78</v>
      </c>
      <c r="AC3560" t="s">
        <v>49</v>
      </c>
      <c r="AD3560">
        <v>0</v>
      </c>
      <c r="AE3560">
        <v>10895756</v>
      </c>
      <c r="AF3560" t="s">
        <v>50</v>
      </c>
      <c r="AG3560" t="s">
        <v>7315</v>
      </c>
    </row>
    <row r="3561" spans="1:33" x14ac:dyDescent="0.35">
      <c r="A3561" s="1">
        <v>44692.667361111111</v>
      </c>
      <c r="B3561">
        <v>4770367</v>
      </c>
      <c r="C3561" t="s">
        <v>7280</v>
      </c>
      <c r="D3561" t="s">
        <v>59</v>
      </c>
      <c r="E3561" s="2">
        <v>42731</v>
      </c>
      <c r="F3561" t="str">
        <f>"9781119276951"</f>
        <v>9781119276951</v>
      </c>
      <c r="G3561" t="str">
        <f>"9781119042730"</f>
        <v>9781119042730</v>
      </c>
      <c r="H3561" t="s">
        <v>116</v>
      </c>
      <c r="I3561">
        <v>660.28422999999998</v>
      </c>
      <c r="J3561" t="s">
        <v>7281</v>
      </c>
      <c r="K3561" t="s">
        <v>44</v>
      </c>
      <c r="N3561" t="s">
        <v>45</v>
      </c>
      <c r="O3561" t="s">
        <v>46</v>
      </c>
      <c r="P3561" t="s">
        <v>45</v>
      </c>
      <c r="Q3561" t="s">
        <v>47</v>
      </c>
      <c r="R3561" t="s">
        <v>44</v>
      </c>
      <c r="S3561">
        <v>0</v>
      </c>
      <c r="W3561" s="3">
        <v>2.8819444444444444E-3</v>
      </c>
      <c r="X3561" t="s">
        <v>7316</v>
      </c>
      <c r="Y3561">
        <v>27</v>
      </c>
      <c r="Z3561">
        <v>0</v>
      </c>
      <c r="AA3561" t="s">
        <v>49</v>
      </c>
      <c r="AB3561">
        <v>0</v>
      </c>
      <c r="AC3561" t="s">
        <v>49</v>
      </c>
      <c r="AD3561">
        <v>0</v>
      </c>
      <c r="AE3561">
        <v>11318073</v>
      </c>
      <c r="AF3561" t="s">
        <v>50</v>
      </c>
      <c r="AG3561" t="s">
        <v>7146</v>
      </c>
    </row>
    <row r="3562" spans="1:33" x14ac:dyDescent="0.35">
      <c r="A3562" s="1">
        <v>44692.525694444441</v>
      </c>
      <c r="B3562">
        <v>731273</v>
      </c>
      <c r="C3562" t="s">
        <v>7317</v>
      </c>
      <c r="D3562" t="s">
        <v>71</v>
      </c>
      <c r="E3562" s="2">
        <v>40179</v>
      </c>
      <c r="F3562" t="str">
        <f>"9789814287142"</f>
        <v>9789814287142</v>
      </c>
      <c r="G3562" t="str">
        <f>"9789814287135"</f>
        <v>9789814287135</v>
      </c>
      <c r="H3562" t="s">
        <v>43</v>
      </c>
      <c r="I3562">
        <v>511.3</v>
      </c>
      <c r="J3562" t="s">
        <v>7318</v>
      </c>
      <c r="K3562" t="s">
        <v>44</v>
      </c>
      <c r="N3562" t="s">
        <v>45</v>
      </c>
      <c r="O3562" t="s">
        <v>46</v>
      </c>
      <c r="P3562" t="s">
        <v>45</v>
      </c>
      <c r="Q3562" t="s">
        <v>47</v>
      </c>
      <c r="R3562" t="s">
        <v>44</v>
      </c>
      <c r="S3562">
        <v>0</v>
      </c>
      <c r="W3562" s="3">
        <v>3.1250000000000001E-4</v>
      </c>
      <c r="X3562" t="s">
        <v>7319</v>
      </c>
      <c r="Y3562">
        <v>8</v>
      </c>
      <c r="Z3562">
        <v>0</v>
      </c>
      <c r="AA3562" t="s">
        <v>49</v>
      </c>
      <c r="AB3562">
        <v>0</v>
      </c>
      <c r="AC3562" t="s">
        <v>49</v>
      </c>
      <c r="AD3562">
        <v>0</v>
      </c>
      <c r="AE3562">
        <v>10422300</v>
      </c>
      <c r="AF3562" t="s">
        <v>50</v>
      </c>
      <c r="AG3562" t="s">
        <v>7205</v>
      </c>
    </row>
    <row r="3563" spans="1:33" x14ac:dyDescent="0.35">
      <c r="A3563" s="1">
        <v>44692.493750000001</v>
      </c>
      <c r="B3563">
        <v>5527155</v>
      </c>
      <c r="C3563" t="s">
        <v>7298</v>
      </c>
      <c r="D3563" t="s">
        <v>1017</v>
      </c>
      <c r="E3563" s="2">
        <v>41548</v>
      </c>
      <c r="F3563" t="str">
        <f>"9781614487791"</f>
        <v>9781614487791</v>
      </c>
      <c r="G3563" t="str">
        <f>""</f>
        <v/>
      </c>
      <c r="H3563" t="s">
        <v>900</v>
      </c>
      <c r="I3563">
        <v>332.024</v>
      </c>
      <c r="J3563" t="s">
        <v>7299</v>
      </c>
      <c r="K3563" t="s">
        <v>44</v>
      </c>
      <c r="N3563" t="s">
        <v>45</v>
      </c>
      <c r="O3563" t="s">
        <v>46</v>
      </c>
      <c r="P3563" t="s">
        <v>45</v>
      </c>
      <c r="Q3563" t="s">
        <v>47</v>
      </c>
      <c r="R3563" t="s">
        <v>44</v>
      </c>
      <c r="S3563">
        <v>0</v>
      </c>
      <c r="W3563" s="3">
        <v>5.0925925925925921E-4</v>
      </c>
      <c r="X3563" t="s">
        <v>7320</v>
      </c>
      <c r="Y3563">
        <v>9</v>
      </c>
      <c r="Z3563">
        <v>0</v>
      </c>
      <c r="AA3563" t="s">
        <v>49</v>
      </c>
      <c r="AB3563">
        <v>0</v>
      </c>
      <c r="AC3563" t="s">
        <v>49</v>
      </c>
      <c r="AD3563">
        <v>0</v>
      </c>
      <c r="AE3563">
        <v>11613300</v>
      </c>
      <c r="AF3563" t="s">
        <v>50</v>
      </c>
      <c r="AG3563" t="s">
        <v>7301</v>
      </c>
    </row>
    <row r="3564" spans="1:33" x14ac:dyDescent="0.35">
      <c r="A3564" s="1">
        <v>44692.443749999999</v>
      </c>
      <c r="B3564">
        <v>3300051</v>
      </c>
      <c r="C3564" t="s">
        <v>7321</v>
      </c>
      <c r="D3564" t="s">
        <v>1202</v>
      </c>
      <c r="E3564" s="2">
        <v>39478</v>
      </c>
      <c r="F3564" t="str">
        <f>"9780674042636"</f>
        <v>9780674042636</v>
      </c>
      <c r="G3564" t="str">
        <f>"9780674026674"</f>
        <v>9780674026674</v>
      </c>
      <c r="H3564" t="s">
        <v>404</v>
      </c>
      <c r="I3564" t="s">
        <v>7322</v>
      </c>
      <c r="J3564" t="s">
        <v>7323</v>
      </c>
      <c r="K3564" t="s">
        <v>44</v>
      </c>
      <c r="N3564" t="s">
        <v>45</v>
      </c>
      <c r="O3564" t="s">
        <v>46</v>
      </c>
      <c r="P3564" t="s">
        <v>177</v>
      </c>
      <c r="Q3564" t="s">
        <v>47</v>
      </c>
      <c r="R3564" t="s">
        <v>55</v>
      </c>
      <c r="S3564">
        <v>0</v>
      </c>
      <c r="W3564" s="3">
        <v>1.3078703703703705E-3</v>
      </c>
      <c r="X3564" t="s">
        <v>7324</v>
      </c>
      <c r="Y3564">
        <v>12</v>
      </c>
      <c r="Z3564">
        <v>0</v>
      </c>
      <c r="AA3564" t="s">
        <v>49</v>
      </c>
      <c r="AB3564">
        <v>0</v>
      </c>
      <c r="AC3564" t="s">
        <v>49</v>
      </c>
      <c r="AD3564">
        <v>0</v>
      </c>
      <c r="AE3564">
        <v>10312756</v>
      </c>
      <c r="AF3564" t="s">
        <v>50</v>
      </c>
      <c r="AG3564" t="s">
        <v>7146</v>
      </c>
    </row>
    <row r="3565" spans="1:33" x14ac:dyDescent="0.35">
      <c r="A3565" s="1">
        <v>44692.38958333333</v>
      </c>
      <c r="B3565">
        <v>3037869</v>
      </c>
      <c r="C3565" t="s">
        <v>7325</v>
      </c>
      <c r="D3565" t="s">
        <v>7326</v>
      </c>
      <c r="E3565" s="2">
        <v>39083</v>
      </c>
      <c r="F3565" t="str">
        <f>"9781603445030"</f>
        <v>9781603445030</v>
      </c>
      <c r="G3565" t="str">
        <f>"9781585445806"</f>
        <v>9781585445806</v>
      </c>
      <c r="H3565" t="s">
        <v>658</v>
      </c>
      <c r="I3565" t="s">
        <v>7327</v>
      </c>
      <c r="J3565" t="s">
        <v>7328</v>
      </c>
      <c r="K3565" t="s">
        <v>44</v>
      </c>
      <c r="N3565" t="s">
        <v>45</v>
      </c>
      <c r="O3565" t="s">
        <v>46</v>
      </c>
      <c r="P3565" t="s">
        <v>45</v>
      </c>
      <c r="Q3565" t="s">
        <v>47</v>
      </c>
      <c r="R3565" t="s">
        <v>44</v>
      </c>
      <c r="S3565">
        <v>0</v>
      </c>
      <c r="W3565" s="3">
        <v>5.3240740740740744E-4</v>
      </c>
      <c r="X3565" t="s">
        <v>417</v>
      </c>
      <c r="Y3565">
        <v>11</v>
      </c>
      <c r="Z3565">
        <v>0</v>
      </c>
      <c r="AA3565" t="s">
        <v>49</v>
      </c>
      <c r="AB3565">
        <v>0</v>
      </c>
      <c r="AC3565" t="s">
        <v>49</v>
      </c>
      <c r="AD3565">
        <v>0</v>
      </c>
      <c r="AE3565">
        <v>10447184</v>
      </c>
      <c r="AF3565" t="s">
        <v>50</v>
      </c>
      <c r="AG3565" t="s">
        <v>7329</v>
      </c>
    </row>
    <row r="3566" spans="1:33" x14ac:dyDescent="0.35">
      <c r="A3566" s="1">
        <v>44692.060416666667</v>
      </c>
      <c r="B3566">
        <v>3052004</v>
      </c>
      <c r="C3566" t="s">
        <v>7330</v>
      </c>
      <c r="D3566" t="s">
        <v>125</v>
      </c>
      <c r="E3566" s="2">
        <v>38477</v>
      </c>
      <c r="F3566" t="str">
        <f>"9780198035046"</f>
        <v>9780198035046</v>
      </c>
      <c r="G3566" t="str">
        <f>"9780195154054"</f>
        <v>9780195154054</v>
      </c>
      <c r="H3566" t="s">
        <v>151</v>
      </c>
      <c r="I3566">
        <v>616.89</v>
      </c>
      <c r="J3566" t="s">
        <v>7331</v>
      </c>
      <c r="K3566" t="s">
        <v>44</v>
      </c>
      <c r="N3566" t="s">
        <v>45</v>
      </c>
      <c r="O3566" t="s">
        <v>46</v>
      </c>
      <c r="P3566" t="s">
        <v>45</v>
      </c>
      <c r="Q3566" t="s">
        <v>47</v>
      </c>
      <c r="R3566" t="s">
        <v>44</v>
      </c>
      <c r="S3566">
        <v>0</v>
      </c>
      <c r="W3566" s="3">
        <v>2.6620370370370372E-4</v>
      </c>
      <c r="X3566" t="s">
        <v>1690</v>
      </c>
      <c r="Y3566">
        <v>3</v>
      </c>
      <c r="Z3566">
        <v>0</v>
      </c>
      <c r="AA3566" t="s">
        <v>49</v>
      </c>
      <c r="AB3566">
        <v>0</v>
      </c>
      <c r="AC3566" t="s">
        <v>49</v>
      </c>
      <c r="AD3566">
        <v>0</v>
      </c>
      <c r="AE3566">
        <v>10103601</v>
      </c>
      <c r="AF3566" t="s">
        <v>50</v>
      </c>
      <c r="AG3566" t="s">
        <v>7146</v>
      </c>
    </row>
    <row r="3567" spans="1:33" x14ac:dyDescent="0.35">
      <c r="A3567" s="1">
        <v>44691.8125</v>
      </c>
      <c r="B3567">
        <v>3017646</v>
      </c>
      <c r="C3567" t="s">
        <v>7332</v>
      </c>
      <c r="D3567" t="s">
        <v>4615</v>
      </c>
      <c r="E3567" s="2">
        <v>39661</v>
      </c>
      <c r="F3567" t="str">
        <f>"9781889057521"</f>
        <v>9781889057521</v>
      </c>
      <c r="G3567" t="str">
        <f>"9781889057491"</f>
        <v>9781889057491</v>
      </c>
      <c r="H3567" t="s">
        <v>43</v>
      </c>
      <c r="J3567" t="s">
        <v>7333</v>
      </c>
      <c r="K3567" t="s">
        <v>44</v>
      </c>
      <c r="N3567" t="s">
        <v>45</v>
      </c>
      <c r="O3567" t="s">
        <v>46</v>
      </c>
      <c r="P3567" t="s">
        <v>45</v>
      </c>
      <c r="Q3567" t="s">
        <v>47</v>
      </c>
      <c r="R3567" t="s">
        <v>44</v>
      </c>
      <c r="S3567">
        <v>0</v>
      </c>
      <c r="W3567" s="3">
        <v>3.9351851851851852E-4</v>
      </c>
      <c r="X3567" t="s">
        <v>3325</v>
      </c>
      <c r="Y3567">
        <v>5</v>
      </c>
      <c r="Z3567">
        <v>0</v>
      </c>
      <c r="AA3567" t="s">
        <v>49</v>
      </c>
      <c r="AB3567">
        <v>0</v>
      </c>
      <c r="AC3567" t="s">
        <v>49</v>
      </c>
      <c r="AD3567">
        <v>0</v>
      </c>
      <c r="AE3567">
        <v>10256736</v>
      </c>
      <c r="AF3567" t="s">
        <v>50</v>
      </c>
      <c r="AG3567" t="s">
        <v>1451</v>
      </c>
    </row>
    <row r="3568" spans="1:33" x14ac:dyDescent="0.35">
      <c r="A3568" s="1">
        <v>44691.811805555553</v>
      </c>
      <c r="B3568">
        <v>4877020</v>
      </c>
      <c r="C3568" t="s">
        <v>7334</v>
      </c>
      <c r="D3568" t="s">
        <v>199</v>
      </c>
      <c r="E3568" s="2">
        <v>42856</v>
      </c>
      <c r="F3568" t="str">
        <f>"9781423234951"</f>
        <v>9781423234951</v>
      </c>
      <c r="G3568" t="str">
        <f>"9781423234746"</f>
        <v>9781423234746</v>
      </c>
      <c r="H3568" t="s">
        <v>43</v>
      </c>
      <c r="I3568">
        <v>510.76</v>
      </c>
      <c r="J3568" t="s">
        <v>7335</v>
      </c>
      <c r="K3568" t="s">
        <v>44</v>
      </c>
      <c r="N3568" t="s">
        <v>45</v>
      </c>
      <c r="O3568" t="s">
        <v>46</v>
      </c>
      <c r="P3568" t="s">
        <v>45</v>
      </c>
      <c r="Q3568" t="s">
        <v>47</v>
      </c>
      <c r="R3568" t="s">
        <v>44</v>
      </c>
      <c r="S3568">
        <v>0</v>
      </c>
      <c r="W3568" s="3">
        <v>3.2407407407407406E-4</v>
      </c>
      <c r="X3568" t="s">
        <v>2249</v>
      </c>
      <c r="Y3568">
        <v>6</v>
      </c>
      <c r="Z3568">
        <v>0</v>
      </c>
      <c r="AA3568" t="s">
        <v>49</v>
      </c>
      <c r="AB3568">
        <v>0</v>
      </c>
      <c r="AC3568" t="s">
        <v>49</v>
      </c>
      <c r="AD3568">
        <v>0</v>
      </c>
      <c r="AE3568">
        <v>11397702</v>
      </c>
      <c r="AF3568" t="s">
        <v>50</v>
      </c>
      <c r="AG3568" t="s">
        <v>1451</v>
      </c>
    </row>
    <row r="3569" spans="1:33" x14ac:dyDescent="0.35">
      <c r="A3569" s="1">
        <v>44691.722916666666</v>
      </c>
      <c r="B3569">
        <v>1996696</v>
      </c>
      <c r="C3569" t="s">
        <v>7306</v>
      </c>
      <c r="D3569" t="s">
        <v>7307</v>
      </c>
      <c r="E3569" s="2">
        <v>42074</v>
      </c>
      <c r="F3569" t="str">
        <f>"9789088903045"</f>
        <v>9789088903045</v>
      </c>
      <c r="G3569" t="str">
        <f>"9789088903038"</f>
        <v>9789088903038</v>
      </c>
      <c r="H3569" t="s">
        <v>7308</v>
      </c>
      <c r="I3569">
        <v>930.1</v>
      </c>
      <c r="J3569" t="s">
        <v>7309</v>
      </c>
      <c r="K3569" t="s">
        <v>44</v>
      </c>
      <c r="N3569" t="s">
        <v>45</v>
      </c>
      <c r="O3569" t="s">
        <v>46</v>
      </c>
      <c r="P3569" t="s">
        <v>45</v>
      </c>
      <c r="Q3569" t="s">
        <v>47</v>
      </c>
      <c r="R3569" t="s">
        <v>44</v>
      </c>
      <c r="S3569">
        <v>0</v>
      </c>
      <c r="W3569" s="3">
        <v>8.1018518518518516E-5</v>
      </c>
      <c r="X3569" t="s">
        <v>121</v>
      </c>
      <c r="Y3569">
        <v>1</v>
      </c>
      <c r="Z3569">
        <v>0</v>
      </c>
      <c r="AA3569" t="s">
        <v>49</v>
      </c>
      <c r="AB3569">
        <v>0</v>
      </c>
      <c r="AC3569" t="s">
        <v>49</v>
      </c>
      <c r="AD3569">
        <v>0</v>
      </c>
      <c r="AE3569">
        <v>11035313</v>
      </c>
      <c r="AF3569" t="s">
        <v>50</v>
      </c>
      <c r="AG3569" t="s">
        <v>7336</v>
      </c>
    </row>
    <row r="3570" spans="1:33" x14ac:dyDescent="0.35">
      <c r="A3570" s="1">
        <v>44691.600694444445</v>
      </c>
      <c r="B3570">
        <v>5092727</v>
      </c>
      <c r="C3570" t="s">
        <v>7260</v>
      </c>
      <c r="D3570" t="s">
        <v>59</v>
      </c>
      <c r="E3570" s="2">
        <v>43192</v>
      </c>
      <c r="F3570" t="str">
        <f>"9781118747735"</f>
        <v>9781118747735</v>
      </c>
      <c r="G3570" t="str">
        <f>"9781118747698"</f>
        <v>9781118747698</v>
      </c>
      <c r="H3570" t="s">
        <v>1046</v>
      </c>
      <c r="I3570">
        <v>307.76</v>
      </c>
      <c r="J3570" t="s">
        <v>7261</v>
      </c>
      <c r="K3570" t="s">
        <v>44</v>
      </c>
      <c r="N3570" t="s">
        <v>45</v>
      </c>
      <c r="O3570" t="s">
        <v>46</v>
      </c>
      <c r="P3570" t="s">
        <v>45</v>
      </c>
      <c r="Q3570" t="s">
        <v>47</v>
      </c>
      <c r="R3570" t="s">
        <v>44</v>
      </c>
      <c r="S3570">
        <v>0</v>
      </c>
      <c r="W3570" s="3">
        <v>6.9791666666666674E-3</v>
      </c>
      <c r="X3570" t="s">
        <v>7337</v>
      </c>
      <c r="Y3570">
        <v>12</v>
      </c>
      <c r="Z3570">
        <v>0</v>
      </c>
      <c r="AA3570" t="s">
        <v>49</v>
      </c>
      <c r="AB3570">
        <v>0</v>
      </c>
      <c r="AC3570" t="s">
        <v>49</v>
      </c>
      <c r="AD3570">
        <v>0</v>
      </c>
      <c r="AE3570">
        <v>11451484</v>
      </c>
      <c r="AF3570" t="s">
        <v>50</v>
      </c>
      <c r="AG3570" t="s">
        <v>7338</v>
      </c>
    </row>
    <row r="3571" spans="1:33" x14ac:dyDescent="0.35">
      <c r="A3571" s="1">
        <v>44691.481249999997</v>
      </c>
      <c r="B3571">
        <v>1744264</v>
      </c>
      <c r="C3571" t="s">
        <v>7339</v>
      </c>
      <c r="D3571" t="s">
        <v>59</v>
      </c>
      <c r="E3571" s="2">
        <v>41876</v>
      </c>
      <c r="F3571" t="str">
        <f>"9781118911174"</f>
        <v>9781118911174</v>
      </c>
      <c r="G3571" t="str">
        <f>"9781118485484"</f>
        <v>9781118485484</v>
      </c>
      <c r="H3571" t="s">
        <v>1238</v>
      </c>
      <c r="I3571">
        <v>621.46028552999996</v>
      </c>
      <c r="J3571" t="s">
        <v>7340</v>
      </c>
      <c r="K3571" t="s">
        <v>44</v>
      </c>
      <c r="N3571" t="s">
        <v>45</v>
      </c>
      <c r="O3571" t="s">
        <v>46</v>
      </c>
      <c r="P3571" t="s">
        <v>45</v>
      </c>
      <c r="Q3571" t="s">
        <v>47</v>
      </c>
      <c r="R3571" t="s">
        <v>44</v>
      </c>
      <c r="S3571">
        <v>0</v>
      </c>
      <c r="W3571" s="3">
        <v>0</v>
      </c>
      <c r="X3571" t="s">
        <v>49</v>
      </c>
      <c r="Y3571">
        <v>0</v>
      </c>
      <c r="Z3571">
        <v>0</v>
      </c>
      <c r="AA3571" t="s">
        <v>49</v>
      </c>
      <c r="AB3571">
        <v>0</v>
      </c>
      <c r="AC3571" t="s">
        <v>49</v>
      </c>
      <c r="AD3571">
        <v>0</v>
      </c>
      <c r="AE3571">
        <v>10896038</v>
      </c>
      <c r="AF3571" t="s">
        <v>50</v>
      </c>
      <c r="AG3571" t="s">
        <v>7263</v>
      </c>
    </row>
    <row r="3572" spans="1:33" x14ac:dyDescent="0.35">
      <c r="A3572" s="1">
        <v>44691.053472222222</v>
      </c>
      <c r="B3572">
        <v>692189</v>
      </c>
      <c r="C3572" t="s">
        <v>7256</v>
      </c>
      <c r="D3572" t="s">
        <v>7257</v>
      </c>
      <c r="E3572" s="2">
        <v>40466</v>
      </c>
      <c r="F3572" t="str">
        <f>"9781861898920"</f>
        <v>9781861898920</v>
      </c>
      <c r="G3572" t="str">
        <f>"9781861897763"</f>
        <v>9781861897763</v>
      </c>
      <c r="H3572" t="s">
        <v>7258</v>
      </c>
      <c r="I3572">
        <v>641.33720000000005</v>
      </c>
      <c r="K3572" t="s">
        <v>44</v>
      </c>
      <c r="N3572" t="s">
        <v>45</v>
      </c>
      <c r="O3572" t="s">
        <v>46</v>
      </c>
      <c r="P3572" t="s">
        <v>177</v>
      </c>
      <c r="Q3572" t="s">
        <v>47</v>
      </c>
      <c r="R3572" t="s">
        <v>55</v>
      </c>
      <c r="S3572">
        <v>0</v>
      </c>
      <c r="W3572" s="3">
        <v>1.6203703703703703E-4</v>
      </c>
      <c r="X3572" t="s">
        <v>7341</v>
      </c>
      <c r="Y3572">
        <v>3</v>
      </c>
      <c r="Z3572">
        <v>0</v>
      </c>
      <c r="AA3572" t="s">
        <v>49</v>
      </c>
      <c r="AB3572">
        <v>0</v>
      </c>
      <c r="AC3572" t="s">
        <v>49</v>
      </c>
      <c r="AD3572">
        <v>0</v>
      </c>
      <c r="AE3572">
        <v>10470242</v>
      </c>
      <c r="AF3572" t="s">
        <v>50</v>
      </c>
      <c r="AG3572" t="s">
        <v>7146</v>
      </c>
    </row>
    <row r="3573" spans="1:33" x14ac:dyDescent="0.35">
      <c r="A3573" s="1">
        <v>44690.975694444445</v>
      </c>
      <c r="B3573">
        <v>4403827</v>
      </c>
      <c r="C3573" t="s">
        <v>7342</v>
      </c>
      <c r="D3573" t="s">
        <v>7343</v>
      </c>
      <c r="E3573" s="2">
        <v>41277</v>
      </c>
      <c r="F3573" t="str">
        <f>"9781612777085"</f>
        <v>9781612777085</v>
      </c>
      <c r="G3573" t="str">
        <f>""</f>
        <v/>
      </c>
      <c r="H3573" t="s">
        <v>1069</v>
      </c>
      <c r="I3573">
        <v>813.52</v>
      </c>
      <c r="J3573" t="s">
        <v>7344</v>
      </c>
      <c r="K3573" t="s">
        <v>44</v>
      </c>
      <c r="N3573" t="s">
        <v>45</v>
      </c>
      <c r="O3573" t="s">
        <v>46</v>
      </c>
      <c r="P3573" t="s">
        <v>45</v>
      </c>
      <c r="Q3573" t="s">
        <v>47</v>
      </c>
      <c r="R3573" t="s">
        <v>44</v>
      </c>
      <c r="S3573">
        <v>0</v>
      </c>
      <c r="W3573" s="3">
        <v>4.8263888888888887E-3</v>
      </c>
      <c r="X3573" t="s">
        <v>205</v>
      </c>
      <c r="Y3573">
        <v>2</v>
      </c>
      <c r="Z3573">
        <v>0</v>
      </c>
      <c r="AA3573" t="s">
        <v>49</v>
      </c>
      <c r="AB3573">
        <v>0</v>
      </c>
      <c r="AC3573" t="s">
        <v>49</v>
      </c>
      <c r="AD3573">
        <v>0</v>
      </c>
      <c r="AE3573">
        <v>11372160</v>
      </c>
      <c r="AF3573" t="s">
        <v>50</v>
      </c>
      <c r="AG3573" t="s">
        <v>7205</v>
      </c>
    </row>
    <row r="3574" spans="1:33" x14ac:dyDescent="0.35">
      <c r="A3574" s="1">
        <v>44690.974305555559</v>
      </c>
      <c r="B3574">
        <v>3407056</v>
      </c>
      <c r="C3574" t="s">
        <v>7345</v>
      </c>
      <c r="D3574" t="s">
        <v>645</v>
      </c>
      <c r="E3574" s="2">
        <v>40969</v>
      </c>
      <c r="F3574" t="str">
        <f>"9781438439808"</f>
        <v>9781438439808</v>
      </c>
      <c r="G3574" t="str">
        <f>"9781438439792"</f>
        <v>9781438439792</v>
      </c>
      <c r="H3574" t="s">
        <v>1069</v>
      </c>
      <c r="I3574" t="s">
        <v>7346</v>
      </c>
      <c r="J3574" t="s">
        <v>7347</v>
      </c>
      <c r="K3574" t="s">
        <v>44</v>
      </c>
      <c r="N3574" t="s">
        <v>45</v>
      </c>
      <c r="O3574" t="s">
        <v>46</v>
      </c>
      <c r="P3574" t="s">
        <v>45</v>
      </c>
      <c r="Q3574" t="s">
        <v>47</v>
      </c>
      <c r="R3574" t="s">
        <v>44</v>
      </c>
      <c r="S3574">
        <v>0</v>
      </c>
      <c r="W3574" s="3">
        <v>9.8379629629629642E-4</v>
      </c>
      <c r="X3574" t="s">
        <v>7348</v>
      </c>
      <c r="Y3574">
        <v>14</v>
      </c>
      <c r="Z3574">
        <v>0</v>
      </c>
      <c r="AA3574" t="s">
        <v>49</v>
      </c>
      <c r="AB3574">
        <v>0</v>
      </c>
      <c r="AC3574" t="s">
        <v>49</v>
      </c>
      <c r="AD3574">
        <v>0</v>
      </c>
      <c r="AE3574">
        <v>10570798</v>
      </c>
      <c r="AF3574" t="s">
        <v>50</v>
      </c>
      <c r="AG3574" t="s">
        <v>7205</v>
      </c>
    </row>
    <row r="3575" spans="1:33" x14ac:dyDescent="0.35">
      <c r="A3575" s="1">
        <v>44690.962500000001</v>
      </c>
      <c r="B3575">
        <v>797560</v>
      </c>
      <c r="C3575" t="s">
        <v>7349</v>
      </c>
      <c r="D3575" t="s">
        <v>2150</v>
      </c>
      <c r="E3575" s="2">
        <v>40878</v>
      </c>
      <c r="F3575" t="str">
        <f>"9781617050886"</f>
        <v>9781617050886</v>
      </c>
      <c r="G3575" t="str">
        <f>"9781936287451"</f>
        <v>9781936287451</v>
      </c>
      <c r="H3575" t="s">
        <v>77</v>
      </c>
      <c r="I3575" t="s">
        <v>7350</v>
      </c>
      <c r="J3575" t="s">
        <v>7351</v>
      </c>
      <c r="K3575" t="s">
        <v>44</v>
      </c>
      <c r="N3575" t="s">
        <v>45</v>
      </c>
      <c r="O3575" t="s">
        <v>46</v>
      </c>
      <c r="P3575" t="s">
        <v>45</v>
      </c>
      <c r="Q3575" t="s">
        <v>47</v>
      </c>
      <c r="R3575" t="s">
        <v>44</v>
      </c>
      <c r="S3575">
        <v>0</v>
      </c>
      <c r="W3575" s="3">
        <v>5.7870370370370366E-5</v>
      </c>
      <c r="X3575" t="s">
        <v>196</v>
      </c>
      <c r="Y3575">
        <v>2</v>
      </c>
      <c r="Z3575">
        <v>0</v>
      </c>
      <c r="AA3575" t="s">
        <v>49</v>
      </c>
      <c r="AB3575">
        <v>0</v>
      </c>
      <c r="AC3575" t="s">
        <v>49</v>
      </c>
      <c r="AD3575">
        <v>0</v>
      </c>
      <c r="AE3575">
        <v>10511616</v>
      </c>
      <c r="AF3575" t="s">
        <v>50</v>
      </c>
      <c r="AG3575" t="s">
        <v>7146</v>
      </c>
    </row>
    <row r="3576" spans="1:33" x14ac:dyDescent="0.35">
      <c r="A3576" s="1">
        <v>44690.950694444444</v>
      </c>
      <c r="B3576">
        <v>1895727</v>
      </c>
      <c r="C3576" t="s">
        <v>7352</v>
      </c>
      <c r="D3576" t="s">
        <v>59</v>
      </c>
      <c r="E3576" s="2">
        <v>42044</v>
      </c>
      <c r="F3576" t="str">
        <f>"9781118903421"</f>
        <v>9781118903421</v>
      </c>
      <c r="G3576" t="str">
        <f>"9781118581209"</f>
        <v>9781118581209</v>
      </c>
      <c r="H3576" t="s">
        <v>138</v>
      </c>
      <c r="I3576">
        <v>5.117</v>
      </c>
      <c r="J3576" t="s">
        <v>7353</v>
      </c>
      <c r="K3576" t="s">
        <v>44</v>
      </c>
      <c r="N3576" t="s">
        <v>45</v>
      </c>
      <c r="O3576" t="s">
        <v>46</v>
      </c>
      <c r="P3576" t="s">
        <v>45</v>
      </c>
      <c r="Q3576" t="s">
        <v>47</v>
      </c>
      <c r="R3576" t="s">
        <v>44</v>
      </c>
      <c r="S3576">
        <v>0</v>
      </c>
      <c r="W3576" s="3">
        <v>3.7037037037037035E-4</v>
      </c>
      <c r="X3576" t="s">
        <v>7354</v>
      </c>
      <c r="Y3576">
        <v>5</v>
      </c>
      <c r="Z3576">
        <v>0</v>
      </c>
      <c r="AA3576" t="s">
        <v>49</v>
      </c>
      <c r="AB3576">
        <v>0</v>
      </c>
      <c r="AC3576" t="s">
        <v>49</v>
      </c>
      <c r="AD3576">
        <v>0</v>
      </c>
      <c r="AE3576">
        <v>11000348</v>
      </c>
      <c r="AF3576" t="s">
        <v>50</v>
      </c>
      <c r="AG3576" t="s">
        <v>300</v>
      </c>
    </row>
    <row r="3577" spans="1:33" x14ac:dyDescent="0.35">
      <c r="A3577" s="1">
        <v>44690.950694444444</v>
      </c>
      <c r="B3577">
        <v>1681744</v>
      </c>
      <c r="C3577" t="s">
        <v>7355</v>
      </c>
      <c r="D3577" t="s">
        <v>71</v>
      </c>
      <c r="E3577" s="2">
        <v>39971</v>
      </c>
      <c r="F3577" t="str">
        <f>"9789812818225"</f>
        <v>9789812818225</v>
      </c>
      <c r="G3577" t="str">
        <f>"9789812818218"</f>
        <v>9789812818218</v>
      </c>
      <c r="H3577" t="s">
        <v>1112</v>
      </c>
      <c r="I3577">
        <v>667</v>
      </c>
      <c r="J3577" t="s">
        <v>7356</v>
      </c>
      <c r="K3577" t="s">
        <v>44</v>
      </c>
      <c r="N3577" t="s">
        <v>45</v>
      </c>
      <c r="O3577" t="s">
        <v>46</v>
      </c>
      <c r="P3577" t="s">
        <v>45</v>
      </c>
      <c r="Q3577" t="s">
        <v>47</v>
      </c>
      <c r="R3577" t="s">
        <v>44</v>
      </c>
      <c r="S3577">
        <v>0</v>
      </c>
      <c r="W3577" s="3">
        <v>1.6030092592592592E-2</v>
      </c>
      <c r="X3577" t="s">
        <v>7357</v>
      </c>
      <c r="Y3577">
        <v>11</v>
      </c>
      <c r="Z3577">
        <v>0</v>
      </c>
      <c r="AA3577" t="s">
        <v>49</v>
      </c>
      <c r="AB3577">
        <v>0</v>
      </c>
      <c r="AC3577" t="s">
        <v>7358</v>
      </c>
      <c r="AD3577">
        <v>2</v>
      </c>
      <c r="AE3577">
        <v>10422378</v>
      </c>
      <c r="AF3577" t="s">
        <v>50</v>
      </c>
      <c r="AG3577" t="s">
        <v>7205</v>
      </c>
    </row>
    <row r="3578" spans="1:33" x14ac:dyDescent="0.35">
      <c r="A3578" s="1">
        <v>44690.869444444441</v>
      </c>
      <c r="B3578">
        <v>1744264</v>
      </c>
      <c r="C3578" t="s">
        <v>7339</v>
      </c>
      <c r="D3578" t="s">
        <v>59</v>
      </c>
      <c r="E3578" s="2">
        <v>41876</v>
      </c>
      <c r="F3578" t="str">
        <f>"9781118911174"</f>
        <v>9781118911174</v>
      </c>
      <c r="G3578" t="str">
        <f>"9781118485484"</f>
        <v>9781118485484</v>
      </c>
      <c r="H3578" t="s">
        <v>1238</v>
      </c>
      <c r="I3578">
        <v>621.46028552999996</v>
      </c>
      <c r="J3578" t="s">
        <v>7340</v>
      </c>
      <c r="K3578" t="s">
        <v>44</v>
      </c>
      <c r="N3578" t="s">
        <v>45</v>
      </c>
      <c r="O3578" t="s">
        <v>46</v>
      </c>
      <c r="P3578" t="s">
        <v>45</v>
      </c>
      <c r="Q3578" t="s">
        <v>47</v>
      </c>
      <c r="R3578" t="s">
        <v>44</v>
      </c>
      <c r="S3578">
        <v>0</v>
      </c>
      <c r="W3578" s="3">
        <v>5.6944444444444438E-3</v>
      </c>
      <c r="X3578" t="s">
        <v>7359</v>
      </c>
      <c r="Y3578">
        <v>13</v>
      </c>
      <c r="Z3578">
        <v>0</v>
      </c>
      <c r="AA3578" t="s">
        <v>49</v>
      </c>
      <c r="AB3578">
        <v>0</v>
      </c>
      <c r="AC3578" t="s">
        <v>3077</v>
      </c>
      <c r="AD3578">
        <v>1</v>
      </c>
      <c r="AE3578">
        <v>10896038</v>
      </c>
      <c r="AF3578" t="s">
        <v>50</v>
      </c>
      <c r="AG3578" t="s">
        <v>7263</v>
      </c>
    </row>
    <row r="3579" spans="1:33" x14ac:dyDescent="0.35">
      <c r="A3579" s="1">
        <v>44690.720833333333</v>
      </c>
      <c r="B3579">
        <v>1744264</v>
      </c>
      <c r="C3579" t="s">
        <v>7339</v>
      </c>
      <c r="D3579" t="s">
        <v>59</v>
      </c>
      <c r="E3579" s="2">
        <v>41876</v>
      </c>
      <c r="F3579" t="str">
        <f>"9781118911174"</f>
        <v>9781118911174</v>
      </c>
      <c r="G3579" t="str">
        <f>"9781118485484"</f>
        <v>9781118485484</v>
      </c>
      <c r="H3579" t="s">
        <v>1238</v>
      </c>
      <c r="I3579">
        <v>621.46028552999996</v>
      </c>
      <c r="J3579" t="s">
        <v>7340</v>
      </c>
      <c r="K3579" t="s">
        <v>44</v>
      </c>
      <c r="N3579" t="s">
        <v>45</v>
      </c>
      <c r="O3579" t="s">
        <v>46</v>
      </c>
      <c r="P3579" t="s">
        <v>45</v>
      </c>
      <c r="Q3579" t="s">
        <v>47</v>
      </c>
      <c r="R3579" t="s">
        <v>44</v>
      </c>
      <c r="S3579">
        <v>0</v>
      </c>
      <c r="W3579" s="3">
        <v>2.119212962962963E-2</v>
      </c>
      <c r="X3579" t="s">
        <v>7360</v>
      </c>
      <c r="Y3579">
        <v>11</v>
      </c>
      <c r="Z3579">
        <v>0</v>
      </c>
      <c r="AA3579" t="s">
        <v>49</v>
      </c>
      <c r="AB3579">
        <v>0</v>
      </c>
      <c r="AC3579" t="s">
        <v>49</v>
      </c>
      <c r="AD3579">
        <v>0</v>
      </c>
      <c r="AE3579">
        <v>10896038</v>
      </c>
      <c r="AF3579" t="s">
        <v>50</v>
      </c>
      <c r="AG3579" t="s">
        <v>7263</v>
      </c>
    </row>
    <row r="3580" spans="1:33" x14ac:dyDescent="0.35">
      <c r="A3580" s="1">
        <v>44690.686805555553</v>
      </c>
      <c r="B3580">
        <v>1744264</v>
      </c>
      <c r="C3580" t="s">
        <v>7339</v>
      </c>
      <c r="D3580" t="s">
        <v>59</v>
      </c>
      <c r="E3580" s="2">
        <v>41876</v>
      </c>
      <c r="F3580" t="str">
        <f>"9781118911174"</f>
        <v>9781118911174</v>
      </c>
      <c r="G3580" t="str">
        <f>"9781118485484"</f>
        <v>9781118485484</v>
      </c>
      <c r="H3580" t="s">
        <v>1238</v>
      </c>
      <c r="I3580">
        <v>621.46028552999996</v>
      </c>
      <c r="J3580" t="s">
        <v>7340</v>
      </c>
      <c r="K3580" t="s">
        <v>44</v>
      </c>
      <c r="N3580" t="s">
        <v>45</v>
      </c>
      <c r="O3580" t="s">
        <v>46</v>
      </c>
      <c r="P3580" t="s">
        <v>45</v>
      </c>
      <c r="Q3580" t="s">
        <v>47</v>
      </c>
      <c r="R3580" t="s">
        <v>44</v>
      </c>
      <c r="S3580">
        <v>0</v>
      </c>
      <c r="W3580" s="3">
        <v>5.7870370370370378E-4</v>
      </c>
      <c r="X3580" t="s">
        <v>7361</v>
      </c>
      <c r="Y3580">
        <v>12</v>
      </c>
      <c r="Z3580">
        <v>0</v>
      </c>
      <c r="AA3580" t="s">
        <v>49</v>
      </c>
      <c r="AB3580">
        <v>0</v>
      </c>
      <c r="AC3580" t="s">
        <v>49</v>
      </c>
      <c r="AD3580">
        <v>0</v>
      </c>
      <c r="AE3580">
        <v>10896038</v>
      </c>
      <c r="AF3580" t="s">
        <v>50</v>
      </c>
      <c r="AG3580" t="s">
        <v>7263</v>
      </c>
    </row>
    <row r="3581" spans="1:33" x14ac:dyDescent="0.35">
      <c r="A3581" s="1">
        <v>44690.616666666669</v>
      </c>
      <c r="B3581">
        <v>1744264</v>
      </c>
      <c r="C3581" t="s">
        <v>7339</v>
      </c>
      <c r="D3581" t="s">
        <v>59</v>
      </c>
      <c r="E3581" s="2">
        <v>41876</v>
      </c>
      <c r="F3581" t="str">
        <f>"9781118911174"</f>
        <v>9781118911174</v>
      </c>
      <c r="G3581" t="str">
        <f>"9781118485484"</f>
        <v>9781118485484</v>
      </c>
      <c r="H3581" t="s">
        <v>1238</v>
      </c>
      <c r="I3581">
        <v>621.46028552999996</v>
      </c>
      <c r="J3581" t="s">
        <v>7340</v>
      </c>
      <c r="K3581" t="s">
        <v>44</v>
      </c>
      <c r="N3581" t="s">
        <v>45</v>
      </c>
      <c r="O3581" t="s">
        <v>46</v>
      </c>
      <c r="P3581" t="s">
        <v>45</v>
      </c>
      <c r="Q3581" t="s">
        <v>47</v>
      </c>
      <c r="R3581" t="s">
        <v>44</v>
      </c>
      <c r="S3581">
        <v>0</v>
      </c>
      <c r="W3581" s="3">
        <v>2.1064814814814814E-2</v>
      </c>
      <c r="X3581" t="s">
        <v>7362</v>
      </c>
      <c r="Y3581">
        <v>16</v>
      </c>
      <c r="Z3581">
        <v>0</v>
      </c>
      <c r="AA3581" t="s">
        <v>49</v>
      </c>
      <c r="AB3581">
        <v>0</v>
      </c>
      <c r="AC3581" t="s">
        <v>49</v>
      </c>
      <c r="AD3581">
        <v>0</v>
      </c>
      <c r="AE3581">
        <v>10896038</v>
      </c>
      <c r="AF3581" t="s">
        <v>50</v>
      </c>
      <c r="AG3581" t="s">
        <v>7263</v>
      </c>
    </row>
    <row r="3582" spans="1:33" x14ac:dyDescent="0.35">
      <c r="A3582" s="1">
        <v>44690.509722222225</v>
      </c>
      <c r="B3582">
        <v>797560</v>
      </c>
      <c r="C3582" t="s">
        <v>7349</v>
      </c>
      <c r="D3582" t="s">
        <v>2150</v>
      </c>
      <c r="E3582" s="2">
        <v>40878</v>
      </c>
      <c r="F3582" t="str">
        <f>"9781617050886"</f>
        <v>9781617050886</v>
      </c>
      <c r="G3582" t="str">
        <f>"9781936287451"</f>
        <v>9781936287451</v>
      </c>
      <c r="H3582" t="s">
        <v>77</v>
      </c>
      <c r="I3582" t="s">
        <v>7350</v>
      </c>
      <c r="J3582" t="s">
        <v>7351</v>
      </c>
      <c r="K3582" t="s">
        <v>44</v>
      </c>
      <c r="N3582" t="s">
        <v>45</v>
      </c>
      <c r="O3582" t="s">
        <v>46</v>
      </c>
      <c r="P3582" t="s">
        <v>45</v>
      </c>
      <c r="Q3582" t="s">
        <v>47</v>
      </c>
      <c r="R3582" t="s">
        <v>44</v>
      </c>
      <c r="S3582">
        <v>0</v>
      </c>
      <c r="W3582" s="3">
        <v>2.6620370370370372E-4</v>
      </c>
      <c r="X3582" t="s">
        <v>7363</v>
      </c>
      <c r="Y3582">
        <v>4</v>
      </c>
      <c r="Z3582">
        <v>0</v>
      </c>
      <c r="AA3582" t="s">
        <v>49</v>
      </c>
      <c r="AB3582">
        <v>0</v>
      </c>
      <c r="AC3582" t="s">
        <v>49</v>
      </c>
      <c r="AD3582">
        <v>0</v>
      </c>
      <c r="AE3582">
        <v>10511616</v>
      </c>
      <c r="AF3582" t="s">
        <v>50</v>
      </c>
      <c r="AG3582" t="s">
        <v>7205</v>
      </c>
    </row>
    <row r="3583" spans="1:33" x14ac:dyDescent="0.35">
      <c r="A3583" s="1">
        <v>44690.506944444445</v>
      </c>
      <c r="B3583">
        <v>297133</v>
      </c>
      <c r="C3583" t="s">
        <v>7364</v>
      </c>
      <c r="D3583" t="s">
        <v>76</v>
      </c>
      <c r="E3583" s="2">
        <v>38266</v>
      </c>
      <c r="F3583" t="str">
        <f>"9780080496023"</f>
        <v>9780080496023</v>
      </c>
      <c r="G3583" t="str">
        <f>"9780750660891"</f>
        <v>9780750660891</v>
      </c>
      <c r="H3583" t="s">
        <v>7365</v>
      </c>
      <c r="I3583">
        <v>727.5</v>
      </c>
      <c r="J3583" t="s">
        <v>7366</v>
      </c>
      <c r="K3583" t="s">
        <v>44</v>
      </c>
      <c r="N3583" t="s">
        <v>45</v>
      </c>
      <c r="O3583" t="s">
        <v>46</v>
      </c>
      <c r="P3583" t="s">
        <v>45</v>
      </c>
      <c r="Q3583" t="s">
        <v>47</v>
      </c>
      <c r="R3583" t="s">
        <v>44</v>
      </c>
      <c r="S3583">
        <v>0</v>
      </c>
      <c r="W3583" s="3">
        <v>1.4699074074074074E-3</v>
      </c>
      <c r="X3583" t="s">
        <v>7367</v>
      </c>
      <c r="Y3583">
        <v>19</v>
      </c>
      <c r="Z3583">
        <v>0</v>
      </c>
      <c r="AA3583" t="s">
        <v>49</v>
      </c>
      <c r="AB3583">
        <v>0</v>
      </c>
      <c r="AC3583" t="s">
        <v>49</v>
      </c>
      <c r="AD3583">
        <v>0</v>
      </c>
      <c r="AE3583">
        <v>10180814</v>
      </c>
      <c r="AF3583" t="s">
        <v>50</v>
      </c>
      <c r="AG3583" t="s">
        <v>7205</v>
      </c>
    </row>
    <row r="3584" spans="1:33" x14ac:dyDescent="0.35">
      <c r="A3584" s="1">
        <v>44690.504861111112</v>
      </c>
      <c r="B3584">
        <v>445373</v>
      </c>
      <c r="C3584" t="s">
        <v>7368</v>
      </c>
      <c r="D3584" t="s">
        <v>7369</v>
      </c>
      <c r="E3584" s="2">
        <v>39173</v>
      </c>
      <c r="F3584" t="str">
        <f>"9781569762707"</f>
        <v>9781569762707</v>
      </c>
      <c r="G3584" t="str">
        <f>"9781556526701"</f>
        <v>9781556526701</v>
      </c>
      <c r="H3584" t="s">
        <v>7370</v>
      </c>
      <c r="I3584" t="s">
        <v>7371</v>
      </c>
      <c r="J3584" t="s">
        <v>7372</v>
      </c>
      <c r="K3584" t="s">
        <v>44</v>
      </c>
      <c r="N3584" t="s">
        <v>45</v>
      </c>
      <c r="O3584" t="s">
        <v>46</v>
      </c>
      <c r="P3584" t="s">
        <v>45</v>
      </c>
      <c r="Q3584" t="s">
        <v>47</v>
      </c>
      <c r="R3584" t="s">
        <v>44</v>
      </c>
      <c r="S3584">
        <v>0</v>
      </c>
      <c r="W3584" s="3">
        <v>9.1435185185185185E-4</v>
      </c>
      <c r="X3584" t="s">
        <v>7373</v>
      </c>
      <c r="Y3584">
        <v>10</v>
      </c>
      <c r="Z3584">
        <v>0</v>
      </c>
      <c r="AA3584" t="s">
        <v>49</v>
      </c>
      <c r="AB3584">
        <v>0</v>
      </c>
      <c r="AC3584" t="s">
        <v>49</v>
      </c>
      <c r="AD3584">
        <v>0</v>
      </c>
      <c r="AE3584">
        <v>10308941</v>
      </c>
      <c r="AF3584" t="s">
        <v>50</v>
      </c>
      <c r="AG3584" t="s">
        <v>7205</v>
      </c>
    </row>
    <row r="3585" spans="1:33" x14ac:dyDescent="0.35">
      <c r="A3585" s="1">
        <v>44690.497916666667</v>
      </c>
      <c r="B3585">
        <v>1354400</v>
      </c>
      <c r="C3585" t="s">
        <v>7311</v>
      </c>
      <c r="D3585" t="s">
        <v>1585</v>
      </c>
      <c r="E3585" s="2">
        <v>36782</v>
      </c>
      <c r="F3585" t="str">
        <f>"9780809390373"</f>
        <v>9780809390373</v>
      </c>
      <c r="G3585" t="str">
        <f>"9780809323425"</f>
        <v>9780809323425</v>
      </c>
      <c r="H3585" t="s">
        <v>667</v>
      </c>
      <c r="J3585" t="s">
        <v>7312</v>
      </c>
      <c r="K3585" t="s">
        <v>44</v>
      </c>
      <c r="N3585" t="s">
        <v>45</v>
      </c>
      <c r="O3585" t="s">
        <v>46</v>
      </c>
      <c r="P3585" t="s">
        <v>45</v>
      </c>
      <c r="Q3585" t="s">
        <v>47</v>
      </c>
      <c r="R3585" t="s">
        <v>44</v>
      </c>
      <c r="S3585">
        <v>0</v>
      </c>
      <c r="W3585" s="3">
        <v>4.6296296296296294E-5</v>
      </c>
      <c r="X3585" t="s">
        <v>121</v>
      </c>
      <c r="Y3585">
        <v>1</v>
      </c>
      <c r="Z3585">
        <v>0</v>
      </c>
      <c r="AA3585" t="s">
        <v>49</v>
      </c>
      <c r="AB3585">
        <v>0</v>
      </c>
      <c r="AC3585" t="s">
        <v>49</v>
      </c>
      <c r="AD3585">
        <v>0</v>
      </c>
      <c r="AE3585">
        <v>10555641</v>
      </c>
      <c r="AF3585" t="s">
        <v>50</v>
      </c>
      <c r="AG3585" t="s">
        <v>7146</v>
      </c>
    </row>
    <row r="3586" spans="1:33" x14ac:dyDescent="0.35">
      <c r="A3586" s="1">
        <v>44690.48333333333</v>
      </c>
      <c r="B3586">
        <v>4558133</v>
      </c>
      <c r="C3586" t="s">
        <v>7374</v>
      </c>
      <c r="D3586" t="s">
        <v>59</v>
      </c>
      <c r="E3586" s="2">
        <v>42626</v>
      </c>
      <c r="F3586" t="str">
        <f>"9783527693085"</f>
        <v>9783527693085</v>
      </c>
      <c r="G3586" t="str">
        <f>"9783527338740"</f>
        <v>9783527338740</v>
      </c>
      <c r="H3586" t="s">
        <v>1040</v>
      </c>
      <c r="I3586">
        <v>547.04999999999995</v>
      </c>
      <c r="J3586" t="s">
        <v>7375</v>
      </c>
      <c r="K3586" t="s">
        <v>44</v>
      </c>
      <c r="N3586" t="s">
        <v>45</v>
      </c>
      <c r="O3586" t="s">
        <v>46</v>
      </c>
      <c r="P3586" t="s">
        <v>45</v>
      </c>
      <c r="Q3586" t="s">
        <v>47</v>
      </c>
      <c r="R3586" t="s">
        <v>44</v>
      </c>
      <c r="S3586">
        <v>1</v>
      </c>
      <c r="W3586" s="3">
        <v>1.9409722222222221E-2</v>
      </c>
      <c r="X3586" t="s">
        <v>7376</v>
      </c>
      <c r="Y3586">
        <v>177</v>
      </c>
      <c r="Z3586">
        <v>8</v>
      </c>
      <c r="AA3586" t="s">
        <v>7377</v>
      </c>
      <c r="AB3586">
        <v>242</v>
      </c>
      <c r="AC3586" t="s">
        <v>49</v>
      </c>
      <c r="AD3586">
        <v>0</v>
      </c>
      <c r="AE3586">
        <v>11223897</v>
      </c>
      <c r="AF3586" t="s">
        <v>63</v>
      </c>
      <c r="AG3586" t="s">
        <v>7146</v>
      </c>
    </row>
    <row r="3587" spans="1:33" x14ac:dyDescent="0.35">
      <c r="A3587" s="1">
        <v>44690.481944444444</v>
      </c>
      <c r="B3587">
        <v>4558133</v>
      </c>
      <c r="C3587" t="s">
        <v>7374</v>
      </c>
      <c r="D3587" t="s">
        <v>59</v>
      </c>
      <c r="E3587" s="2">
        <v>42626</v>
      </c>
      <c r="F3587" t="str">
        <f>"9783527693085"</f>
        <v>9783527693085</v>
      </c>
      <c r="G3587" t="str">
        <f>"9783527338740"</f>
        <v>9783527338740</v>
      </c>
      <c r="H3587" t="s">
        <v>1040</v>
      </c>
      <c r="I3587">
        <v>547.04999999999995</v>
      </c>
      <c r="J3587" t="s">
        <v>7375</v>
      </c>
      <c r="K3587" t="s">
        <v>44</v>
      </c>
      <c r="N3587" t="s">
        <v>45</v>
      </c>
      <c r="O3587" t="s">
        <v>46</v>
      </c>
      <c r="P3587" t="s">
        <v>45</v>
      </c>
      <c r="Q3587" t="s">
        <v>47</v>
      </c>
      <c r="R3587" t="s">
        <v>44</v>
      </c>
      <c r="S3587">
        <v>0</v>
      </c>
      <c r="W3587" s="3">
        <v>1.4120370370370369E-3</v>
      </c>
      <c r="X3587" t="s">
        <v>7378</v>
      </c>
      <c r="Y3587">
        <v>4</v>
      </c>
      <c r="Z3587">
        <v>0</v>
      </c>
      <c r="AA3587" t="s">
        <v>49</v>
      </c>
      <c r="AB3587">
        <v>0</v>
      </c>
      <c r="AC3587" t="s">
        <v>49</v>
      </c>
      <c r="AD3587">
        <v>0</v>
      </c>
      <c r="AE3587">
        <v>11223897</v>
      </c>
      <c r="AF3587" t="s">
        <v>63</v>
      </c>
      <c r="AG3587" t="s">
        <v>7146</v>
      </c>
    </row>
    <row r="3588" spans="1:33" x14ac:dyDescent="0.35">
      <c r="A3588" s="1">
        <v>44690.418749999997</v>
      </c>
      <c r="B3588">
        <v>1190577</v>
      </c>
      <c r="C3588" t="s">
        <v>7379</v>
      </c>
      <c r="D3588" t="s">
        <v>76</v>
      </c>
      <c r="E3588" s="2">
        <v>41415</v>
      </c>
      <c r="F3588" t="str">
        <f>"9781439847893"</f>
        <v>9781439847893</v>
      </c>
      <c r="G3588" t="str">
        <f>"9781439847886"</f>
        <v>9781439847886</v>
      </c>
      <c r="H3588" t="s">
        <v>7380</v>
      </c>
      <c r="I3588">
        <v>615.32100000000003</v>
      </c>
      <c r="J3588" t="s">
        <v>7381</v>
      </c>
      <c r="K3588" t="s">
        <v>44</v>
      </c>
      <c r="N3588" t="s">
        <v>45</v>
      </c>
      <c r="O3588" t="s">
        <v>46</v>
      </c>
      <c r="P3588" t="s">
        <v>45</v>
      </c>
      <c r="Q3588" t="s">
        <v>47</v>
      </c>
      <c r="R3588" t="s">
        <v>44</v>
      </c>
      <c r="S3588">
        <v>0</v>
      </c>
      <c r="W3588" s="3">
        <v>2.8356481481481479E-3</v>
      </c>
      <c r="X3588" t="s">
        <v>7382</v>
      </c>
      <c r="Y3588">
        <v>20</v>
      </c>
      <c r="Z3588">
        <v>0</v>
      </c>
      <c r="AA3588" t="s">
        <v>49</v>
      </c>
      <c r="AB3588">
        <v>0</v>
      </c>
      <c r="AC3588" t="s">
        <v>49</v>
      </c>
      <c r="AD3588">
        <v>0</v>
      </c>
      <c r="AE3588">
        <v>10706083</v>
      </c>
      <c r="AF3588" t="s">
        <v>50</v>
      </c>
      <c r="AG3588" t="s">
        <v>493</v>
      </c>
    </row>
    <row r="3589" spans="1:33" x14ac:dyDescent="0.35">
      <c r="A3589" s="1">
        <v>44690.115972222222</v>
      </c>
      <c r="B3589">
        <v>1872774</v>
      </c>
      <c r="C3589" t="s">
        <v>7383</v>
      </c>
      <c r="D3589" t="s">
        <v>371</v>
      </c>
      <c r="E3589" s="2">
        <v>40931</v>
      </c>
      <c r="F3589" t="str">
        <f>"9783038136859"</f>
        <v>9783038136859</v>
      </c>
      <c r="G3589" t="str">
        <f>"9783037853306"</f>
        <v>9783037853306</v>
      </c>
      <c r="H3589" t="s">
        <v>639</v>
      </c>
      <c r="K3589" t="s">
        <v>44</v>
      </c>
      <c r="N3589" t="s">
        <v>45</v>
      </c>
      <c r="O3589" t="s">
        <v>46</v>
      </c>
      <c r="P3589" t="s">
        <v>45</v>
      </c>
      <c r="Q3589" t="s">
        <v>47</v>
      </c>
      <c r="R3589" t="s">
        <v>44</v>
      </c>
      <c r="S3589">
        <v>0</v>
      </c>
      <c r="W3589" s="3">
        <v>6.7245370370370367E-3</v>
      </c>
      <c r="X3589" t="s">
        <v>1236</v>
      </c>
      <c r="Y3589">
        <v>12</v>
      </c>
      <c r="Z3589">
        <v>0</v>
      </c>
      <c r="AA3589" t="s">
        <v>49</v>
      </c>
      <c r="AB3589">
        <v>0</v>
      </c>
      <c r="AC3589" t="s">
        <v>49</v>
      </c>
      <c r="AD3589">
        <v>0</v>
      </c>
      <c r="AE3589">
        <v>10604241</v>
      </c>
      <c r="AF3589" t="s">
        <v>50</v>
      </c>
      <c r="AG3589" t="s">
        <v>7146</v>
      </c>
    </row>
    <row r="3590" spans="1:33" x14ac:dyDescent="0.35">
      <c r="A3590" s="1">
        <v>44689.96875</v>
      </c>
      <c r="B3590">
        <v>253597</v>
      </c>
      <c r="C3590" t="s">
        <v>7384</v>
      </c>
      <c r="D3590" t="s">
        <v>473</v>
      </c>
      <c r="E3590" s="2">
        <v>37916</v>
      </c>
      <c r="F3590" t="str">
        <f>"9789047402480"</f>
        <v>9789047402480</v>
      </c>
      <c r="G3590" t="str">
        <f>"9789004132061"</f>
        <v>9789004132061</v>
      </c>
      <c r="H3590" t="s">
        <v>171</v>
      </c>
      <c r="J3590" t="s">
        <v>7385</v>
      </c>
      <c r="K3590" t="s">
        <v>44</v>
      </c>
      <c r="N3590" t="s">
        <v>45</v>
      </c>
      <c r="O3590" t="s">
        <v>46</v>
      </c>
      <c r="P3590" t="s">
        <v>45</v>
      </c>
      <c r="Q3590" t="s">
        <v>47</v>
      </c>
      <c r="R3590" t="s">
        <v>44</v>
      </c>
      <c r="S3590">
        <v>0</v>
      </c>
      <c r="W3590" s="3">
        <v>2.8587962962962963E-3</v>
      </c>
      <c r="X3590" t="s">
        <v>7386</v>
      </c>
      <c r="Y3590">
        <v>13</v>
      </c>
      <c r="Z3590">
        <v>0</v>
      </c>
      <c r="AA3590" t="s">
        <v>49</v>
      </c>
      <c r="AB3590">
        <v>0</v>
      </c>
      <c r="AC3590" t="s">
        <v>49</v>
      </c>
      <c r="AD3590">
        <v>0</v>
      </c>
      <c r="AE3590">
        <v>10089772</v>
      </c>
      <c r="AF3590" t="s">
        <v>50</v>
      </c>
      <c r="AG3590" t="s">
        <v>7146</v>
      </c>
    </row>
    <row r="3591" spans="1:33" x14ac:dyDescent="0.35">
      <c r="A3591" s="1">
        <v>44689.781944444447</v>
      </c>
      <c r="B3591">
        <v>4877020</v>
      </c>
      <c r="C3591" t="s">
        <v>7334</v>
      </c>
      <c r="D3591" t="s">
        <v>199</v>
      </c>
      <c r="E3591" s="2">
        <v>42856</v>
      </c>
      <c r="F3591" t="str">
        <f>"9781423234951"</f>
        <v>9781423234951</v>
      </c>
      <c r="G3591" t="str">
        <f>"9781423234746"</f>
        <v>9781423234746</v>
      </c>
      <c r="H3591" t="s">
        <v>43</v>
      </c>
      <c r="I3591">
        <v>510.76</v>
      </c>
      <c r="J3591" t="s">
        <v>7335</v>
      </c>
      <c r="K3591" t="s">
        <v>44</v>
      </c>
      <c r="N3591" t="s">
        <v>45</v>
      </c>
      <c r="O3591" t="s">
        <v>46</v>
      </c>
      <c r="P3591" t="s">
        <v>45</v>
      </c>
      <c r="Q3591" t="s">
        <v>47</v>
      </c>
      <c r="R3591" t="s">
        <v>44</v>
      </c>
      <c r="S3591">
        <v>0</v>
      </c>
      <c r="W3591" s="3">
        <v>0</v>
      </c>
      <c r="X3591" t="s">
        <v>49</v>
      </c>
      <c r="Y3591">
        <v>0</v>
      </c>
      <c r="Z3591">
        <v>4</v>
      </c>
      <c r="AA3591" t="s">
        <v>7387</v>
      </c>
      <c r="AB3591">
        <v>4</v>
      </c>
      <c r="AC3591" t="s">
        <v>49</v>
      </c>
      <c r="AD3591">
        <v>0</v>
      </c>
      <c r="AE3591">
        <v>11397702</v>
      </c>
      <c r="AF3591" t="s">
        <v>63</v>
      </c>
      <c r="AG3591" t="s">
        <v>4134</v>
      </c>
    </row>
    <row r="3592" spans="1:33" x14ac:dyDescent="0.35">
      <c r="A3592" s="1">
        <v>44689.755555555559</v>
      </c>
      <c r="B3592">
        <v>4877020</v>
      </c>
      <c r="C3592" t="s">
        <v>7334</v>
      </c>
      <c r="D3592" t="s">
        <v>199</v>
      </c>
      <c r="E3592" s="2">
        <v>42856</v>
      </c>
      <c r="F3592" t="str">
        <f>"9781423234951"</f>
        <v>9781423234951</v>
      </c>
      <c r="G3592" t="str">
        <f>"9781423234746"</f>
        <v>9781423234746</v>
      </c>
      <c r="H3592" t="s">
        <v>43</v>
      </c>
      <c r="I3592">
        <v>510.76</v>
      </c>
      <c r="J3592" t="s">
        <v>7335</v>
      </c>
      <c r="K3592" t="s">
        <v>44</v>
      </c>
      <c r="N3592" t="s">
        <v>45</v>
      </c>
      <c r="O3592" t="s">
        <v>46</v>
      </c>
      <c r="P3592" t="s">
        <v>45</v>
      </c>
      <c r="Q3592" t="s">
        <v>47</v>
      </c>
      <c r="R3592" t="s">
        <v>44</v>
      </c>
      <c r="S3592">
        <v>0</v>
      </c>
      <c r="W3592" s="3">
        <v>2.5648148148148146E-2</v>
      </c>
      <c r="X3592" t="s">
        <v>7388</v>
      </c>
      <c r="Y3592">
        <v>20</v>
      </c>
      <c r="Z3592">
        <v>0</v>
      </c>
      <c r="AA3592" t="s">
        <v>49</v>
      </c>
      <c r="AB3592">
        <v>0</v>
      </c>
      <c r="AC3592" t="s">
        <v>49</v>
      </c>
      <c r="AD3592">
        <v>0</v>
      </c>
      <c r="AE3592">
        <v>11397702</v>
      </c>
      <c r="AF3592" t="s">
        <v>50</v>
      </c>
      <c r="AG3592" t="s">
        <v>4134</v>
      </c>
    </row>
    <row r="3593" spans="1:33" x14ac:dyDescent="0.35">
      <c r="A3593" s="1">
        <v>44689.742361111108</v>
      </c>
      <c r="B3593">
        <v>785219</v>
      </c>
      <c r="C3593" t="s">
        <v>7389</v>
      </c>
      <c r="D3593" t="s">
        <v>443</v>
      </c>
      <c r="E3593" s="2">
        <v>40848</v>
      </c>
      <c r="F3593" t="str">
        <f>"9780520950313"</f>
        <v>9780520950313</v>
      </c>
      <c r="G3593" t="str">
        <f>"9780520267855"</f>
        <v>9780520267855</v>
      </c>
      <c r="H3593" t="s">
        <v>133</v>
      </c>
      <c r="I3593" t="s">
        <v>7390</v>
      </c>
      <c r="J3593" t="s">
        <v>7391</v>
      </c>
      <c r="K3593" t="s">
        <v>44</v>
      </c>
      <c r="N3593" t="s">
        <v>45</v>
      </c>
      <c r="O3593" t="s">
        <v>46</v>
      </c>
      <c r="P3593" t="s">
        <v>177</v>
      </c>
      <c r="Q3593" t="s">
        <v>47</v>
      </c>
      <c r="R3593" t="s">
        <v>55</v>
      </c>
      <c r="S3593">
        <v>0</v>
      </c>
      <c r="W3593" s="3">
        <v>6.1342592592592594E-3</v>
      </c>
      <c r="X3593" t="s">
        <v>7392</v>
      </c>
      <c r="Y3593">
        <v>14</v>
      </c>
      <c r="Z3593">
        <v>0</v>
      </c>
      <c r="AA3593" t="s">
        <v>49</v>
      </c>
      <c r="AB3593">
        <v>0</v>
      </c>
      <c r="AC3593" t="s">
        <v>49</v>
      </c>
      <c r="AD3593">
        <v>0</v>
      </c>
      <c r="AE3593">
        <v>10529560</v>
      </c>
      <c r="AF3593" t="s">
        <v>50</v>
      </c>
      <c r="AG3593" t="s">
        <v>7393</v>
      </c>
    </row>
    <row r="3594" spans="1:33" x14ac:dyDescent="0.35">
      <c r="A3594" s="1">
        <v>44689.696527777778</v>
      </c>
      <c r="B3594">
        <v>4877020</v>
      </c>
      <c r="C3594" t="s">
        <v>7334</v>
      </c>
      <c r="D3594" t="s">
        <v>199</v>
      </c>
      <c r="E3594" s="2">
        <v>42856</v>
      </c>
      <c r="F3594" t="str">
        <f>"9781423234951"</f>
        <v>9781423234951</v>
      </c>
      <c r="G3594" t="str">
        <f>"9781423234746"</f>
        <v>9781423234746</v>
      </c>
      <c r="H3594" t="s">
        <v>43</v>
      </c>
      <c r="I3594">
        <v>510.76</v>
      </c>
      <c r="J3594" t="s">
        <v>7335</v>
      </c>
      <c r="K3594" t="s">
        <v>44</v>
      </c>
      <c r="N3594" t="s">
        <v>45</v>
      </c>
      <c r="O3594" t="s">
        <v>46</v>
      </c>
      <c r="P3594" t="s">
        <v>45</v>
      </c>
      <c r="Q3594" t="s">
        <v>47</v>
      </c>
      <c r="R3594" t="s">
        <v>44</v>
      </c>
      <c r="S3594">
        <v>0</v>
      </c>
      <c r="W3594" s="3">
        <v>0</v>
      </c>
      <c r="X3594" t="s">
        <v>49</v>
      </c>
      <c r="Y3594">
        <v>0</v>
      </c>
      <c r="Z3594">
        <v>2</v>
      </c>
      <c r="AA3594" t="s">
        <v>7394</v>
      </c>
      <c r="AB3594">
        <v>2</v>
      </c>
      <c r="AC3594" t="s">
        <v>49</v>
      </c>
      <c r="AD3594">
        <v>0</v>
      </c>
      <c r="AE3594">
        <v>11397702</v>
      </c>
      <c r="AF3594" t="s">
        <v>50</v>
      </c>
      <c r="AG3594" t="s">
        <v>4134</v>
      </c>
    </row>
    <row r="3595" spans="1:33" x14ac:dyDescent="0.35">
      <c r="A3595" s="1">
        <v>44689.655555555553</v>
      </c>
      <c r="B3595">
        <v>4877020</v>
      </c>
      <c r="C3595" t="s">
        <v>7334</v>
      </c>
      <c r="D3595" t="s">
        <v>199</v>
      </c>
      <c r="E3595" s="2">
        <v>42856</v>
      </c>
      <c r="F3595" t="str">
        <f>"9781423234951"</f>
        <v>9781423234951</v>
      </c>
      <c r="G3595" t="str">
        <f>"9781423234746"</f>
        <v>9781423234746</v>
      </c>
      <c r="H3595" t="s">
        <v>43</v>
      </c>
      <c r="I3595">
        <v>510.76</v>
      </c>
      <c r="J3595" t="s">
        <v>7335</v>
      </c>
      <c r="K3595" t="s">
        <v>44</v>
      </c>
      <c r="N3595" t="s">
        <v>45</v>
      </c>
      <c r="O3595" t="s">
        <v>46</v>
      </c>
      <c r="P3595" t="s">
        <v>45</v>
      </c>
      <c r="Q3595" t="s">
        <v>47</v>
      </c>
      <c r="R3595" t="s">
        <v>44</v>
      </c>
      <c r="S3595">
        <v>0</v>
      </c>
      <c r="W3595" s="3">
        <v>2.3148148148148147E-5</v>
      </c>
      <c r="X3595" t="s">
        <v>121</v>
      </c>
      <c r="Y3595">
        <v>1</v>
      </c>
      <c r="Z3595">
        <v>1</v>
      </c>
      <c r="AA3595" t="s">
        <v>121</v>
      </c>
      <c r="AB3595">
        <v>1</v>
      </c>
      <c r="AC3595" t="s">
        <v>49</v>
      </c>
      <c r="AD3595">
        <v>0</v>
      </c>
      <c r="AE3595">
        <v>11397702</v>
      </c>
      <c r="AF3595" t="s">
        <v>63</v>
      </c>
      <c r="AG3595" t="s">
        <v>4134</v>
      </c>
    </row>
    <row r="3596" spans="1:33" x14ac:dyDescent="0.35">
      <c r="A3596" s="1">
        <v>44689.654861111114</v>
      </c>
      <c r="B3596">
        <v>4877020</v>
      </c>
      <c r="C3596" t="s">
        <v>7334</v>
      </c>
      <c r="D3596" t="s">
        <v>199</v>
      </c>
      <c r="E3596" s="2">
        <v>42856</v>
      </c>
      <c r="F3596" t="str">
        <f>"9781423234951"</f>
        <v>9781423234951</v>
      </c>
      <c r="G3596" t="str">
        <f>"9781423234746"</f>
        <v>9781423234746</v>
      </c>
      <c r="H3596" t="s">
        <v>43</v>
      </c>
      <c r="I3596">
        <v>510.76</v>
      </c>
      <c r="J3596" t="s">
        <v>7335</v>
      </c>
      <c r="K3596" t="s">
        <v>44</v>
      </c>
      <c r="N3596" t="s">
        <v>45</v>
      </c>
      <c r="O3596" t="s">
        <v>46</v>
      </c>
      <c r="P3596" t="s">
        <v>45</v>
      </c>
      <c r="Q3596" t="s">
        <v>47</v>
      </c>
      <c r="R3596" t="s">
        <v>44</v>
      </c>
      <c r="S3596">
        <v>0</v>
      </c>
      <c r="W3596" s="3">
        <v>1.0416666666666667E-4</v>
      </c>
      <c r="X3596" t="s">
        <v>121</v>
      </c>
      <c r="Y3596">
        <v>1</v>
      </c>
      <c r="Z3596">
        <v>2</v>
      </c>
      <c r="AA3596" t="s">
        <v>113</v>
      </c>
      <c r="AB3596">
        <v>2</v>
      </c>
      <c r="AC3596" t="s">
        <v>49</v>
      </c>
      <c r="AD3596">
        <v>0</v>
      </c>
      <c r="AE3596">
        <v>11397702</v>
      </c>
      <c r="AF3596" t="s">
        <v>50</v>
      </c>
      <c r="AG3596" t="s">
        <v>4134</v>
      </c>
    </row>
    <row r="3597" spans="1:33" x14ac:dyDescent="0.35">
      <c r="A3597" s="1">
        <v>44689.586805555555</v>
      </c>
      <c r="B3597">
        <v>4877020</v>
      </c>
      <c r="C3597" t="s">
        <v>7334</v>
      </c>
      <c r="D3597" t="s">
        <v>199</v>
      </c>
      <c r="E3597" s="2">
        <v>42856</v>
      </c>
      <c r="F3597" t="str">
        <f>"9781423234951"</f>
        <v>9781423234951</v>
      </c>
      <c r="G3597" t="str">
        <f>"9781423234746"</f>
        <v>9781423234746</v>
      </c>
      <c r="H3597" t="s">
        <v>43</v>
      </c>
      <c r="I3597">
        <v>510.76</v>
      </c>
      <c r="J3597" t="s">
        <v>7335</v>
      </c>
      <c r="K3597" t="s">
        <v>44</v>
      </c>
      <c r="N3597" t="s">
        <v>45</v>
      </c>
      <c r="O3597" t="s">
        <v>46</v>
      </c>
      <c r="P3597" t="s">
        <v>45</v>
      </c>
      <c r="Q3597" t="s">
        <v>47</v>
      </c>
      <c r="R3597" t="s">
        <v>44</v>
      </c>
      <c r="S3597">
        <v>1</v>
      </c>
      <c r="W3597" s="3">
        <v>1.5046296296296297E-4</v>
      </c>
      <c r="X3597" t="s">
        <v>121</v>
      </c>
      <c r="Y3597">
        <v>1</v>
      </c>
      <c r="Z3597">
        <v>0</v>
      </c>
      <c r="AA3597" t="s">
        <v>49</v>
      </c>
      <c r="AB3597">
        <v>0</v>
      </c>
      <c r="AC3597" t="s">
        <v>49</v>
      </c>
      <c r="AD3597">
        <v>0</v>
      </c>
      <c r="AE3597">
        <v>11397702</v>
      </c>
      <c r="AF3597" t="s">
        <v>63</v>
      </c>
      <c r="AG3597" t="s">
        <v>7146</v>
      </c>
    </row>
    <row r="3598" spans="1:33" x14ac:dyDescent="0.35">
      <c r="A3598" s="1">
        <v>44688.593055555553</v>
      </c>
      <c r="B3598">
        <v>5796941</v>
      </c>
      <c r="C3598" t="s">
        <v>7395</v>
      </c>
      <c r="D3598" t="s">
        <v>844</v>
      </c>
      <c r="E3598" s="2">
        <v>43656</v>
      </c>
      <c r="F3598" t="str">
        <f>"9781787566811"</f>
        <v>9781787566811</v>
      </c>
      <c r="G3598" t="str">
        <f>"9781787566804"</f>
        <v>9781787566804</v>
      </c>
      <c r="H3598" t="s">
        <v>900</v>
      </c>
      <c r="I3598">
        <v>337.51056</v>
      </c>
      <c r="J3598" t="s">
        <v>1794</v>
      </c>
      <c r="K3598" t="s">
        <v>44</v>
      </c>
      <c r="N3598" t="s">
        <v>45</v>
      </c>
      <c r="O3598" t="s">
        <v>46</v>
      </c>
      <c r="P3598" t="s">
        <v>45</v>
      </c>
      <c r="Q3598" t="s">
        <v>47</v>
      </c>
      <c r="R3598" t="s">
        <v>44</v>
      </c>
      <c r="S3598">
        <v>0</v>
      </c>
      <c r="W3598" s="3">
        <v>2.3148148148148147E-5</v>
      </c>
      <c r="X3598" t="s">
        <v>121</v>
      </c>
      <c r="Y3598">
        <v>1</v>
      </c>
      <c r="Z3598">
        <v>0</v>
      </c>
      <c r="AA3598" t="s">
        <v>49</v>
      </c>
      <c r="AB3598">
        <v>0</v>
      </c>
      <c r="AC3598" t="s">
        <v>49</v>
      </c>
      <c r="AD3598">
        <v>0</v>
      </c>
      <c r="AE3598">
        <v>-1</v>
      </c>
      <c r="AF3598" t="s">
        <v>50</v>
      </c>
      <c r="AG3598" t="s">
        <v>7329</v>
      </c>
    </row>
    <row r="3599" spans="1:33" x14ac:dyDescent="0.35">
      <c r="A3599" s="1">
        <v>44687.734722222223</v>
      </c>
      <c r="B3599">
        <v>1354400</v>
      </c>
      <c r="C3599" t="s">
        <v>7311</v>
      </c>
      <c r="D3599" t="s">
        <v>1585</v>
      </c>
      <c r="E3599" s="2">
        <v>36782</v>
      </c>
      <c r="F3599" t="str">
        <f>"9780809390373"</f>
        <v>9780809390373</v>
      </c>
      <c r="G3599" t="str">
        <f>"9780809323425"</f>
        <v>9780809323425</v>
      </c>
      <c r="H3599" t="s">
        <v>667</v>
      </c>
      <c r="J3599" t="s">
        <v>7312</v>
      </c>
      <c r="K3599" t="s">
        <v>44</v>
      </c>
      <c r="N3599" t="s">
        <v>45</v>
      </c>
      <c r="O3599" t="s">
        <v>46</v>
      </c>
      <c r="P3599" t="s">
        <v>45</v>
      </c>
      <c r="Q3599" t="s">
        <v>47</v>
      </c>
      <c r="R3599" t="s">
        <v>44</v>
      </c>
      <c r="S3599">
        <v>0</v>
      </c>
      <c r="W3599" s="3">
        <v>7.291666666666667E-4</v>
      </c>
      <c r="X3599" t="s">
        <v>7396</v>
      </c>
      <c r="Y3599">
        <v>4</v>
      </c>
      <c r="Z3599">
        <v>0</v>
      </c>
      <c r="AA3599" t="s">
        <v>49</v>
      </c>
      <c r="AB3599">
        <v>0</v>
      </c>
      <c r="AC3599" t="s">
        <v>49</v>
      </c>
      <c r="AD3599">
        <v>0</v>
      </c>
      <c r="AE3599">
        <v>10555641</v>
      </c>
      <c r="AF3599" t="s">
        <v>50</v>
      </c>
      <c r="AG3599" t="s">
        <v>7205</v>
      </c>
    </row>
    <row r="3600" spans="1:33" x14ac:dyDescent="0.35">
      <c r="A3600" s="1">
        <v>44687.713888888888</v>
      </c>
      <c r="B3600">
        <v>3018612</v>
      </c>
      <c r="C3600" t="s">
        <v>7397</v>
      </c>
      <c r="D3600" t="s">
        <v>137</v>
      </c>
      <c r="E3600" s="2">
        <v>40360</v>
      </c>
      <c r="F3600" t="str">
        <f>"9781611224856"</f>
        <v>9781611224856</v>
      </c>
      <c r="G3600" t="str">
        <f>"9781616683665"</f>
        <v>9781616683665</v>
      </c>
      <c r="H3600" t="s">
        <v>116</v>
      </c>
      <c r="I3600" t="s">
        <v>2846</v>
      </c>
      <c r="J3600" t="s">
        <v>7398</v>
      </c>
      <c r="K3600" t="s">
        <v>44</v>
      </c>
      <c r="N3600" t="s">
        <v>45</v>
      </c>
      <c r="O3600" t="s">
        <v>46</v>
      </c>
      <c r="P3600" t="s">
        <v>177</v>
      </c>
      <c r="Q3600" t="s">
        <v>47</v>
      </c>
      <c r="R3600" t="s">
        <v>55</v>
      </c>
      <c r="S3600">
        <v>0</v>
      </c>
      <c r="W3600" s="3">
        <v>1.5393518518518519E-3</v>
      </c>
      <c r="X3600" t="s">
        <v>7399</v>
      </c>
      <c r="Y3600">
        <v>4</v>
      </c>
      <c r="Z3600">
        <v>1</v>
      </c>
      <c r="AA3600" t="s">
        <v>7400</v>
      </c>
      <c r="AB3600">
        <v>32</v>
      </c>
      <c r="AC3600" t="s">
        <v>49</v>
      </c>
      <c r="AD3600">
        <v>0</v>
      </c>
      <c r="AE3600">
        <v>10661550</v>
      </c>
      <c r="AF3600" t="s">
        <v>50</v>
      </c>
      <c r="AG3600" t="s">
        <v>7205</v>
      </c>
    </row>
    <row r="3601" spans="1:33" x14ac:dyDescent="0.35">
      <c r="A3601" s="1">
        <v>44687.161805555559</v>
      </c>
      <c r="B3601">
        <v>858642</v>
      </c>
      <c r="C3601" t="s">
        <v>7401</v>
      </c>
      <c r="D3601" t="s">
        <v>65</v>
      </c>
      <c r="E3601" s="2">
        <v>40855</v>
      </c>
      <c r="F3601" t="str">
        <f>"9780123847010"</f>
        <v>9780123847010</v>
      </c>
      <c r="G3601" t="str">
        <f>"9780123847003"</f>
        <v>9780123847003</v>
      </c>
      <c r="H3601" t="s">
        <v>831</v>
      </c>
      <c r="I3601" t="s">
        <v>7402</v>
      </c>
      <c r="J3601" t="s">
        <v>7403</v>
      </c>
      <c r="K3601" t="s">
        <v>44</v>
      </c>
      <c r="N3601" t="s">
        <v>45</v>
      </c>
      <c r="O3601" t="s">
        <v>46</v>
      </c>
      <c r="P3601" t="s">
        <v>45</v>
      </c>
      <c r="Q3601" t="s">
        <v>47</v>
      </c>
      <c r="R3601" t="s">
        <v>44</v>
      </c>
      <c r="S3601">
        <v>0</v>
      </c>
      <c r="W3601" s="3">
        <v>2.4224537037037034E-2</v>
      </c>
      <c r="X3601" t="s">
        <v>7404</v>
      </c>
      <c r="Y3601">
        <v>16</v>
      </c>
      <c r="Z3601">
        <v>0</v>
      </c>
      <c r="AA3601" t="s">
        <v>49</v>
      </c>
      <c r="AB3601">
        <v>0</v>
      </c>
      <c r="AC3601" t="s">
        <v>7405</v>
      </c>
      <c r="AD3601">
        <v>4</v>
      </c>
      <c r="AE3601">
        <v>10521162</v>
      </c>
      <c r="AF3601" t="s">
        <v>50</v>
      </c>
      <c r="AG3601" t="s">
        <v>1451</v>
      </c>
    </row>
    <row r="3602" spans="1:33" x14ac:dyDescent="0.35">
      <c r="A3602" s="1">
        <v>44686.898611111108</v>
      </c>
      <c r="B3602">
        <v>858642</v>
      </c>
      <c r="C3602" t="s">
        <v>7401</v>
      </c>
      <c r="D3602" t="s">
        <v>65</v>
      </c>
      <c r="E3602" s="2">
        <v>40855</v>
      </c>
      <c r="F3602" t="str">
        <f>"9780123847010"</f>
        <v>9780123847010</v>
      </c>
      <c r="G3602" t="str">
        <f>"9780123847003"</f>
        <v>9780123847003</v>
      </c>
      <c r="H3602" t="s">
        <v>831</v>
      </c>
      <c r="I3602" t="s">
        <v>7402</v>
      </c>
      <c r="J3602" t="s">
        <v>7403</v>
      </c>
      <c r="K3602" t="s">
        <v>44</v>
      </c>
      <c r="N3602" t="s">
        <v>45</v>
      </c>
      <c r="O3602" t="s">
        <v>46</v>
      </c>
      <c r="P3602" t="s">
        <v>45</v>
      </c>
      <c r="Q3602" t="s">
        <v>47</v>
      </c>
      <c r="R3602" t="s">
        <v>44</v>
      </c>
      <c r="S3602">
        <v>0</v>
      </c>
      <c r="W3602" s="3">
        <v>2.0486111111111113E-3</v>
      </c>
      <c r="X3602" t="s">
        <v>7406</v>
      </c>
      <c r="Y3602">
        <v>10</v>
      </c>
      <c r="Z3602">
        <v>0</v>
      </c>
      <c r="AA3602" t="s">
        <v>49</v>
      </c>
      <c r="AB3602">
        <v>0</v>
      </c>
      <c r="AC3602" t="s">
        <v>49</v>
      </c>
      <c r="AD3602">
        <v>0</v>
      </c>
      <c r="AE3602">
        <v>10521162</v>
      </c>
      <c r="AF3602" t="s">
        <v>50</v>
      </c>
      <c r="AG3602" t="s">
        <v>1451</v>
      </c>
    </row>
    <row r="3603" spans="1:33" x14ac:dyDescent="0.35">
      <c r="A3603" s="1">
        <v>44686.880555555559</v>
      </c>
      <c r="B3603">
        <v>858642</v>
      </c>
      <c r="C3603" t="s">
        <v>7401</v>
      </c>
      <c r="D3603" t="s">
        <v>65</v>
      </c>
      <c r="E3603" s="2">
        <v>40855</v>
      </c>
      <c r="F3603" t="str">
        <f>"9780123847010"</f>
        <v>9780123847010</v>
      </c>
      <c r="G3603" t="str">
        <f>"9780123847003"</f>
        <v>9780123847003</v>
      </c>
      <c r="H3603" t="s">
        <v>831</v>
      </c>
      <c r="I3603" t="s">
        <v>7402</v>
      </c>
      <c r="J3603" t="s">
        <v>7403</v>
      </c>
      <c r="K3603" t="s">
        <v>44</v>
      </c>
      <c r="N3603" t="s">
        <v>45</v>
      </c>
      <c r="O3603" t="s">
        <v>46</v>
      </c>
      <c r="P3603" t="s">
        <v>45</v>
      </c>
      <c r="Q3603" t="s">
        <v>47</v>
      </c>
      <c r="R3603" t="s">
        <v>44</v>
      </c>
      <c r="S3603">
        <v>0</v>
      </c>
      <c r="W3603" s="3">
        <v>1.3807870370370371E-2</v>
      </c>
      <c r="X3603" t="s">
        <v>7407</v>
      </c>
      <c r="Y3603">
        <v>25</v>
      </c>
      <c r="Z3603">
        <v>0</v>
      </c>
      <c r="AA3603" t="s">
        <v>49</v>
      </c>
      <c r="AB3603">
        <v>0</v>
      </c>
      <c r="AC3603" t="s">
        <v>752</v>
      </c>
      <c r="AD3603">
        <v>1</v>
      </c>
      <c r="AE3603">
        <v>10521162</v>
      </c>
      <c r="AF3603" t="s">
        <v>50</v>
      </c>
      <c r="AG3603" t="s">
        <v>7408</v>
      </c>
    </row>
    <row r="3604" spans="1:33" x14ac:dyDescent="0.35">
      <c r="A3604" s="1">
        <v>44686.761111111111</v>
      </c>
      <c r="B3604">
        <v>1354400</v>
      </c>
      <c r="C3604" t="s">
        <v>7311</v>
      </c>
      <c r="D3604" t="s">
        <v>1585</v>
      </c>
      <c r="E3604" s="2">
        <v>36782</v>
      </c>
      <c r="F3604" t="str">
        <f>"9780809390373"</f>
        <v>9780809390373</v>
      </c>
      <c r="G3604" t="str">
        <f>"9780809323425"</f>
        <v>9780809323425</v>
      </c>
      <c r="H3604" t="s">
        <v>667</v>
      </c>
      <c r="J3604" t="s">
        <v>7312</v>
      </c>
      <c r="K3604" t="s">
        <v>44</v>
      </c>
      <c r="N3604" t="s">
        <v>45</v>
      </c>
      <c r="O3604" t="s">
        <v>46</v>
      </c>
      <c r="P3604" t="s">
        <v>45</v>
      </c>
      <c r="Q3604" t="s">
        <v>47</v>
      </c>
      <c r="R3604" t="s">
        <v>44</v>
      </c>
      <c r="S3604">
        <v>0</v>
      </c>
      <c r="W3604" s="3">
        <v>1.4930555555555556E-3</v>
      </c>
      <c r="X3604" t="s">
        <v>7409</v>
      </c>
      <c r="Y3604">
        <v>8</v>
      </c>
      <c r="Z3604">
        <v>0</v>
      </c>
      <c r="AA3604" t="s">
        <v>49</v>
      </c>
      <c r="AB3604">
        <v>0</v>
      </c>
      <c r="AC3604" t="s">
        <v>49</v>
      </c>
      <c r="AD3604">
        <v>0</v>
      </c>
      <c r="AE3604">
        <v>10555641</v>
      </c>
      <c r="AF3604" t="s">
        <v>50</v>
      </c>
      <c r="AG3604" t="s">
        <v>7205</v>
      </c>
    </row>
    <row r="3605" spans="1:33" x14ac:dyDescent="0.35">
      <c r="A3605" s="1">
        <v>44686.757638888892</v>
      </c>
      <c r="B3605">
        <v>858642</v>
      </c>
      <c r="C3605" t="s">
        <v>7401</v>
      </c>
      <c r="D3605" t="s">
        <v>65</v>
      </c>
      <c r="E3605" s="2">
        <v>40855</v>
      </c>
      <c r="F3605" t="str">
        <f>"9780123847010"</f>
        <v>9780123847010</v>
      </c>
      <c r="G3605" t="str">
        <f>"9780123847003"</f>
        <v>9780123847003</v>
      </c>
      <c r="H3605" t="s">
        <v>831</v>
      </c>
      <c r="I3605" t="s">
        <v>7402</v>
      </c>
      <c r="J3605" t="s">
        <v>7403</v>
      </c>
      <c r="K3605" t="s">
        <v>44</v>
      </c>
      <c r="N3605" t="s">
        <v>45</v>
      </c>
      <c r="O3605" t="s">
        <v>46</v>
      </c>
      <c r="P3605" t="s">
        <v>45</v>
      </c>
      <c r="Q3605" t="s">
        <v>47</v>
      </c>
      <c r="R3605" t="s">
        <v>44</v>
      </c>
      <c r="S3605">
        <v>0</v>
      </c>
      <c r="W3605" s="3">
        <v>1.6631944444444446E-2</v>
      </c>
      <c r="X3605" t="s">
        <v>7410</v>
      </c>
      <c r="Y3605">
        <v>4</v>
      </c>
      <c r="Z3605">
        <v>0</v>
      </c>
      <c r="AA3605" t="s">
        <v>49</v>
      </c>
      <c r="AB3605">
        <v>0</v>
      </c>
      <c r="AC3605" t="s">
        <v>49</v>
      </c>
      <c r="AD3605">
        <v>0</v>
      </c>
      <c r="AE3605">
        <v>10521162</v>
      </c>
      <c r="AF3605" t="s">
        <v>50</v>
      </c>
      <c r="AG3605" t="s">
        <v>1451</v>
      </c>
    </row>
    <row r="3606" spans="1:33" x14ac:dyDescent="0.35">
      <c r="A3606" s="1">
        <v>44686.039583333331</v>
      </c>
      <c r="B3606">
        <v>1775208</v>
      </c>
      <c r="C3606" t="s">
        <v>6152</v>
      </c>
      <c r="D3606" t="s">
        <v>59</v>
      </c>
      <c r="E3606" s="2">
        <v>41939</v>
      </c>
      <c r="F3606" t="str">
        <f>"9781118892022"</f>
        <v>9781118892022</v>
      </c>
      <c r="G3606" t="str">
        <f>"9781118888957"</f>
        <v>9781118888957</v>
      </c>
      <c r="H3606" t="s">
        <v>1040</v>
      </c>
      <c r="I3606" t="s">
        <v>2054</v>
      </c>
      <c r="J3606" t="s">
        <v>6153</v>
      </c>
      <c r="K3606" t="s">
        <v>44</v>
      </c>
      <c r="N3606" t="s">
        <v>45</v>
      </c>
      <c r="O3606" t="s">
        <v>46</v>
      </c>
      <c r="P3606" t="s">
        <v>45</v>
      </c>
      <c r="Q3606" t="s">
        <v>47</v>
      </c>
      <c r="R3606" t="s">
        <v>44</v>
      </c>
      <c r="S3606">
        <v>0</v>
      </c>
      <c r="W3606" s="3">
        <v>7.3611111111111108E-3</v>
      </c>
      <c r="X3606" t="s">
        <v>7411</v>
      </c>
      <c r="Y3606">
        <v>14</v>
      </c>
      <c r="Z3606">
        <v>0</v>
      </c>
      <c r="AA3606" t="s">
        <v>49</v>
      </c>
      <c r="AB3606">
        <v>0</v>
      </c>
      <c r="AC3606" t="s">
        <v>49</v>
      </c>
      <c r="AD3606">
        <v>0</v>
      </c>
      <c r="AE3606">
        <v>10925542</v>
      </c>
      <c r="AF3606" t="s">
        <v>50</v>
      </c>
      <c r="AG3606" t="s">
        <v>7329</v>
      </c>
    </row>
    <row r="3607" spans="1:33" x14ac:dyDescent="0.35">
      <c r="A3607" s="1">
        <v>44685.76666666667</v>
      </c>
      <c r="B3607">
        <v>536287</v>
      </c>
      <c r="C3607" t="s">
        <v>7412</v>
      </c>
      <c r="D3607" t="s">
        <v>3915</v>
      </c>
      <c r="E3607" s="2">
        <v>40179</v>
      </c>
      <c r="F3607" t="str">
        <f>"9781607804338"</f>
        <v>9781607804338</v>
      </c>
      <c r="G3607" t="str">
        <f>""</f>
        <v/>
      </c>
      <c r="H3607" t="s">
        <v>353</v>
      </c>
      <c r="I3607">
        <v>301.2</v>
      </c>
      <c r="J3607" t="s">
        <v>7413</v>
      </c>
      <c r="K3607" t="s">
        <v>44</v>
      </c>
      <c r="N3607" t="s">
        <v>45</v>
      </c>
      <c r="O3607" t="s">
        <v>46</v>
      </c>
      <c r="P3607" t="s">
        <v>45</v>
      </c>
      <c r="Q3607" t="s">
        <v>47</v>
      </c>
      <c r="R3607" t="s">
        <v>44</v>
      </c>
      <c r="S3607">
        <v>0</v>
      </c>
      <c r="W3607" s="3">
        <v>9.4675925925925917E-3</v>
      </c>
      <c r="X3607" t="s">
        <v>1637</v>
      </c>
      <c r="Y3607">
        <v>8</v>
      </c>
      <c r="Z3607">
        <v>0</v>
      </c>
      <c r="AA3607" t="s">
        <v>49</v>
      </c>
      <c r="AB3607">
        <v>0</v>
      </c>
      <c r="AC3607" t="s">
        <v>1956</v>
      </c>
      <c r="AD3607">
        <v>2</v>
      </c>
      <c r="AE3607">
        <v>10389264</v>
      </c>
      <c r="AF3607" t="s">
        <v>50</v>
      </c>
      <c r="AG3607" t="s">
        <v>7205</v>
      </c>
    </row>
    <row r="3608" spans="1:33" x14ac:dyDescent="0.35">
      <c r="A3608" s="1">
        <v>44685.736805555556</v>
      </c>
      <c r="B3608">
        <v>3339851</v>
      </c>
      <c r="C3608" t="s">
        <v>1048</v>
      </c>
      <c r="D3608" t="s">
        <v>303</v>
      </c>
      <c r="E3608" s="2">
        <v>41873</v>
      </c>
      <c r="F3608" t="str">
        <f>"9780262325745"</f>
        <v>9780262325745</v>
      </c>
      <c r="G3608" t="str">
        <f>"9780262028189"</f>
        <v>9780262028189</v>
      </c>
      <c r="H3608" t="s">
        <v>106</v>
      </c>
      <c r="I3608" t="s">
        <v>1049</v>
      </c>
      <c r="J3608" t="s">
        <v>1050</v>
      </c>
      <c r="K3608" t="s">
        <v>44</v>
      </c>
      <c r="N3608" t="s">
        <v>45</v>
      </c>
      <c r="O3608" t="s">
        <v>46</v>
      </c>
      <c r="P3608" t="s">
        <v>45</v>
      </c>
      <c r="Q3608" t="s">
        <v>47</v>
      </c>
      <c r="R3608" t="s">
        <v>44</v>
      </c>
      <c r="S3608">
        <v>0</v>
      </c>
      <c r="W3608" s="3">
        <v>4.7453703703703704E-4</v>
      </c>
      <c r="X3608" t="s">
        <v>7414</v>
      </c>
      <c r="Y3608">
        <v>5</v>
      </c>
      <c r="Z3608">
        <v>0</v>
      </c>
      <c r="AA3608" t="s">
        <v>49</v>
      </c>
      <c r="AB3608">
        <v>0</v>
      </c>
      <c r="AC3608" t="s">
        <v>49</v>
      </c>
      <c r="AD3608">
        <v>0</v>
      </c>
      <c r="AE3608">
        <v>10919034</v>
      </c>
      <c r="AF3608" t="s">
        <v>50</v>
      </c>
      <c r="AG3608" t="s">
        <v>7146</v>
      </c>
    </row>
    <row r="3609" spans="1:33" x14ac:dyDescent="0.35">
      <c r="A3609" s="1">
        <v>44685.71875</v>
      </c>
      <c r="B3609">
        <v>536287</v>
      </c>
      <c r="C3609" t="s">
        <v>7412</v>
      </c>
      <c r="D3609" t="s">
        <v>3915</v>
      </c>
      <c r="E3609" s="2">
        <v>40179</v>
      </c>
      <c r="F3609" t="str">
        <f>"9781607804338"</f>
        <v>9781607804338</v>
      </c>
      <c r="G3609" t="str">
        <f>""</f>
        <v/>
      </c>
      <c r="H3609" t="s">
        <v>353</v>
      </c>
      <c r="I3609">
        <v>301.2</v>
      </c>
      <c r="J3609" t="s">
        <v>7413</v>
      </c>
      <c r="K3609" t="s">
        <v>44</v>
      </c>
      <c r="N3609" t="s">
        <v>45</v>
      </c>
      <c r="O3609" t="s">
        <v>46</v>
      </c>
      <c r="P3609" t="s">
        <v>45</v>
      </c>
      <c r="Q3609" t="s">
        <v>47</v>
      </c>
      <c r="R3609" t="s">
        <v>44</v>
      </c>
      <c r="S3609">
        <v>0</v>
      </c>
      <c r="W3609" s="3">
        <v>2.7777777777777778E-4</v>
      </c>
      <c r="X3609" t="s">
        <v>196</v>
      </c>
      <c r="Y3609">
        <v>2</v>
      </c>
      <c r="Z3609">
        <v>0</v>
      </c>
      <c r="AA3609" t="s">
        <v>49</v>
      </c>
      <c r="AB3609">
        <v>0</v>
      </c>
      <c r="AC3609" t="s">
        <v>49</v>
      </c>
      <c r="AD3609">
        <v>0</v>
      </c>
      <c r="AE3609">
        <v>10389264</v>
      </c>
      <c r="AF3609" t="s">
        <v>50</v>
      </c>
      <c r="AG3609" t="s">
        <v>7205</v>
      </c>
    </row>
    <row r="3610" spans="1:33" x14ac:dyDescent="0.35">
      <c r="A3610" s="1">
        <v>44685.574305555558</v>
      </c>
      <c r="B3610">
        <v>536287</v>
      </c>
      <c r="C3610" t="s">
        <v>7412</v>
      </c>
      <c r="D3610" t="s">
        <v>3915</v>
      </c>
      <c r="E3610" s="2">
        <v>40179</v>
      </c>
      <c r="F3610" t="str">
        <f>"9781607804338"</f>
        <v>9781607804338</v>
      </c>
      <c r="G3610" t="str">
        <f>""</f>
        <v/>
      </c>
      <c r="H3610" t="s">
        <v>353</v>
      </c>
      <c r="I3610">
        <v>301.2</v>
      </c>
      <c r="J3610" t="s">
        <v>7413</v>
      </c>
      <c r="K3610" t="s">
        <v>44</v>
      </c>
      <c r="N3610" t="s">
        <v>45</v>
      </c>
      <c r="O3610" t="s">
        <v>46</v>
      </c>
      <c r="P3610" t="s">
        <v>45</v>
      </c>
      <c r="Q3610" t="s">
        <v>47</v>
      </c>
      <c r="R3610" t="s">
        <v>44</v>
      </c>
      <c r="S3610">
        <v>0</v>
      </c>
      <c r="W3610" s="3">
        <v>9.3750000000000007E-4</v>
      </c>
      <c r="X3610" t="s">
        <v>7415</v>
      </c>
      <c r="Y3610">
        <v>16</v>
      </c>
      <c r="Z3610">
        <v>0</v>
      </c>
      <c r="AA3610" t="s">
        <v>49</v>
      </c>
      <c r="AB3610">
        <v>0</v>
      </c>
      <c r="AC3610" t="s">
        <v>49</v>
      </c>
      <c r="AD3610">
        <v>0</v>
      </c>
      <c r="AE3610">
        <v>10389264</v>
      </c>
      <c r="AF3610" t="s">
        <v>50</v>
      </c>
      <c r="AG3610" t="s">
        <v>7205</v>
      </c>
    </row>
    <row r="3611" spans="1:33" x14ac:dyDescent="0.35">
      <c r="A3611" s="1">
        <v>44685.547222222223</v>
      </c>
      <c r="B3611">
        <v>3339851</v>
      </c>
      <c r="C3611" t="s">
        <v>1048</v>
      </c>
      <c r="D3611" t="s">
        <v>303</v>
      </c>
      <c r="E3611" s="2">
        <v>41873</v>
      </c>
      <c r="F3611" t="str">
        <f>"9780262325745"</f>
        <v>9780262325745</v>
      </c>
      <c r="G3611" t="str">
        <f>"9780262028189"</f>
        <v>9780262028189</v>
      </c>
      <c r="H3611" t="s">
        <v>106</v>
      </c>
      <c r="I3611" t="s">
        <v>1049</v>
      </c>
      <c r="J3611" t="s">
        <v>1050</v>
      </c>
      <c r="K3611" t="s">
        <v>44</v>
      </c>
      <c r="N3611" t="s">
        <v>45</v>
      </c>
      <c r="O3611" t="s">
        <v>46</v>
      </c>
      <c r="P3611" t="s">
        <v>45</v>
      </c>
      <c r="Q3611" t="s">
        <v>47</v>
      </c>
      <c r="R3611" t="s">
        <v>44</v>
      </c>
      <c r="S3611">
        <v>0</v>
      </c>
      <c r="W3611" s="3">
        <v>5.7870370370370366E-5</v>
      </c>
      <c r="X3611" t="s">
        <v>121</v>
      </c>
      <c r="Y3611">
        <v>1</v>
      </c>
      <c r="Z3611">
        <v>0</v>
      </c>
      <c r="AA3611" t="s">
        <v>49</v>
      </c>
      <c r="AB3611">
        <v>0</v>
      </c>
      <c r="AC3611" t="s">
        <v>49</v>
      </c>
      <c r="AD3611">
        <v>0</v>
      </c>
      <c r="AE3611">
        <v>10919034</v>
      </c>
      <c r="AF3611" t="s">
        <v>50</v>
      </c>
      <c r="AG3611" t="s">
        <v>7146</v>
      </c>
    </row>
    <row r="3612" spans="1:33" x14ac:dyDescent="0.35">
      <c r="A3612" s="1">
        <v>44685.105555555558</v>
      </c>
      <c r="B3612">
        <v>536285</v>
      </c>
      <c r="C3612" t="s">
        <v>7416</v>
      </c>
      <c r="D3612" t="s">
        <v>3915</v>
      </c>
      <c r="E3612" s="2">
        <v>40179</v>
      </c>
      <c r="F3612" t="str">
        <f>"9781607806073"</f>
        <v>9781607806073</v>
      </c>
      <c r="G3612" t="str">
        <f>""</f>
        <v/>
      </c>
      <c r="H3612" t="s">
        <v>3824</v>
      </c>
      <c r="I3612">
        <v>304.66000000000003</v>
      </c>
      <c r="J3612" t="s">
        <v>7417</v>
      </c>
      <c r="K3612" t="s">
        <v>44</v>
      </c>
      <c r="N3612" t="s">
        <v>45</v>
      </c>
      <c r="O3612" t="s">
        <v>46</v>
      </c>
      <c r="P3612" t="s">
        <v>45</v>
      </c>
      <c r="Q3612" t="s">
        <v>47</v>
      </c>
      <c r="R3612" t="s">
        <v>44</v>
      </c>
      <c r="S3612">
        <v>0</v>
      </c>
      <c r="W3612" s="3">
        <v>9.2592592592592588E-5</v>
      </c>
      <c r="X3612" t="s">
        <v>205</v>
      </c>
      <c r="Y3612">
        <v>2</v>
      </c>
      <c r="Z3612">
        <v>0</v>
      </c>
      <c r="AA3612" t="s">
        <v>49</v>
      </c>
      <c r="AB3612">
        <v>0</v>
      </c>
      <c r="AC3612" t="s">
        <v>49</v>
      </c>
      <c r="AD3612">
        <v>0</v>
      </c>
      <c r="AE3612">
        <v>10391299</v>
      </c>
      <c r="AF3612" t="s">
        <v>50</v>
      </c>
      <c r="AG3612" t="s">
        <v>7205</v>
      </c>
    </row>
    <row r="3613" spans="1:33" x14ac:dyDescent="0.35">
      <c r="A3613" s="1">
        <v>44685.105555555558</v>
      </c>
      <c r="B3613">
        <v>536287</v>
      </c>
      <c r="C3613" t="s">
        <v>7412</v>
      </c>
      <c r="D3613" t="s">
        <v>3915</v>
      </c>
      <c r="E3613" s="2">
        <v>40179</v>
      </c>
      <c r="F3613" t="str">
        <f>"9781607804338"</f>
        <v>9781607804338</v>
      </c>
      <c r="G3613" t="str">
        <f>""</f>
        <v/>
      </c>
      <c r="H3613" t="s">
        <v>353</v>
      </c>
      <c r="I3613">
        <v>301.2</v>
      </c>
      <c r="J3613" t="s">
        <v>7413</v>
      </c>
      <c r="K3613" t="s">
        <v>44</v>
      </c>
      <c r="N3613" t="s">
        <v>45</v>
      </c>
      <c r="O3613" t="s">
        <v>46</v>
      </c>
      <c r="P3613" t="s">
        <v>45</v>
      </c>
      <c r="Q3613" t="s">
        <v>47</v>
      </c>
      <c r="R3613" t="s">
        <v>44</v>
      </c>
      <c r="S3613">
        <v>0</v>
      </c>
      <c r="W3613" s="3">
        <v>2.2743055555555555E-2</v>
      </c>
      <c r="X3613" t="s">
        <v>7418</v>
      </c>
      <c r="Y3613">
        <v>10</v>
      </c>
      <c r="Z3613">
        <v>0</v>
      </c>
      <c r="AA3613" t="s">
        <v>49</v>
      </c>
      <c r="AB3613">
        <v>0</v>
      </c>
      <c r="AC3613" t="s">
        <v>7419</v>
      </c>
      <c r="AD3613">
        <v>3</v>
      </c>
      <c r="AE3613">
        <v>10389264</v>
      </c>
      <c r="AF3613" t="s">
        <v>50</v>
      </c>
      <c r="AG3613" t="s">
        <v>7205</v>
      </c>
    </row>
    <row r="3614" spans="1:33" x14ac:dyDescent="0.35">
      <c r="A3614" s="1">
        <v>44684.86041666667</v>
      </c>
      <c r="B3614">
        <v>858642</v>
      </c>
      <c r="C3614" t="s">
        <v>7401</v>
      </c>
      <c r="D3614" t="s">
        <v>65</v>
      </c>
      <c r="E3614" s="2">
        <v>40855</v>
      </c>
      <c r="F3614" t="str">
        <f>"9780123847010"</f>
        <v>9780123847010</v>
      </c>
      <c r="G3614" t="str">
        <f>"9780123847003"</f>
        <v>9780123847003</v>
      </c>
      <c r="H3614" t="s">
        <v>831</v>
      </c>
      <c r="I3614" t="s">
        <v>7402</v>
      </c>
      <c r="J3614" t="s">
        <v>7403</v>
      </c>
      <c r="K3614" t="s">
        <v>44</v>
      </c>
      <c r="N3614" t="s">
        <v>45</v>
      </c>
      <c r="O3614" t="s">
        <v>46</v>
      </c>
      <c r="P3614" t="s">
        <v>45</v>
      </c>
      <c r="Q3614" t="s">
        <v>47</v>
      </c>
      <c r="R3614" t="s">
        <v>44</v>
      </c>
      <c r="S3614">
        <v>0</v>
      </c>
      <c r="W3614" s="3">
        <v>0</v>
      </c>
      <c r="X3614" t="s">
        <v>49</v>
      </c>
      <c r="Y3614">
        <v>0</v>
      </c>
      <c r="Z3614">
        <v>0</v>
      </c>
      <c r="AA3614" t="s">
        <v>49</v>
      </c>
      <c r="AB3614">
        <v>0</v>
      </c>
      <c r="AC3614" t="s">
        <v>49</v>
      </c>
      <c r="AD3614">
        <v>0</v>
      </c>
      <c r="AE3614">
        <v>10521162</v>
      </c>
      <c r="AF3614" t="s">
        <v>50</v>
      </c>
      <c r="AG3614" t="s">
        <v>1451</v>
      </c>
    </row>
    <row r="3615" spans="1:33" x14ac:dyDescent="0.35">
      <c r="A3615" s="1">
        <v>44684.727083333331</v>
      </c>
      <c r="B3615">
        <v>3007493</v>
      </c>
      <c r="C3615" t="s">
        <v>7420</v>
      </c>
      <c r="D3615" t="s">
        <v>7421</v>
      </c>
      <c r="E3615" s="2">
        <v>43947</v>
      </c>
      <c r="F3615" t="str">
        <f>"9781783039746"</f>
        <v>9781783039746</v>
      </c>
      <c r="G3615" t="str">
        <f>"9781848845237"</f>
        <v>9781848845237</v>
      </c>
      <c r="H3615" t="s">
        <v>667</v>
      </c>
      <c r="I3615">
        <v>943.08609200000001</v>
      </c>
      <c r="J3615" t="s">
        <v>7422</v>
      </c>
      <c r="K3615" t="s">
        <v>44</v>
      </c>
      <c r="N3615" t="s">
        <v>45</v>
      </c>
      <c r="O3615" t="s">
        <v>46</v>
      </c>
      <c r="P3615" t="s">
        <v>45</v>
      </c>
      <c r="Q3615" t="s">
        <v>47</v>
      </c>
      <c r="R3615" t="s">
        <v>44</v>
      </c>
      <c r="S3615">
        <v>0</v>
      </c>
      <c r="W3615" s="3">
        <v>7.9861111111111105E-4</v>
      </c>
      <c r="X3615" t="s">
        <v>7423</v>
      </c>
      <c r="Y3615">
        <v>6</v>
      </c>
      <c r="Z3615">
        <v>0</v>
      </c>
      <c r="AA3615" t="s">
        <v>49</v>
      </c>
      <c r="AB3615">
        <v>0</v>
      </c>
      <c r="AC3615" t="s">
        <v>49</v>
      </c>
      <c r="AD3615">
        <v>0</v>
      </c>
      <c r="AE3615">
        <v>10656341</v>
      </c>
      <c r="AF3615" t="s">
        <v>50</v>
      </c>
      <c r="AG3615" t="s">
        <v>7301</v>
      </c>
    </row>
    <row r="3616" spans="1:33" x14ac:dyDescent="0.35">
      <c r="A3616" s="1">
        <v>44684.701388888891</v>
      </c>
      <c r="B3616">
        <v>3007493</v>
      </c>
      <c r="C3616" t="s">
        <v>7420</v>
      </c>
      <c r="D3616" t="s">
        <v>7421</v>
      </c>
      <c r="E3616" s="2">
        <v>43947</v>
      </c>
      <c r="F3616" t="str">
        <f>"9781783039746"</f>
        <v>9781783039746</v>
      </c>
      <c r="G3616" t="str">
        <f>"9781848845237"</f>
        <v>9781848845237</v>
      </c>
      <c r="H3616" t="s">
        <v>667</v>
      </c>
      <c r="I3616">
        <v>943.08609200000001</v>
      </c>
      <c r="J3616" t="s">
        <v>7422</v>
      </c>
      <c r="K3616" t="s">
        <v>44</v>
      </c>
      <c r="N3616" t="s">
        <v>45</v>
      </c>
      <c r="O3616" t="s">
        <v>46</v>
      </c>
      <c r="P3616" t="s">
        <v>45</v>
      </c>
      <c r="Q3616" t="s">
        <v>47</v>
      </c>
      <c r="R3616" t="s">
        <v>44</v>
      </c>
      <c r="S3616">
        <v>0</v>
      </c>
      <c r="W3616" s="3">
        <v>2.673611111111111E-3</v>
      </c>
      <c r="X3616" t="s">
        <v>7424</v>
      </c>
      <c r="Y3616">
        <v>4</v>
      </c>
      <c r="Z3616">
        <v>0</v>
      </c>
      <c r="AA3616" t="s">
        <v>49</v>
      </c>
      <c r="AB3616">
        <v>0</v>
      </c>
      <c r="AC3616" t="s">
        <v>49</v>
      </c>
      <c r="AD3616">
        <v>0</v>
      </c>
      <c r="AE3616">
        <v>10656341</v>
      </c>
      <c r="AF3616" t="s">
        <v>50</v>
      </c>
      <c r="AG3616" t="s">
        <v>7301</v>
      </c>
    </row>
    <row r="3617" spans="1:33" x14ac:dyDescent="0.35">
      <c r="A3617" s="1">
        <v>44683.831944444442</v>
      </c>
      <c r="B3617">
        <v>1658826</v>
      </c>
      <c r="C3617" t="s">
        <v>7425</v>
      </c>
      <c r="D3617" t="s">
        <v>59</v>
      </c>
      <c r="E3617" s="2">
        <v>41778</v>
      </c>
      <c r="F3617" t="str">
        <f>"9783527655656"</f>
        <v>9783527655656</v>
      </c>
      <c r="G3617" t="str">
        <f>"9783527329861"</f>
        <v>9783527329861</v>
      </c>
      <c r="H3617" t="s">
        <v>60</v>
      </c>
      <c r="I3617">
        <v>658.5</v>
      </c>
      <c r="J3617" t="s">
        <v>7426</v>
      </c>
      <c r="K3617" t="s">
        <v>44</v>
      </c>
      <c r="N3617" t="s">
        <v>45</v>
      </c>
      <c r="O3617" t="s">
        <v>46</v>
      </c>
      <c r="P3617" t="s">
        <v>45</v>
      </c>
      <c r="Q3617" t="s">
        <v>47</v>
      </c>
      <c r="R3617" t="s">
        <v>44</v>
      </c>
      <c r="S3617">
        <v>0</v>
      </c>
      <c r="W3617" s="3">
        <v>1.3310185185185185E-3</v>
      </c>
      <c r="X3617" t="s">
        <v>7427</v>
      </c>
      <c r="Y3617">
        <v>11</v>
      </c>
      <c r="Z3617">
        <v>0</v>
      </c>
      <c r="AA3617" t="s">
        <v>49</v>
      </c>
      <c r="AB3617">
        <v>0</v>
      </c>
      <c r="AC3617" t="s">
        <v>49</v>
      </c>
      <c r="AD3617">
        <v>0</v>
      </c>
      <c r="AE3617">
        <v>10855742</v>
      </c>
      <c r="AF3617" t="s">
        <v>50</v>
      </c>
      <c r="AG3617" t="s">
        <v>7301</v>
      </c>
    </row>
    <row r="3618" spans="1:33" x14ac:dyDescent="0.35">
      <c r="A3618" s="1">
        <v>44683.469444444447</v>
      </c>
      <c r="B3618">
        <v>476208</v>
      </c>
      <c r="C3618" t="s">
        <v>7428</v>
      </c>
      <c r="D3618" t="s">
        <v>711</v>
      </c>
      <c r="E3618" s="2">
        <v>40148</v>
      </c>
      <c r="F3618" t="str">
        <f>"9780821380833"</f>
        <v>9780821380833</v>
      </c>
      <c r="G3618" t="str">
        <f>"9780821380413"</f>
        <v>9780821380413</v>
      </c>
      <c r="H3618" t="s">
        <v>7429</v>
      </c>
      <c r="I3618">
        <v>363.6096</v>
      </c>
      <c r="J3618" t="s">
        <v>7430</v>
      </c>
      <c r="K3618" t="s">
        <v>44</v>
      </c>
      <c r="N3618" t="s">
        <v>45</v>
      </c>
      <c r="O3618" t="s">
        <v>46</v>
      </c>
      <c r="P3618" t="s">
        <v>177</v>
      </c>
      <c r="Q3618" t="s">
        <v>47</v>
      </c>
      <c r="R3618" t="s">
        <v>55</v>
      </c>
      <c r="S3618">
        <v>0</v>
      </c>
      <c r="W3618" s="3">
        <v>7.3495370370370372E-3</v>
      </c>
      <c r="X3618" t="s">
        <v>3105</v>
      </c>
      <c r="Y3618">
        <v>3</v>
      </c>
      <c r="Z3618">
        <v>0</v>
      </c>
      <c r="AA3618" t="s">
        <v>49</v>
      </c>
      <c r="AB3618">
        <v>0</v>
      </c>
      <c r="AC3618" t="s">
        <v>49</v>
      </c>
      <c r="AD3618">
        <v>0</v>
      </c>
      <c r="AE3618">
        <v>10356793</v>
      </c>
      <c r="AF3618" t="s">
        <v>50</v>
      </c>
      <c r="AG3618" t="s">
        <v>7431</v>
      </c>
    </row>
    <row r="3619" spans="1:33" x14ac:dyDescent="0.35">
      <c r="A3619" s="1">
        <v>44682.963888888888</v>
      </c>
      <c r="B3619">
        <v>3339851</v>
      </c>
      <c r="C3619" t="s">
        <v>1048</v>
      </c>
      <c r="D3619" t="s">
        <v>303</v>
      </c>
      <c r="E3619" s="2">
        <v>41873</v>
      </c>
      <c r="F3619" t="str">
        <f>"9780262325745"</f>
        <v>9780262325745</v>
      </c>
      <c r="G3619" t="str">
        <f>"9780262028189"</f>
        <v>9780262028189</v>
      </c>
      <c r="H3619" t="s">
        <v>106</v>
      </c>
      <c r="I3619" t="s">
        <v>1049</v>
      </c>
      <c r="J3619" t="s">
        <v>1050</v>
      </c>
      <c r="K3619" t="s">
        <v>44</v>
      </c>
      <c r="N3619" t="s">
        <v>45</v>
      </c>
      <c r="O3619" t="s">
        <v>46</v>
      </c>
      <c r="P3619" t="s">
        <v>45</v>
      </c>
      <c r="Q3619" t="s">
        <v>47</v>
      </c>
      <c r="R3619" t="s">
        <v>44</v>
      </c>
      <c r="S3619">
        <v>0</v>
      </c>
      <c r="W3619" s="3">
        <v>8.3333333333333339E-4</v>
      </c>
      <c r="X3619" t="s">
        <v>7432</v>
      </c>
      <c r="Y3619">
        <v>12</v>
      </c>
      <c r="Z3619">
        <v>0</v>
      </c>
      <c r="AA3619" t="s">
        <v>49</v>
      </c>
      <c r="AB3619">
        <v>0</v>
      </c>
      <c r="AC3619" t="s">
        <v>49</v>
      </c>
      <c r="AD3619">
        <v>0</v>
      </c>
      <c r="AE3619">
        <v>10919034</v>
      </c>
      <c r="AF3619" t="s">
        <v>50</v>
      </c>
      <c r="AG3619" t="s">
        <v>7205</v>
      </c>
    </row>
    <row r="3620" spans="1:33" x14ac:dyDescent="0.35">
      <c r="A3620" s="1">
        <v>44681.544444444444</v>
      </c>
      <c r="B3620">
        <v>468030</v>
      </c>
      <c r="C3620" t="s">
        <v>7433</v>
      </c>
      <c r="D3620" t="s">
        <v>473</v>
      </c>
      <c r="E3620" s="2">
        <v>39470</v>
      </c>
      <c r="F3620" t="str">
        <f>"9789047432593"</f>
        <v>9789047432593</v>
      </c>
      <c r="G3620" t="str">
        <f>"9789004164451"</f>
        <v>9789004164451</v>
      </c>
      <c r="H3620" t="s">
        <v>2717</v>
      </c>
      <c r="I3620">
        <v>16.355009409019999</v>
      </c>
      <c r="J3620" t="s">
        <v>7434</v>
      </c>
      <c r="K3620" t="s">
        <v>44</v>
      </c>
      <c r="N3620" t="s">
        <v>45</v>
      </c>
      <c r="O3620" t="s">
        <v>46</v>
      </c>
      <c r="P3620" t="s">
        <v>45</v>
      </c>
      <c r="Q3620" t="s">
        <v>47</v>
      </c>
      <c r="R3620" t="s">
        <v>44</v>
      </c>
      <c r="S3620">
        <v>0</v>
      </c>
      <c r="W3620" s="3">
        <v>2.9976851851851848E-3</v>
      </c>
      <c r="X3620" t="s">
        <v>7435</v>
      </c>
      <c r="Y3620">
        <v>8</v>
      </c>
      <c r="Z3620">
        <v>0</v>
      </c>
      <c r="AA3620" t="s">
        <v>49</v>
      </c>
      <c r="AB3620">
        <v>0</v>
      </c>
      <c r="AC3620" t="s">
        <v>49</v>
      </c>
      <c r="AD3620">
        <v>0</v>
      </c>
      <c r="AE3620">
        <v>10363791</v>
      </c>
      <c r="AF3620" t="s">
        <v>50</v>
      </c>
      <c r="AG3620" t="s">
        <v>7205</v>
      </c>
    </row>
    <row r="3621" spans="1:33" x14ac:dyDescent="0.35">
      <c r="A3621" s="1">
        <v>44680.349305555559</v>
      </c>
      <c r="B3621">
        <v>5846444</v>
      </c>
      <c r="C3621" t="s">
        <v>7436</v>
      </c>
      <c r="D3621" t="s">
        <v>7437</v>
      </c>
      <c r="E3621" s="2">
        <v>43647</v>
      </c>
      <c r="F3621" t="str">
        <f>"9781925339956"</f>
        <v>9781925339956</v>
      </c>
      <c r="G3621" t="str">
        <f>"9781925339949"</f>
        <v>9781925339949</v>
      </c>
      <c r="H3621" t="s">
        <v>1046</v>
      </c>
      <c r="K3621" t="s">
        <v>55</v>
      </c>
      <c r="Q3621" t="s">
        <v>47</v>
      </c>
      <c r="R3621" t="s">
        <v>44</v>
      </c>
      <c r="S3621">
        <v>0</v>
      </c>
      <c r="W3621" s="3">
        <v>1.5856481481481479E-3</v>
      </c>
      <c r="X3621" t="s">
        <v>7438</v>
      </c>
      <c r="Y3621">
        <v>13</v>
      </c>
      <c r="Z3621">
        <v>0</v>
      </c>
      <c r="AA3621" t="s">
        <v>49</v>
      </c>
      <c r="AB3621">
        <v>0</v>
      </c>
      <c r="AC3621" t="s">
        <v>49</v>
      </c>
      <c r="AD3621">
        <v>0</v>
      </c>
      <c r="AE3621">
        <v>-1</v>
      </c>
      <c r="AF3621" t="s">
        <v>50</v>
      </c>
      <c r="AG3621" t="s">
        <v>7205</v>
      </c>
    </row>
    <row r="3622" spans="1:33" x14ac:dyDescent="0.35">
      <c r="A3622" s="1">
        <v>44679.978472222225</v>
      </c>
      <c r="B3622">
        <v>483314</v>
      </c>
      <c r="C3622" t="s">
        <v>7439</v>
      </c>
      <c r="D3622" t="s">
        <v>150</v>
      </c>
      <c r="E3622" s="2">
        <v>34967</v>
      </c>
      <c r="F3622" t="str">
        <f>"9780857022820"</f>
        <v>9780857022820</v>
      </c>
      <c r="G3622" t="str">
        <f>"9780803975132"</f>
        <v>9780803975132</v>
      </c>
      <c r="H3622" t="s">
        <v>3305</v>
      </c>
      <c r="I3622">
        <v>338.47910000000002</v>
      </c>
      <c r="J3622">
        <v>95069619</v>
      </c>
      <c r="K3622" t="s">
        <v>44</v>
      </c>
      <c r="N3622" t="s">
        <v>45</v>
      </c>
      <c r="O3622" t="s">
        <v>46</v>
      </c>
      <c r="P3622" t="s">
        <v>45</v>
      </c>
      <c r="Q3622" t="s">
        <v>47</v>
      </c>
      <c r="R3622" t="s">
        <v>44</v>
      </c>
      <c r="S3622">
        <v>0</v>
      </c>
      <c r="W3622" s="3">
        <v>6.3657407407407402E-4</v>
      </c>
      <c r="X3622" t="s">
        <v>7440</v>
      </c>
      <c r="Y3622">
        <v>8</v>
      </c>
      <c r="Z3622">
        <v>0</v>
      </c>
      <c r="AA3622" t="s">
        <v>49</v>
      </c>
      <c r="AB3622">
        <v>0</v>
      </c>
      <c r="AC3622" t="s">
        <v>49</v>
      </c>
      <c r="AD3622">
        <v>0</v>
      </c>
      <c r="AE3622">
        <v>10369645</v>
      </c>
      <c r="AF3622" t="s">
        <v>50</v>
      </c>
      <c r="AG3622" t="s">
        <v>7205</v>
      </c>
    </row>
    <row r="3623" spans="1:33" x14ac:dyDescent="0.35">
      <c r="A3623" s="1">
        <v>44679.180555555555</v>
      </c>
      <c r="B3623">
        <v>1652845</v>
      </c>
      <c r="C3623" t="s">
        <v>7441</v>
      </c>
      <c r="D3623" t="s">
        <v>76</v>
      </c>
      <c r="E3623" s="2">
        <v>43224</v>
      </c>
      <c r="F3623" t="str">
        <f>"9780429961649"</f>
        <v>9780429961649</v>
      </c>
      <c r="G3623" t="str">
        <f>"9780813349503"</f>
        <v>9780813349503</v>
      </c>
      <c r="H3623" t="s">
        <v>1046</v>
      </c>
      <c r="I3623">
        <v>302</v>
      </c>
      <c r="J3623" t="s">
        <v>7442</v>
      </c>
      <c r="K3623" t="s">
        <v>44</v>
      </c>
      <c r="N3623" t="s">
        <v>45</v>
      </c>
      <c r="O3623" t="s">
        <v>46</v>
      </c>
      <c r="P3623" t="s">
        <v>45</v>
      </c>
      <c r="Q3623" t="s">
        <v>47</v>
      </c>
      <c r="R3623" t="s">
        <v>44</v>
      </c>
      <c r="S3623">
        <v>0</v>
      </c>
      <c r="W3623" s="3">
        <v>3.4953703703703705E-3</v>
      </c>
      <c r="X3623" t="s">
        <v>7443</v>
      </c>
      <c r="Y3623">
        <v>29</v>
      </c>
      <c r="Z3623">
        <v>0</v>
      </c>
      <c r="AA3623" t="s">
        <v>49</v>
      </c>
      <c r="AB3623">
        <v>0</v>
      </c>
      <c r="AC3623" t="s">
        <v>49</v>
      </c>
      <c r="AD3623">
        <v>0</v>
      </c>
      <c r="AE3623">
        <v>10901796</v>
      </c>
      <c r="AF3623" t="s">
        <v>50</v>
      </c>
      <c r="AG3623" t="s">
        <v>1451</v>
      </c>
    </row>
    <row r="3624" spans="1:33" x14ac:dyDescent="0.35">
      <c r="A3624" s="1">
        <v>44678.484722222223</v>
      </c>
      <c r="B3624">
        <v>1354400</v>
      </c>
      <c r="C3624" t="s">
        <v>7311</v>
      </c>
      <c r="D3624" t="s">
        <v>1585</v>
      </c>
      <c r="E3624" s="2">
        <v>36782</v>
      </c>
      <c r="F3624" t="str">
        <f>"9780809390373"</f>
        <v>9780809390373</v>
      </c>
      <c r="G3624" t="str">
        <f>"9780809323425"</f>
        <v>9780809323425</v>
      </c>
      <c r="H3624" t="s">
        <v>667</v>
      </c>
      <c r="J3624" t="s">
        <v>7312</v>
      </c>
      <c r="K3624" t="s">
        <v>44</v>
      </c>
      <c r="N3624" t="s">
        <v>45</v>
      </c>
      <c r="O3624" t="s">
        <v>46</v>
      </c>
      <c r="P3624" t="s">
        <v>45</v>
      </c>
      <c r="Q3624" t="s">
        <v>47</v>
      </c>
      <c r="R3624" t="s">
        <v>44</v>
      </c>
      <c r="S3624">
        <v>0</v>
      </c>
      <c r="W3624" s="3">
        <v>6.2500000000000001E-4</v>
      </c>
      <c r="X3624" t="s">
        <v>121</v>
      </c>
      <c r="Y3624">
        <v>1</v>
      </c>
      <c r="Z3624">
        <v>0</v>
      </c>
      <c r="AA3624" t="s">
        <v>49</v>
      </c>
      <c r="AB3624">
        <v>0</v>
      </c>
      <c r="AC3624" t="s">
        <v>49</v>
      </c>
      <c r="AD3624">
        <v>0</v>
      </c>
      <c r="AE3624">
        <v>10555641</v>
      </c>
      <c r="AF3624" t="s">
        <v>50</v>
      </c>
      <c r="AG3624" t="s">
        <v>7205</v>
      </c>
    </row>
    <row r="3625" spans="1:33" x14ac:dyDescent="0.35">
      <c r="A3625" s="1">
        <v>44677.710416666669</v>
      </c>
      <c r="B3625">
        <v>6709702</v>
      </c>
      <c r="C3625" t="s">
        <v>7444</v>
      </c>
      <c r="D3625" t="s">
        <v>2271</v>
      </c>
      <c r="E3625" s="2">
        <v>34600</v>
      </c>
      <c r="F3625" t="str">
        <f>"9783662016329"</f>
        <v>9783662016329</v>
      </c>
      <c r="G3625" t="str">
        <f>"9783540547617"</f>
        <v>9783540547617</v>
      </c>
      <c r="H3625" t="s">
        <v>801</v>
      </c>
      <c r="I3625">
        <v>3.5</v>
      </c>
      <c r="J3625" t="s">
        <v>7445</v>
      </c>
      <c r="K3625" t="s">
        <v>55</v>
      </c>
      <c r="N3625" t="s">
        <v>79</v>
      </c>
      <c r="P3625" t="s">
        <v>80</v>
      </c>
      <c r="Q3625" t="s">
        <v>47</v>
      </c>
      <c r="R3625" t="s">
        <v>44</v>
      </c>
      <c r="S3625">
        <v>0</v>
      </c>
      <c r="W3625" s="3">
        <v>1.6909722222222225E-2</v>
      </c>
      <c r="X3625" t="s">
        <v>7446</v>
      </c>
      <c r="Y3625">
        <v>67</v>
      </c>
      <c r="Z3625">
        <v>0</v>
      </c>
      <c r="AA3625" t="s">
        <v>49</v>
      </c>
      <c r="AB3625">
        <v>0</v>
      </c>
      <c r="AC3625" t="s">
        <v>49</v>
      </c>
      <c r="AD3625">
        <v>0</v>
      </c>
      <c r="AE3625">
        <v>-1</v>
      </c>
      <c r="AF3625" t="s">
        <v>50</v>
      </c>
      <c r="AG3625" t="s">
        <v>7205</v>
      </c>
    </row>
    <row r="3626" spans="1:33" x14ac:dyDescent="0.35">
      <c r="A3626" s="1">
        <v>44675.53402777778</v>
      </c>
      <c r="B3626">
        <v>858659</v>
      </c>
      <c r="C3626" t="s">
        <v>7447</v>
      </c>
      <c r="D3626" t="s">
        <v>65</v>
      </c>
      <c r="E3626" s="2">
        <v>40957</v>
      </c>
      <c r="F3626" t="str">
        <f>"9780080966601"</f>
        <v>9780080966601</v>
      </c>
      <c r="G3626" t="str">
        <f>"9780080966595"</f>
        <v>9780080966595</v>
      </c>
      <c r="H3626" t="s">
        <v>116</v>
      </c>
      <c r="I3626" t="s">
        <v>7448</v>
      </c>
      <c r="J3626" t="s">
        <v>7449</v>
      </c>
      <c r="K3626" t="s">
        <v>44</v>
      </c>
      <c r="N3626" t="s">
        <v>45</v>
      </c>
      <c r="O3626" t="s">
        <v>46</v>
      </c>
      <c r="P3626" t="s">
        <v>45</v>
      </c>
      <c r="Q3626" t="s">
        <v>47</v>
      </c>
      <c r="R3626" t="s">
        <v>44</v>
      </c>
      <c r="S3626">
        <v>0</v>
      </c>
      <c r="W3626" s="3">
        <v>3.4722222222222224E-4</v>
      </c>
      <c r="X3626" t="s">
        <v>7450</v>
      </c>
      <c r="Y3626">
        <v>6</v>
      </c>
      <c r="Z3626">
        <v>0</v>
      </c>
      <c r="AA3626" t="s">
        <v>49</v>
      </c>
      <c r="AB3626">
        <v>0</v>
      </c>
      <c r="AC3626" t="s">
        <v>49</v>
      </c>
      <c r="AD3626">
        <v>0</v>
      </c>
      <c r="AE3626">
        <v>10562149</v>
      </c>
      <c r="AF3626" t="s">
        <v>50</v>
      </c>
      <c r="AG3626" t="s">
        <v>7336</v>
      </c>
    </row>
    <row r="3627" spans="1:33" x14ac:dyDescent="0.35">
      <c r="A3627" s="1">
        <v>44675.152083333334</v>
      </c>
      <c r="B3627">
        <v>870699</v>
      </c>
      <c r="C3627" t="s">
        <v>7451</v>
      </c>
      <c r="D3627" t="s">
        <v>76</v>
      </c>
      <c r="E3627" s="2">
        <v>40988</v>
      </c>
      <c r="F3627" t="str">
        <f>"9781439863084"</f>
        <v>9781439863084</v>
      </c>
      <c r="G3627" t="str">
        <f>"9781439863077"</f>
        <v>9781439863077</v>
      </c>
      <c r="H3627" t="s">
        <v>60</v>
      </c>
      <c r="I3627">
        <v>658.50015117999999</v>
      </c>
      <c r="J3627" t="s">
        <v>7452</v>
      </c>
      <c r="K3627" t="s">
        <v>44</v>
      </c>
      <c r="N3627" t="s">
        <v>45</v>
      </c>
      <c r="O3627" t="s">
        <v>46</v>
      </c>
      <c r="P3627" t="s">
        <v>45</v>
      </c>
      <c r="Q3627" t="s">
        <v>47</v>
      </c>
      <c r="R3627" t="s">
        <v>44</v>
      </c>
      <c r="S3627">
        <v>0</v>
      </c>
      <c r="W3627" s="3">
        <v>4.8842592592592592E-3</v>
      </c>
      <c r="X3627" t="s">
        <v>7453</v>
      </c>
      <c r="Y3627">
        <v>56</v>
      </c>
      <c r="Z3627">
        <v>0</v>
      </c>
      <c r="AA3627" t="s">
        <v>49</v>
      </c>
      <c r="AB3627">
        <v>0</v>
      </c>
      <c r="AC3627" t="s">
        <v>49</v>
      </c>
      <c r="AD3627">
        <v>0</v>
      </c>
      <c r="AE3627">
        <v>10539013</v>
      </c>
      <c r="AF3627" t="s">
        <v>50</v>
      </c>
      <c r="AG3627" t="s">
        <v>7454</v>
      </c>
    </row>
    <row r="3628" spans="1:33" x14ac:dyDescent="0.35">
      <c r="A3628" s="1">
        <v>44674.652777777781</v>
      </c>
      <c r="B3628">
        <v>4742536</v>
      </c>
      <c r="C3628" t="s">
        <v>7455</v>
      </c>
      <c r="D3628" t="s">
        <v>1403</v>
      </c>
      <c r="E3628" s="2">
        <v>42275</v>
      </c>
      <c r="F3628" t="str">
        <f>"9781606498712"</f>
        <v>9781606498712</v>
      </c>
      <c r="G3628" t="str">
        <f>"9781606498705"</f>
        <v>9781606498705</v>
      </c>
      <c r="H3628" t="s">
        <v>60</v>
      </c>
      <c r="I3628">
        <v>658.40355</v>
      </c>
      <c r="J3628" t="s">
        <v>7456</v>
      </c>
      <c r="K3628" t="s">
        <v>44</v>
      </c>
      <c r="N3628" t="s">
        <v>45</v>
      </c>
      <c r="O3628" t="s">
        <v>46</v>
      </c>
      <c r="P3628" t="s">
        <v>45</v>
      </c>
      <c r="Q3628" t="s">
        <v>47</v>
      </c>
      <c r="R3628" t="s">
        <v>44</v>
      </c>
      <c r="S3628">
        <v>0</v>
      </c>
      <c r="W3628" s="3">
        <v>0</v>
      </c>
      <c r="X3628" t="s">
        <v>49</v>
      </c>
      <c r="Y3628">
        <v>0</v>
      </c>
      <c r="Z3628">
        <v>0</v>
      </c>
      <c r="AA3628" t="s">
        <v>49</v>
      </c>
      <c r="AB3628">
        <v>0</v>
      </c>
      <c r="AC3628" t="s">
        <v>49</v>
      </c>
      <c r="AD3628">
        <v>0</v>
      </c>
      <c r="AE3628">
        <v>11298172</v>
      </c>
      <c r="AF3628" t="s">
        <v>50</v>
      </c>
      <c r="AG3628" t="s">
        <v>7457</v>
      </c>
    </row>
    <row r="3629" spans="1:33" x14ac:dyDescent="0.35">
      <c r="A3629" s="1">
        <v>44673.953472222223</v>
      </c>
      <c r="B3629">
        <v>1367787</v>
      </c>
      <c r="C3629" t="s">
        <v>7458</v>
      </c>
      <c r="D3629" t="s">
        <v>473</v>
      </c>
      <c r="E3629" s="2">
        <v>41508</v>
      </c>
      <c r="F3629" t="str">
        <f>"9789004244870"</f>
        <v>9789004244870</v>
      </c>
      <c r="G3629" t="str">
        <f>"9789004244863"</f>
        <v>9789004244863</v>
      </c>
      <c r="H3629" t="s">
        <v>667</v>
      </c>
      <c r="I3629">
        <v>940.28</v>
      </c>
      <c r="J3629" t="s">
        <v>7459</v>
      </c>
      <c r="K3629" t="s">
        <v>44</v>
      </c>
      <c r="N3629" t="s">
        <v>45</v>
      </c>
      <c r="O3629" t="s">
        <v>46</v>
      </c>
      <c r="P3629" t="s">
        <v>45</v>
      </c>
      <c r="Q3629" t="s">
        <v>47</v>
      </c>
      <c r="R3629" t="s">
        <v>44</v>
      </c>
      <c r="S3629">
        <v>2</v>
      </c>
      <c r="W3629" s="3">
        <v>0</v>
      </c>
      <c r="X3629" t="s">
        <v>49</v>
      </c>
      <c r="Y3629">
        <v>0</v>
      </c>
      <c r="Z3629">
        <v>0</v>
      </c>
      <c r="AA3629" t="s">
        <v>49</v>
      </c>
      <c r="AB3629">
        <v>0</v>
      </c>
      <c r="AC3629" t="s">
        <v>49</v>
      </c>
      <c r="AD3629">
        <v>0</v>
      </c>
      <c r="AE3629">
        <v>10757079</v>
      </c>
      <c r="AF3629" t="s">
        <v>63</v>
      </c>
      <c r="AG3629" t="s">
        <v>7457</v>
      </c>
    </row>
    <row r="3630" spans="1:33" x14ac:dyDescent="0.35">
      <c r="A3630" s="1">
        <v>44672.839583333334</v>
      </c>
      <c r="B3630">
        <v>3116696</v>
      </c>
      <c r="C3630" t="s">
        <v>7460</v>
      </c>
      <c r="D3630" t="s">
        <v>1550</v>
      </c>
      <c r="E3630" s="2">
        <v>40360</v>
      </c>
      <c r="F3630" t="str">
        <f>"9781613001127"</f>
        <v>9781613001127</v>
      </c>
      <c r="G3630" t="str">
        <f>"9781583217818"</f>
        <v>9781583217818</v>
      </c>
      <c r="H3630" t="s">
        <v>290</v>
      </c>
      <c r="I3630" t="s">
        <v>7461</v>
      </c>
      <c r="J3630" t="s">
        <v>7462</v>
      </c>
      <c r="K3630" t="s">
        <v>44</v>
      </c>
      <c r="N3630" t="s">
        <v>45</v>
      </c>
      <c r="O3630" t="s">
        <v>46</v>
      </c>
      <c r="P3630" t="s">
        <v>45</v>
      </c>
      <c r="Q3630" t="s">
        <v>47</v>
      </c>
      <c r="R3630" t="s">
        <v>44</v>
      </c>
      <c r="S3630">
        <v>0</v>
      </c>
      <c r="W3630" s="3">
        <v>9.3750000000000007E-4</v>
      </c>
      <c r="X3630" t="s">
        <v>6049</v>
      </c>
      <c r="Y3630">
        <v>9</v>
      </c>
      <c r="Z3630">
        <v>0</v>
      </c>
      <c r="AA3630" t="s">
        <v>49</v>
      </c>
      <c r="AB3630">
        <v>0</v>
      </c>
      <c r="AC3630" t="s">
        <v>49</v>
      </c>
      <c r="AD3630">
        <v>0</v>
      </c>
      <c r="AE3630">
        <v>10522351</v>
      </c>
      <c r="AF3630" t="s">
        <v>63</v>
      </c>
      <c r="AG3630" t="s">
        <v>7205</v>
      </c>
    </row>
    <row r="3631" spans="1:33" x14ac:dyDescent="0.35">
      <c r="A3631" s="1">
        <v>44672.834722222222</v>
      </c>
      <c r="B3631">
        <v>6324646</v>
      </c>
      <c r="C3631" t="s">
        <v>7463</v>
      </c>
      <c r="D3631" t="s">
        <v>76</v>
      </c>
      <c r="E3631" s="2">
        <v>44027</v>
      </c>
      <c r="F3631" t="str">
        <f>"9781000090178"</f>
        <v>9781000090178</v>
      </c>
      <c r="G3631" t="str">
        <f>"9780367503017"</f>
        <v>9780367503017</v>
      </c>
      <c r="H3631" t="s">
        <v>261</v>
      </c>
      <c r="I3631">
        <v>628.10917319999896</v>
      </c>
      <c r="J3631" t="s">
        <v>7464</v>
      </c>
      <c r="K3631" t="s">
        <v>55</v>
      </c>
      <c r="Q3631" t="s">
        <v>47</v>
      </c>
      <c r="R3631" t="s">
        <v>44</v>
      </c>
      <c r="S3631">
        <v>0</v>
      </c>
      <c r="W3631" s="3">
        <v>2.9629629629629628E-3</v>
      </c>
      <c r="X3631" t="s">
        <v>7465</v>
      </c>
      <c r="Y3631">
        <v>15</v>
      </c>
      <c r="Z3631">
        <v>0</v>
      </c>
      <c r="AA3631" t="s">
        <v>49</v>
      </c>
      <c r="AB3631">
        <v>0</v>
      </c>
      <c r="AC3631" t="s">
        <v>49</v>
      </c>
      <c r="AD3631">
        <v>0</v>
      </c>
      <c r="AE3631">
        <v>-1</v>
      </c>
      <c r="AF3631" t="s">
        <v>63</v>
      </c>
      <c r="AG3631" t="s">
        <v>7205</v>
      </c>
    </row>
    <row r="3632" spans="1:33" x14ac:dyDescent="0.35">
      <c r="A3632" s="1">
        <v>44672.830555555556</v>
      </c>
      <c r="B3632">
        <v>3116699</v>
      </c>
      <c r="C3632" t="s">
        <v>7466</v>
      </c>
      <c r="D3632" t="s">
        <v>1550</v>
      </c>
      <c r="E3632" s="2">
        <v>40422</v>
      </c>
      <c r="F3632" t="str">
        <f>"9781613001202"</f>
        <v>9781613001202</v>
      </c>
      <c r="G3632" t="str">
        <f>"9781583218006"</f>
        <v>9781583218006</v>
      </c>
      <c r="H3632" t="s">
        <v>290</v>
      </c>
      <c r="I3632" t="s">
        <v>7461</v>
      </c>
      <c r="J3632" t="s">
        <v>7462</v>
      </c>
      <c r="K3632" t="s">
        <v>44</v>
      </c>
      <c r="N3632" t="s">
        <v>45</v>
      </c>
      <c r="O3632" t="s">
        <v>46</v>
      </c>
      <c r="P3632" t="s">
        <v>45</v>
      </c>
      <c r="Q3632" t="s">
        <v>47</v>
      </c>
      <c r="R3632" t="s">
        <v>44</v>
      </c>
      <c r="S3632">
        <v>1</v>
      </c>
      <c r="W3632" s="3">
        <v>3.5648148148148154E-3</v>
      </c>
      <c r="X3632" t="s">
        <v>7467</v>
      </c>
      <c r="Y3632">
        <v>38</v>
      </c>
      <c r="Z3632">
        <v>1</v>
      </c>
      <c r="AA3632" t="s">
        <v>7468</v>
      </c>
      <c r="AB3632">
        <v>6</v>
      </c>
      <c r="AC3632" t="s">
        <v>49</v>
      </c>
      <c r="AD3632">
        <v>0</v>
      </c>
      <c r="AE3632">
        <v>10522354</v>
      </c>
      <c r="AF3632" t="s">
        <v>63</v>
      </c>
      <c r="AG3632" t="s">
        <v>7205</v>
      </c>
    </row>
    <row r="3633" spans="1:33" x14ac:dyDescent="0.35">
      <c r="A3633" s="1">
        <v>44672.661111111112</v>
      </c>
      <c r="B3633">
        <v>4742536</v>
      </c>
      <c r="C3633" t="s">
        <v>7455</v>
      </c>
      <c r="D3633" t="s">
        <v>1403</v>
      </c>
      <c r="E3633" s="2">
        <v>42275</v>
      </c>
      <c r="F3633" t="str">
        <f>"9781606498712"</f>
        <v>9781606498712</v>
      </c>
      <c r="G3633" t="str">
        <f>"9781606498705"</f>
        <v>9781606498705</v>
      </c>
      <c r="H3633" t="s">
        <v>60</v>
      </c>
      <c r="I3633">
        <v>658.40355</v>
      </c>
      <c r="J3633" t="s">
        <v>7456</v>
      </c>
      <c r="K3633" t="s">
        <v>44</v>
      </c>
      <c r="N3633" t="s">
        <v>45</v>
      </c>
      <c r="O3633" t="s">
        <v>46</v>
      </c>
      <c r="P3633" t="s">
        <v>45</v>
      </c>
      <c r="Q3633" t="s">
        <v>47</v>
      </c>
      <c r="R3633" t="s">
        <v>44</v>
      </c>
      <c r="S3633">
        <v>0</v>
      </c>
      <c r="W3633" s="3">
        <v>0</v>
      </c>
      <c r="X3633" t="s">
        <v>49</v>
      </c>
      <c r="Y3633">
        <v>0</v>
      </c>
      <c r="Z3633">
        <v>1</v>
      </c>
      <c r="AA3633" t="s">
        <v>7469</v>
      </c>
      <c r="AB3633">
        <v>14</v>
      </c>
      <c r="AC3633" t="s">
        <v>49</v>
      </c>
      <c r="AD3633">
        <v>0</v>
      </c>
      <c r="AE3633">
        <v>11298172</v>
      </c>
      <c r="AF3633" t="s">
        <v>50</v>
      </c>
      <c r="AG3633" t="s">
        <v>4814</v>
      </c>
    </row>
    <row r="3634" spans="1:33" x14ac:dyDescent="0.35">
      <c r="A3634" s="1">
        <v>44672.631944444445</v>
      </c>
      <c r="B3634">
        <v>4742536</v>
      </c>
      <c r="C3634" t="s">
        <v>7455</v>
      </c>
      <c r="D3634" t="s">
        <v>1403</v>
      </c>
      <c r="E3634" s="2">
        <v>42275</v>
      </c>
      <c r="F3634" t="str">
        <f>"9781606498712"</f>
        <v>9781606498712</v>
      </c>
      <c r="G3634" t="str">
        <f>"9781606498705"</f>
        <v>9781606498705</v>
      </c>
      <c r="H3634" t="s">
        <v>60</v>
      </c>
      <c r="I3634">
        <v>658.40355</v>
      </c>
      <c r="J3634" t="s">
        <v>7456</v>
      </c>
      <c r="K3634" t="s">
        <v>44</v>
      </c>
      <c r="N3634" t="s">
        <v>45</v>
      </c>
      <c r="O3634" t="s">
        <v>46</v>
      </c>
      <c r="P3634" t="s">
        <v>45</v>
      </c>
      <c r="Q3634" t="s">
        <v>47</v>
      </c>
      <c r="R3634" t="s">
        <v>44</v>
      </c>
      <c r="S3634">
        <v>0</v>
      </c>
      <c r="W3634" s="3">
        <v>2.199074074074074E-4</v>
      </c>
      <c r="X3634" t="s">
        <v>7470</v>
      </c>
      <c r="Y3634">
        <v>6</v>
      </c>
      <c r="Z3634">
        <v>0</v>
      </c>
      <c r="AA3634" t="s">
        <v>49</v>
      </c>
      <c r="AB3634">
        <v>0</v>
      </c>
      <c r="AC3634" t="s">
        <v>49</v>
      </c>
      <c r="AD3634">
        <v>0</v>
      </c>
      <c r="AE3634">
        <v>11298172</v>
      </c>
      <c r="AF3634" t="s">
        <v>50</v>
      </c>
      <c r="AG3634" t="s">
        <v>4814</v>
      </c>
    </row>
    <row r="3635" spans="1:33" x14ac:dyDescent="0.35">
      <c r="A3635" s="1">
        <v>44672.550694444442</v>
      </c>
      <c r="B3635">
        <v>1100081</v>
      </c>
      <c r="C3635" t="s">
        <v>7471</v>
      </c>
      <c r="D3635" t="s">
        <v>125</v>
      </c>
      <c r="E3635" s="2">
        <v>41354</v>
      </c>
      <c r="F3635" t="str">
        <f>"9780191654282"</f>
        <v>9780191654282</v>
      </c>
      <c r="G3635" t="str">
        <f>"9780199600632"</f>
        <v>9780199600632</v>
      </c>
      <c r="H3635" t="s">
        <v>66</v>
      </c>
      <c r="I3635">
        <v>571.6</v>
      </c>
      <c r="J3635" t="s">
        <v>7472</v>
      </c>
      <c r="K3635" t="s">
        <v>44</v>
      </c>
      <c r="N3635" t="s">
        <v>45</v>
      </c>
      <c r="O3635" t="s">
        <v>46</v>
      </c>
      <c r="P3635" t="s">
        <v>45</v>
      </c>
      <c r="Q3635" t="s">
        <v>47</v>
      </c>
      <c r="R3635" t="s">
        <v>44</v>
      </c>
      <c r="S3635">
        <v>0</v>
      </c>
      <c r="W3635" s="3">
        <v>4.6296296296296294E-5</v>
      </c>
      <c r="X3635" t="s">
        <v>121</v>
      </c>
      <c r="Y3635">
        <v>1</v>
      </c>
      <c r="Z3635">
        <v>0</v>
      </c>
      <c r="AA3635" t="s">
        <v>49</v>
      </c>
      <c r="AB3635">
        <v>0</v>
      </c>
      <c r="AC3635" t="s">
        <v>49</v>
      </c>
      <c r="AD3635">
        <v>0</v>
      </c>
      <c r="AE3635">
        <v>10631208</v>
      </c>
      <c r="AF3635" t="s">
        <v>50</v>
      </c>
      <c r="AG3635" t="s">
        <v>7457</v>
      </c>
    </row>
    <row r="3636" spans="1:33" x14ac:dyDescent="0.35">
      <c r="A3636" s="1">
        <v>44672.545138888891</v>
      </c>
      <c r="B3636">
        <v>1584991</v>
      </c>
      <c r="C3636" t="s">
        <v>7473</v>
      </c>
      <c r="D3636" t="s">
        <v>59</v>
      </c>
      <c r="E3636" s="2">
        <v>41667</v>
      </c>
      <c r="F3636" t="str">
        <f>"9781118548530"</f>
        <v>9781118548530</v>
      </c>
      <c r="G3636" t="str">
        <f>"9781118032121"</f>
        <v>9781118032121</v>
      </c>
      <c r="H3636" t="s">
        <v>2062</v>
      </c>
      <c r="I3636">
        <v>570.15195000000006</v>
      </c>
      <c r="J3636" t="s">
        <v>7474</v>
      </c>
      <c r="K3636" t="s">
        <v>44</v>
      </c>
      <c r="N3636" t="s">
        <v>45</v>
      </c>
      <c r="O3636" t="s">
        <v>46</v>
      </c>
      <c r="P3636" t="s">
        <v>45</v>
      </c>
      <c r="Q3636" t="s">
        <v>47</v>
      </c>
      <c r="R3636" t="s">
        <v>44</v>
      </c>
      <c r="S3636">
        <v>0</v>
      </c>
      <c r="W3636" s="3">
        <v>5.6712962962962956E-4</v>
      </c>
      <c r="X3636" t="s">
        <v>7475</v>
      </c>
      <c r="Y3636">
        <v>7</v>
      </c>
      <c r="Z3636">
        <v>0</v>
      </c>
      <c r="AA3636" t="s">
        <v>49</v>
      </c>
      <c r="AB3636">
        <v>0</v>
      </c>
      <c r="AC3636" t="s">
        <v>49</v>
      </c>
      <c r="AD3636">
        <v>0</v>
      </c>
      <c r="AE3636">
        <v>11099946</v>
      </c>
      <c r="AF3636" t="s">
        <v>50</v>
      </c>
      <c r="AG3636" t="s">
        <v>7457</v>
      </c>
    </row>
    <row r="3637" spans="1:33" x14ac:dyDescent="0.35">
      <c r="A3637" s="1">
        <v>44672.543749999997</v>
      </c>
      <c r="B3637">
        <v>1809733</v>
      </c>
      <c r="C3637" t="s">
        <v>7476</v>
      </c>
      <c r="D3637" t="s">
        <v>59</v>
      </c>
      <c r="E3637" s="2">
        <v>41946</v>
      </c>
      <c r="F3637" t="str">
        <f>"9781118552155"</f>
        <v>9781118552155</v>
      </c>
      <c r="G3637" t="str">
        <f>"9781118032114"</f>
        <v>9781118032114</v>
      </c>
      <c r="H3637" t="s">
        <v>66</v>
      </c>
      <c r="I3637" t="s">
        <v>7477</v>
      </c>
      <c r="J3637" t="s">
        <v>7478</v>
      </c>
      <c r="K3637" t="s">
        <v>44</v>
      </c>
      <c r="N3637" t="s">
        <v>45</v>
      </c>
      <c r="O3637" t="s">
        <v>46</v>
      </c>
      <c r="P3637" t="s">
        <v>45</v>
      </c>
      <c r="Q3637" t="s">
        <v>47</v>
      </c>
      <c r="R3637" t="s">
        <v>44</v>
      </c>
      <c r="S3637">
        <v>0</v>
      </c>
      <c r="W3637" s="3">
        <v>8.449074074074075E-4</v>
      </c>
      <c r="X3637" t="s">
        <v>7479</v>
      </c>
      <c r="Y3637">
        <v>11</v>
      </c>
      <c r="Z3637">
        <v>0</v>
      </c>
      <c r="AA3637" t="s">
        <v>49</v>
      </c>
      <c r="AB3637">
        <v>0</v>
      </c>
      <c r="AC3637" t="s">
        <v>49</v>
      </c>
      <c r="AD3637">
        <v>0</v>
      </c>
      <c r="AE3637">
        <v>10945446</v>
      </c>
      <c r="AF3637" t="s">
        <v>50</v>
      </c>
      <c r="AG3637" t="s">
        <v>7457</v>
      </c>
    </row>
    <row r="3638" spans="1:33" x14ac:dyDescent="0.35">
      <c r="A3638" s="1">
        <v>44672.538194444445</v>
      </c>
      <c r="B3638">
        <v>3339638</v>
      </c>
      <c r="C3638" t="s">
        <v>7480</v>
      </c>
      <c r="D3638" t="s">
        <v>303</v>
      </c>
      <c r="E3638" s="2">
        <v>41460</v>
      </c>
      <c r="F3638" t="str">
        <f>"9780262315630"</f>
        <v>9780262315630</v>
      </c>
      <c r="G3638" t="str">
        <f>"9780262018883"</f>
        <v>9780262018883</v>
      </c>
      <c r="H3638" t="s">
        <v>2062</v>
      </c>
      <c r="I3638">
        <v>571.70000000000005</v>
      </c>
      <c r="J3638" t="s">
        <v>7481</v>
      </c>
      <c r="K3638" t="s">
        <v>44</v>
      </c>
      <c r="N3638" t="s">
        <v>45</v>
      </c>
      <c r="O3638" t="s">
        <v>46</v>
      </c>
      <c r="P3638" t="s">
        <v>45</v>
      </c>
      <c r="Q3638" t="s">
        <v>47</v>
      </c>
      <c r="R3638" t="s">
        <v>44</v>
      </c>
      <c r="S3638">
        <v>0</v>
      </c>
      <c r="W3638" s="3">
        <v>9.8379629629629642E-4</v>
      </c>
      <c r="X3638" t="s">
        <v>7482</v>
      </c>
      <c r="Y3638">
        <v>5</v>
      </c>
      <c r="Z3638">
        <v>0</v>
      </c>
      <c r="AA3638" t="s">
        <v>49</v>
      </c>
      <c r="AB3638">
        <v>0</v>
      </c>
      <c r="AC3638" t="s">
        <v>49</v>
      </c>
      <c r="AD3638">
        <v>0</v>
      </c>
      <c r="AE3638">
        <v>10734711</v>
      </c>
      <c r="AF3638" t="s">
        <v>50</v>
      </c>
      <c r="AG3638" t="s">
        <v>7457</v>
      </c>
    </row>
    <row r="3639" spans="1:33" x14ac:dyDescent="0.35">
      <c r="A3639" s="1">
        <v>44672.527083333334</v>
      </c>
      <c r="B3639">
        <v>918626</v>
      </c>
      <c r="C3639" t="s">
        <v>7483</v>
      </c>
      <c r="D3639" t="s">
        <v>59</v>
      </c>
      <c r="E3639" s="2">
        <v>41043</v>
      </c>
      <c r="F3639" t="str">
        <f>"9783527644094"</f>
        <v>9783527644094</v>
      </c>
      <c r="G3639" t="str">
        <f>"9783527327577"</f>
        <v>9783527327577</v>
      </c>
      <c r="H3639" t="s">
        <v>7484</v>
      </c>
      <c r="I3639">
        <v>547.70000000000005</v>
      </c>
      <c r="J3639" t="s">
        <v>7485</v>
      </c>
      <c r="K3639" t="s">
        <v>44</v>
      </c>
      <c r="N3639" t="s">
        <v>45</v>
      </c>
      <c r="O3639" t="s">
        <v>46</v>
      </c>
      <c r="P3639" t="s">
        <v>45</v>
      </c>
      <c r="Q3639" t="s">
        <v>47</v>
      </c>
      <c r="R3639" t="s">
        <v>44</v>
      </c>
      <c r="S3639">
        <v>0</v>
      </c>
      <c r="W3639" s="3">
        <v>2.372685185185185E-2</v>
      </c>
      <c r="X3639" t="s">
        <v>7486</v>
      </c>
      <c r="Y3639">
        <v>13</v>
      </c>
      <c r="Z3639">
        <v>0</v>
      </c>
      <c r="AA3639" t="s">
        <v>49</v>
      </c>
      <c r="AB3639">
        <v>0</v>
      </c>
      <c r="AC3639" t="s">
        <v>49</v>
      </c>
      <c r="AD3639">
        <v>0</v>
      </c>
      <c r="AE3639">
        <v>10580212</v>
      </c>
      <c r="AF3639" t="s">
        <v>50</v>
      </c>
      <c r="AG3639" t="s">
        <v>7106</v>
      </c>
    </row>
    <row r="3640" spans="1:33" x14ac:dyDescent="0.35">
      <c r="A3640" s="1">
        <v>44672.48333333333</v>
      </c>
      <c r="B3640">
        <v>1213924</v>
      </c>
      <c r="C3640" t="s">
        <v>7487</v>
      </c>
      <c r="D3640" t="s">
        <v>65</v>
      </c>
      <c r="E3640" s="2">
        <v>41507</v>
      </c>
      <c r="F3640" t="str">
        <f>"9780124159860"</f>
        <v>9780124159860</v>
      </c>
      <c r="G3640" t="str">
        <f>"9780124159235"</f>
        <v>9780124159235</v>
      </c>
      <c r="H3640" t="s">
        <v>1112</v>
      </c>
      <c r="I3640">
        <v>664</v>
      </c>
      <c r="J3640" t="s">
        <v>7488</v>
      </c>
      <c r="K3640" t="s">
        <v>44</v>
      </c>
      <c r="N3640" t="s">
        <v>45</v>
      </c>
      <c r="O3640" t="s">
        <v>46</v>
      </c>
      <c r="P3640" t="s">
        <v>45</v>
      </c>
      <c r="Q3640" t="s">
        <v>47</v>
      </c>
      <c r="R3640" t="s">
        <v>44</v>
      </c>
      <c r="S3640">
        <v>0</v>
      </c>
      <c r="W3640" s="3">
        <v>4.0624999999999993E-3</v>
      </c>
      <c r="X3640" t="s">
        <v>7489</v>
      </c>
      <c r="Y3640">
        <v>15</v>
      </c>
      <c r="Z3640">
        <v>0</v>
      </c>
      <c r="AA3640" t="s">
        <v>49</v>
      </c>
      <c r="AB3640">
        <v>0</v>
      </c>
      <c r="AC3640" t="s">
        <v>49</v>
      </c>
      <c r="AD3640">
        <v>0</v>
      </c>
      <c r="AE3640">
        <v>10719885</v>
      </c>
      <c r="AF3640" t="s">
        <v>50</v>
      </c>
      <c r="AG3640" t="s">
        <v>7106</v>
      </c>
    </row>
    <row r="3641" spans="1:33" x14ac:dyDescent="0.35">
      <c r="A3641" s="1">
        <v>44672.417361111111</v>
      </c>
      <c r="B3641">
        <v>4187169</v>
      </c>
      <c r="C3641" t="s">
        <v>7490</v>
      </c>
      <c r="D3641" t="s">
        <v>59</v>
      </c>
      <c r="E3641" s="2">
        <v>42296</v>
      </c>
      <c r="F3641" t="str">
        <f>"9781119070788"</f>
        <v>9781119070788</v>
      </c>
      <c r="G3641" t="str">
        <f>"9781119070856"</f>
        <v>9781119070856</v>
      </c>
      <c r="H3641" t="s">
        <v>138</v>
      </c>
      <c r="I3641">
        <v>5.133</v>
      </c>
      <c r="J3641" t="s">
        <v>4204</v>
      </c>
      <c r="K3641" t="s">
        <v>44</v>
      </c>
      <c r="N3641" t="s">
        <v>45</v>
      </c>
      <c r="O3641" t="s">
        <v>46</v>
      </c>
      <c r="P3641" t="s">
        <v>45</v>
      </c>
      <c r="Q3641" t="s">
        <v>47</v>
      </c>
      <c r="R3641" t="s">
        <v>44</v>
      </c>
      <c r="S3641">
        <v>0</v>
      </c>
      <c r="W3641" s="3">
        <v>2.5462962962962961E-4</v>
      </c>
      <c r="X3641" t="s">
        <v>5639</v>
      </c>
      <c r="Y3641">
        <v>6</v>
      </c>
      <c r="Z3641">
        <v>0</v>
      </c>
      <c r="AA3641" t="s">
        <v>49</v>
      </c>
      <c r="AB3641">
        <v>0</v>
      </c>
      <c r="AC3641" t="s">
        <v>49</v>
      </c>
      <c r="AD3641">
        <v>0</v>
      </c>
      <c r="AE3641">
        <v>11128319</v>
      </c>
      <c r="AF3641" t="s">
        <v>50</v>
      </c>
      <c r="AG3641" t="s">
        <v>7187</v>
      </c>
    </row>
    <row r="3642" spans="1:33" x14ac:dyDescent="0.35">
      <c r="A3642" s="1">
        <v>44671.442361111112</v>
      </c>
      <c r="B3642">
        <v>3420994</v>
      </c>
      <c r="C3642" t="s">
        <v>6874</v>
      </c>
      <c r="D3642" t="s">
        <v>347</v>
      </c>
      <c r="E3642" s="2">
        <v>40316</v>
      </c>
      <c r="F3642" t="str">
        <f>"9780300159141"</f>
        <v>9780300159141</v>
      </c>
      <c r="G3642" t="str">
        <f>"9780300159110"</f>
        <v>9780300159110</v>
      </c>
      <c r="H3642" t="s">
        <v>162</v>
      </c>
      <c r="I3642" t="s">
        <v>6875</v>
      </c>
      <c r="J3642" t="s">
        <v>6876</v>
      </c>
      <c r="K3642" t="s">
        <v>44</v>
      </c>
      <c r="N3642" t="s">
        <v>45</v>
      </c>
      <c r="O3642" t="s">
        <v>46</v>
      </c>
      <c r="P3642" t="s">
        <v>45</v>
      </c>
      <c r="Q3642" t="s">
        <v>47</v>
      </c>
      <c r="R3642" t="s">
        <v>44</v>
      </c>
      <c r="S3642">
        <v>0</v>
      </c>
      <c r="W3642" s="3">
        <v>2.7777777777777778E-4</v>
      </c>
      <c r="X3642" t="s">
        <v>7491</v>
      </c>
      <c r="Y3642">
        <v>4</v>
      </c>
      <c r="Z3642">
        <v>0</v>
      </c>
      <c r="AA3642" t="s">
        <v>49</v>
      </c>
      <c r="AB3642">
        <v>0</v>
      </c>
      <c r="AC3642" t="s">
        <v>49</v>
      </c>
      <c r="AD3642">
        <v>0</v>
      </c>
      <c r="AE3642">
        <v>10579393</v>
      </c>
      <c r="AF3642" t="s">
        <v>50</v>
      </c>
      <c r="AG3642" t="s">
        <v>7431</v>
      </c>
    </row>
    <row r="3643" spans="1:33" x14ac:dyDescent="0.35">
      <c r="A3643" s="1">
        <v>44671.440972222219</v>
      </c>
      <c r="B3643">
        <v>5116192</v>
      </c>
      <c r="C3643" t="s">
        <v>3000</v>
      </c>
      <c r="D3643" t="s">
        <v>115</v>
      </c>
      <c r="E3643" s="2">
        <v>43031</v>
      </c>
      <c r="F3643" t="str">
        <f>"9783110571424"</f>
        <v>9783110571424</v>
      </c>
      <c r="G3643" t="str">
        <f>"9783110568233"</f>
        <v>9783110568233</v>
      </c>
      <c r="H3643" t="s">
        <v>43</v>
      </c>
      <c r="I3643" t="s">
        <v>3001</v>
      </c>
      <c r="J3643" t="s">
        <v>3002</v>
      </c>
      <c r="K3643" t="s">
        <v>44</v>
      </c>
      <c r="N3643" t="s">
        <v>45</v>
      </c>
      <c r="O3643" t="s">
        <v>46</v>
      </c>
      <c r="P3643" t="s">
        <v>45</v>
      </c>
      <c r="Q3643" t="s">
        <v>47</v>
      </c>
      <c r="R3643" t="s">
        <v>44</v>
      </c>
      <c r="S3643">
        <v>0</v>
      </c>
      <c r="W3643" s="3">
        <v>2.9861111111111113E-3</v>
      </c>
      <c r="X3643" t="s">
        <v>7492</v>
      </c>
      <c r="Y3643">
        <v>9</v>
      </c>
      <c r="Z3643">
        <v>0</v>
      </c>
      <c r="AA3643" t="s">
        <v>49</v>
      </c>
      <c r="AB3643">
        <v>0</v>
      </c>
      <c r="AC3643" t="s">
        <v>49</v>
      </c>
      <c r="AD3643">
        <v>0</v>
      </c>
      <c r="AE3643">
        <v>11462281</v>
      </c>
      <c r="AF3643" t="s">
        <v>50</v>
      </c>
      <c r="AG3643" t="s">
        <v>7493</v>
      </c>
    </row>
    <row r="3644" spans="1:33" x14ac:dyDescent="0.35">
      <c r="A3644" s="1">
        <v>44671.434027777781</v>
      </c>
      <c r="B3644">
        <v>253729</v>
      </c>
      <c r="C3644" t="s">
        <v>7494</v>
      </c>
      <c r="D3644" t="s">
        <v>473</v>
      </c>
      <c r="E3644" s="2">
        <v>37978</v>
      </c>
      <c r="F3644" t="str">
        <f>"9789047401025"</f>
        <v>9789047401025</v>
      </c>
      <c r="G3644" t="str">
        <f>"9789004122338"</f>
        <v>9789004122338</v>
      </c>
      <c r="H3644" t="s">
        <v>404</v>
      </c>
      <c r="I3644" t="s">
        <v>7495</v>
      </c>
      <c r="J3644" t="s">
        <v>7496</v>
      </c>
      <c r="K3644" t="s">
        <v>44</v>
      </c>
      <c r="N3644" t="s">
        <v>45</v>
      </c>
      <c r="O3644" t="s">
        <v>46</v>
      </c>
      <c r="P3644" t="s">
        <v>45</v>
      </c>
      <c r="Q3644" t="s">
        <v>47</v>
      </c>
      <c r="R3644" t="s">
        <v>44</v>
      </c>
      <c r="S3644">
        <v>0</v>
      </c>
      <c r="W3644" s="3">
        <v>1.9560185185185184E-2</v>
      </c>
      <c r="X3644" t="s">
        <v>3923</v>
      </c>
      <c r="Y3644">
        <v>3</v>
      </c>
      <c r="Z3644">
        <v>0</v>
      </c>
      <c r="AA3644" t="s">
        <v>49</v>
      </c>
      <c r="AB3644">
        <v>0</v>
      </c>
      <c r="AC3644" t="s">
        <v>49</v>
      </c>
      <c r="AD3644">
        <v>0</v>
      </c>
      <c r="AE3644">
        <v>10090470</v>
      </c>
      <c r="AF3644" t="s">
        <v>50</v>
      </c>
      <c r="AG3644" t="s">
        <v>7493</v>
      </c>
    </row>
    <row r="3645" spans="1:33" x14ac:dyDescent="0.35">
      <c r="A3645" s="1">
        <v>44671.388194444444</v>
      </c>
      <c r="B3645">
        <v>3318770</v>
      </c>
      <c r="C3645" t="s">
        <v>7497</v>
      </c>
      <c r="D3645" t="s">
        <v>1390</v>
      </c>
      <c r="E3645" s="2">
        <v>40848</v>
      </c>
      <c r="F3645" t="str">
        <f>"9781421404226"</f>
        <v>9781421404226</v>
      </c>
      <c r="G3645" t="str">
        <f>"9781421402345"</f>
        <v>9781421402345</v>
      </c>
      <c r="H3645" t="s">
        <v>244</v>
      </c>
      <c r="I3645" t="s">
        <v>7498</v>
      </c>
      <c r="J3645" t="s">
        <v>7499</v>
      </c>
      <c r="K3645" t="s">
        <v>44</v>
      </c>
      <c r="N3645" t="s">
        <v>45</v>
      </c>
      <c r="O3645" t="s">
        <v>46</v>
      </c>
      <c r="P3645" t="s">
        <v>45</v>
      </c>
      <c r="Q3645" t="s">
        <v>47</v>
      </c>
      <c r="R3645" t="s">
        <v>44</v>
      </c>
      <c r="S3645">
        <v>0</v>
      </c>
      <c r="W3645" s="3">
        <v>1.6666666666666668E-3</v>
      </c>
      <c r="X3645" t="s">
        <v>7500</v>
      </c>
      <c r="Y3645">
        <v>22</v>
      </c>
      <c r="Z3645">
        <v>0</v>
      </c>
      <c r="AA3645" t="s">
        <v>49</v>
      </c>
      <c r="AB3645">
        <v>0</v>
      </c>
      <c r="AC3645" t="s">
        <v>413</v>
      </c>
      <c r="AD3645">
        <v>2</v>
      </c>
      <c r="AE3645">
        <v>10790486</v>
      </c>
      <c r="AF3645" t="s">
        <v>50</v>
      </c>
      <c r="AG3645" t="s">
        <v>7501</v>
      </c>
    </row>
    <row r="3646" spans="1:33" x14ac:dyDescent="0.35">
      <c r="A3646" s="1">
        <v>44671.064583333333</v>
      </c>
      <c r="B3646">
        <v>3330479</v>
      </c>
      <c r="C3646" t="s">
        <v>7502</v>
      </c>
      <c r="D3646" t="s">
        <v>7016</v>
      </c>
      <c r="E3646" s="2">
        <v>9133</v>
      </c>
      <c r="F3646" t="str">
        <f>"9781614441151"</f>
        <v>9781614441151</v>
      </c>
      <c r="G3646" t="str">
        <f>""</f>
        <v/>
      </c>
      <c r="H3646" t="s">
        <v>43</v>
      </c>
      <c r="I3646">
        <v>519.29999999999995</v>
      </c>
      <c r="J3646" t="s">
        <v>7503</v>
      </c>
      <c r="K3646" t="s">
        <v>44</v>
      </c>
      <c r="N3646" t="s">
        <v>45</v>
      </c>
      <c r="O3646" t="s">
        <v>46</v>
      </c>
      <c r="P3646" t="s">
        <v>45</v>
      </c>
      <c r="Q3646" t="s">
        <v>47</v>
      </c>
      <c r="R3646" t="s">
        <v>44</v>
      </c>
      <c r="S3646">
        <v>0</v>
      </c>
      <c r="W3646" s="3">
        <v>5.7870370370370366E-5</v>
      </c>
      <c r="X3646" t="s">
        <v>121</v>
      </c>
      <c r="Y3646">
        <v>1</v>
      </c>
      <c r="Z3646">
        <v>0</v>
      </c>
      <c r="AA3646" t="s">
        <v>49</v>
      </c>
      <c r="AB3646">
        <v>0</v>
      </c>
      <c r="AC3646" t="s">
        <v>49</v>
      </c>
      <c r="AD3646">
        <v>0</v>
      </c>
      <c r="AE3646">
        <v>10884995</v>
      </c>
      <c r="AF3646" t="s">
        <v>50</v>
      </c>
      <c r="AG3646" t="s">
        <v>7457</v>
      </c>
    </row>
    <row r="3647" spans="1:33" x14ac:dyDescent="0.35">
      <c r="A3647" s="1">
        <v>44671.040972222225</v>
      </c>
      <c r="B3647">
        <v>3073657</v>
      </c>
      <c r="C3647" t="s">
        <v>5762</v>
      </c>
      <c r="D3647" t="s">
        <v>5763</v>
      </c>
      <c r="E3647" s="2">
        <v>37798</v>
      </c>
      <c r="F3647" t="str">
        <f>"9781461200390"</f>
        <v>9781461200390</v>
      </c>
      <c r="G3647" t="str">
        <f>"9781461265849"</f>
        <v>9781461265849</v>
      </c>
      <c r="H3647" t="s">
        <v>824</v>
      </c>
      <c r="J3647" t="s">
        <v>234</v>
      </c>
      <c r="K3647" t="s">
        <v>55</v>
      </c>
      <c r="N3647" t="s">
        <v>79</v>
      </c>
      <c r="P3647" t="s">
        <v>80</v>
      </c>
      <c r="Q3647" t="s">
        <v>47</v>
      </c>
      <c r="R3647" t="s">
        <v>44</v>
      </c>
      <c r="S3647">
        <v>1</v>
      </c>
      <c r="T3647">
        <v>90</v>
      </c>
      <c r="U3647" s="1">
        <v>44671.040972222225</v>
      </c>
      <c r="V3647" s="1">
        <v>44761.040972222225</v>
      </c>
      <c r="W3647" s="3">
        <v>0</v>
      </c>
      <c r="X3647" t="s">
        <v>49</v>
      </c>
      <c r="Y3647">
        <v>0</v>
      </c>
      <c r="Z3647">
        <v>0</v>
      </c>
      <c r="AA3647" t="s">
        <v>49</v>
      </c>
      <c r="AB3647">
        <v>0</v>
      </c>
      <c r="AC3647" t="s">
        <v>49</v>
      </c>
      <c r="AD3647">
        <v>0</v>
      </c>
      <c r="AE3647">
        <v>10916826</v>
      </c>
      <c r="AF3647" t="s">
        <v>63</v>
      </c>
      <c r="AG3647" t="s">
        <v>7457</v>
      </c>
    </row>
    <row r="3648" spans="1:33" x14ac:dyDescent="0.35">
      <c r="A3648" s="1">
        <v>44671.020833333336</v>
      </c>
      <c r="B3648">
        <v>3073657</v>
      </c>
      <c r="C3648" t="s">
        <v>5762</v>
      </c>
      <c r="D3648" t="s">
        <v>5763</v>
      </c>
      <c r="E3648" s="2">
        <v>37798</v>
      </c>
      <c r="F3648" t="str">
        <f>"9781461200390"</f>
        <v>9781461200390</v>
      </c>
      <c r="G3648" t="str">
        <f>"9781461265849"</f>
        <v>9781461265849</v>
      </c>
      <c r="H3648" t="s">
        <v>824</v>
      </c>
      <c r="J3648" t="s">
        <v>234</v>
      </c>
      <c r="K3648" t="s">
        <v>55</v>
      </c>
      <c r="N3648" t="s">
        <v>79</v>
      </c>
      <c r="P3648" t="s">
        <v>80</v>
      </c>
      <c r="Q3648" t="s">
        <v>47</v>
      </c>
      <c r="R3648" t="s">
        <v>44</v>
      </c>
      <c r="S3648">
        <v>0</v>
      </c>
      <c r="W3648" s="3">
        <v>3.2407407407407406E-4</v>
      </c>
      <c r="X3648" t="s">
        <v>7504</v>
      </c>
      <c r="Y3648">
        <v>2</v>
      </c>
      <c r="Z3648">
        <v>0</v>
      </c>
      <c r="AA3648" t="s">
        <v>49</v>
      </c>
      <c r="AB3648">
        <v>0</v>
      </c>
      <c r="AC3648" t="s">
        <v>49</v>
      </c>
      <c r="AD3648">
        <v>0</v>
      </c>
      <c r="AE3648">
        <v>10916826</v>
      </c>
      <c r="AF3648" t="s">
        <v>50</v>
      </c>
      <c r="AG3648" t="s">
        <v>7457</v>
      </c>
    </row>
    <row r="3649" spans="1:33" x14ac:dyDescent="0.35">
      <c r="A3649" s="1">
        <v>44670.96597222222</v>
      </c>
      <c r="B3649">
        <v>1982914</v>
      </c>
      <c r="C3649" t="s">
        <v>7505</v>
      </c>
      <c r="D3649" t="s">
        <v>59</v>
      </c>
      <c r="E3649" s="2">
        <v>42004</v>
      </c>
      <c r="F3649" t="str">
        <f>"9781118672556"</f>
        <v>9781118672556</v>
      </c>
      <c r="G3649" t="str">
        <f>"9781118672839"</f>
        <v>9781118672839</v>
      </c>
      <c r="H3649" t="s">
        <v>116</v>
      </c>
      <c r="I3649" t="s">
        <v>7506</v>
      </c>
      <c r="J3649" t="s">
        <v>7507</v>
      </c>
      <c r="K3649" t="s">
        <v>44</v>
      </c>
      <c r="N3649" t="s">
        <v>45</v>
      </c>
      <c r="O3649" t="s">
        <v>46</v>
      </c>
      <c r="P3649" t="s">
        <v>45</v>
      </c>
      <c r="Q3649" t="s">
        <v>47</v>
      </c>
      <c r="R3649" t="s">
        <v>44</v>
      </c>
      <c r="S3649">
        <v>0</v>
      </c>
      <c r="W3649" s="3">
        <v>5.9837962962962961E-3</v>
      </c>
      <c r="X3649" t="s">
        <v>7508</v>
      </c>
      <c r="Y3649">
        <v>35</v>
      </c>
      <c r="Z3649">
        <v>0</v>
      </c>
      <c r="AA3649" t="s">
        <v>49</v>
      </c>
      <c r="AB3649">
        <v>0</v>
      </c>
      <c r="AC3649" t="s">
        <v>49</v>
      </c>
      <c r="AD3649">
        <v>0</v>
      </c>
      <c r="AE3649">
        <v>11030101</v>
      </c>
      <c r="AF3649" t="s">
        <v>50</v>
      </c>
      <c r="AG3649" t="s">
        <v>7205</v>
      </c>
    </row>
    <row r="3650" spans="1:33" x14ac:dyDescent="0.35">
      <c r="A3650" s="1">
        <v>44670.924305555556</v>
      </c>
      <c r="B3650">
        <v>5493435</v>
      </c>
      <c r="C3650" t="s">
        <v>7509</v>
      </c>
      <c r="D3650" t="s">
        <v>614</v>
      </c>
      <c r="E3650" s="2">
        <v>43335</v>
      </c>
      <c r="F3650" t="str">
        <f>"9789811300837"</f>
        <v>9789811300837</v>
      </c>
      <c r="G3650" t="str">
        <f>"9789811300820"</f>
        <v>9789811300820</v>
      </c>
      <c r="H3650" t="s">
        <v>831</v>
      </c>
      <c r="J3650" t="s">
        <v>234</v>
      </c>
      <c r="K3650" t="s">
        <v>55</v>
      </c>
      <c r="Q3650" t="s">
        <v>47</v>
      </c>
      <c r="R3650" t="s">
        <v>44</v>
      </c>
      <c r="S3650">
        <v>0</v>
      </c>
      <c r="W3650" s="3">
        <v>3.4722222222222222E-5</v>
      </c>
      <c r="X3650" t="s">
        <v>121</v>
      </c>
      <c r="Y3650">
        <v>1</v>
      </c>
      <c r="Z3650">
        <v>0</v>
      </c>
      <c r="AA3650" t="s">
        <v>49</v>
      </c>
      <c r="AB3650">
        <v>0</v>
      </c>
      <c r="AC3650" t="s">
        <v>49</v>
      </c>
      <c r="AD3650">
        <v>0</v>
      </c>
      <c r="AE3650">
        <v>-1</v>
      </c>
      <c r="AF3650" t="s">
        <v>50</v>
      </c>
      <c r="AG3650" t="s">
        <v>7457</v>
      </c>
    </row>
    <row r="3651" spans="1:33" x14ac:dyDescent="0.35">
      <c r="A3651" s="1">
        <v>44670.919444444444</v>
      </c>
      <c r="B3651">
        <v>3021434</v>
      </c>
      <c r="C3651" t="s">
        <v>7510</v>
      </c>
      <c r="D3651" t="s">
        <v>137</v>
      </c>
      <c r="E3651" s="2">
        <v>40834</v>
      </c>
      <c r="F3651" t="str">
        <f>"9781622571314"</f>
        <v>9781622571314</v>
      </c>
      <c r="G3651" t="str">
        <f>"9781613241561"</f>
        <v>9781613241561</v>
      </c>
      <c r="H3651" t="s">
        <v>290</v>
      </c>
      <c r="I3651" t="s">
        <v>7511</v>
      </c>
      <c r="J3651" t="s">
        <v>7512</v>
      </c>
      <c r="K3651" t="s">
        <v>44</v>
      </c>
      <c r="N3651" t="s">
        <v>45</v>
      </c>
      <c r="O3651" t="s">
        <v>46</v>
      </c>
      <c r="P3651" t="s">
        <v>177</v>
      </c>
      <c r="Q3651" t="s">
        <v>47</v>
      </c>
      <c r="R3651" t="s">
        <v>55</v>
      </c>
      <c r="S3651">
        <v>1</v>
      </c>
      <c r="W3651" s="3">
        <v>0</v>
      </c>
      <c r="X3651" t="s">
        <v>49</v>
      </c>
      <c r="Y3651">
        <v>0</v>
      </c>
      <c r="Z3651">
        <v>0</v>
      </c>
      <c r="AA3651" t="s">
        <v>49</v>
      </c>
      <c r="AB3651">
        <v>0</v>
      </c>
      <c r="AC3651" t="s">
        <v>49</v>
      </c>
      <c r="AD3651">
        <v>0</v>
      </c>
      <c r="AE3651">
        <v>10683092</v>
      </c>
      <c r="AF3651" t="s">
        <v>63</v>
      </c>
      <c r="AG3651" t="s">
        <v>7205</v>
      </c>
    </row>
    <row r="3652" spans="1:33" x14ac:dyDescent="0.35">
      <c r="A3652" s="1">
        <v>44669.984722222223</v>
      </c>
      <c r="B3652">
        <v>3021072</v>
      </c>
      <c r="C3652" t="s">
        <v>7513</v>
      </c>
      <c r="D3652" t="s">
        <v>137</v>
      </c>
      <c r="E3652" s="2">
        <v>40848</v>
      </c>
      <c r="F3652" t="str">
        <f>"9781620810453"</f>
        <v>9781620810453</v>
      </c>
      <c r="G3652" t="str">
        <f>"9781613244449"</f>
        <v>9781613244449</v>
      </c>
      <c r="H3652" t="s">
        <v>7514</v>
      </c>
      <c r="I3652" t="s">
        <v>7515</v>
      </c>
      <c r="J3652" t="s">
        <v>7516</v>
      </c>
      <c r="K3652" t="s">
        <v>44</v>
      </c>
      <c r="N3652" t="s">
        <v>45</v>
      </c>
      <c r="O3652" t="s">
        <v>46</v>
      </c>
      <c r="P3652" t="s">
        <v>177</v>
      </c>
      <c r="Q3652" t="s">
        <v>47</v>
      </c>
      <c r="R3652" t="s">
        <v>55</v>
      </c>
      <c r="S3652">
        <v>0</v>
      </c>
      <c r="W3652" s="3">
        <v>6.9444444444444444E-5</v>
      </c>
      <c r="X3652" t="s">
        <v>113</v>
      </c>
      <c r="Y3652">
        <v>2</v>
      </c>
      <c r="Z3652">
        <v>0</v>
      </c>
      <c r="AA3652" t="s">
        <v>49</v>
      </c>
      <c r="AB3652">
        <v>0</v>
      </c>
      <c r="AC3652" t="s">
        <v>49</v>
      </c>
      <c r="AD3652">
        <v>0</v>
      </c>
      <c r="AE3652">
        <v>10681272</v>
      </c>
      <c r="AF3652" t="s">
        <v>50</v>
      </c>
      <c r="AG3652" t="s">
        <v>7205</v>
      </c>
    </row>
    <row r="3653" spans="1:33" x14ac:dyDescent="0.35">
      <c r="A3653" s="1">
        <v>44669.936111111114</v>
      </c>
      <c r="B3653">
        <v>2030606</v>
      </c>
      <c r="C3653" t="s">
        <v>7517</v>
      </c>
      <c r="D3653" t="s">
        <v>844</v>
      </c>
      <c r="E3653" s="2">
        <v>42080</v>
      </c>
      <c r="F3653" t="str">
        <f>"9781785601071"</f>
        <v>9781785601071</v>
      </c>
      <c r="G3653" t="str">
        <f>"9781785601064"</f>
        <v>9781785601064</v>
      </c>
      <c r="H3653" t="s">
        <v>60</v>
      </c>
      <c r="I3653">
        <v>658.56200000000001</v>
      </c>
      <c r="J3653" t="s">
        <v>7518</v>
      </c>
      <c r="K3653" t="s">
        <v>44</v>
      </c>
      <c r="N3653" t="s">
        <v>45</v>
      </c>
      <c r="O3653" t="s">
        <v>46</v>
      </c>
      <c r="P3653" t="s">
        <v>45</v>
      </c>
      <c r="Q3653" t="s">
        <v>47</v>
      </c>
      <c r="R3653" t="s">
        <v>44</v>
      </c>
      <c r="S3653">
        <v>0</v>
      </c>
      <c r="W3653" s="3">
        <v>8.1018518518518516E-5</v>
      </c>
      <c r="X3653" t="s">
        <v>121</v>
      </c>
      <c r="Y3653">
        <v>1</v>
      </c>
      <c r="Z3653">
        <v>0</v>
      </c>
      <c r="AA3653" t="s">
        <v>49</v>
      </c>
      <c r="AB3653">
        <v>0</v>
      </c>
      <c r="AC3653" t="s">
        <v>49</v>
      </c>
      <c r="AD3653">
        <v>0</v>
      </c>
      <c r="AE3653">
        <v>11043421</v>
      </c>
      <c r="AF3653" t="s">
        <v>50</v>
      </c>
      <c r="AG3653" t="s">
        <v>7457</v>
      </c>
    </row>
    <row r="3654" spans="1:33" x14ac:dyDescent="0.35">
      <c r="A3654" s="1">
        <v>44669.504166666666</v>
      </c>
      <c r="B3654">
        <v>1693639</v>
      </c>
      <c r="C3654" t="s">
        <v>7519</v>
      </c>
      <c r="D3654" t="s">
        <v>7257</v>
      </c>
      <c r="E3654" s="2">
        <v>41744</v>
      </c>
      <c r="F3654" t="str">
        <f>"9781780233079"</f>
        <v>9781780233079</v>
      </c>
      <c r="G3654" t="str">
        <f>"9781780232676"</f>
        <v>9781780232676</v>
      </c>
      <c r="H3654" t="s">
        <v>244</v>
      </c>
      <c r="I3654">
        <v>150.19540000000001</v>
      </c>
      <c r="J3654" t="s">
        <v>7520</v>
      </c>
      <c r="K3654" t="s">
        <v>44</v>
      </c>
      <c r="N3654" t="s">
        <v>45</v>
      </c>
      <c r="O3654" t="s">
        <v>46</v>
      </c>
      <c r="P3654" t="s">
        <v>177</v>
      </c>
      <c r="Q3654" t="s">
        <v>47</v>
      </c>
      <c r="R3654" t="s">
        <v>55</v>
      </c>
      <c r="S3654">
        <v>0</v>
      </c>
      <c r="W3654" s="3">
        <v>1.6550925925925924E-2</v>
      </c>
      <c r="X3654" t="s">
        <v>7521</v>
      </c>
      <c r="Y3654">
        <v>21</v>
      </c>
      <c r="Z3654">
        <v>0</v>
      </c>
      <c r="AA3654" t="s">
        <v>7522</v>
      </c>
      <c r="AB3654">
        <v>31</v>
      </c>
      <c r="AC3654" t="s">
        <v>49</v>
      </c>
      <c r="AD3654">
        <v>0</v>
      </c>
      <c r="AE3654">
        <v>10875748</v>
      </c>
      <c r="AF3654" t="s">
        <v>50</v>
      </c>
      <c r="AG3654" t="s">
        <v>7523</v>
      </c>
    </row>
    <row r="3655" spans="1:33" x14ac:dyDescent="0.35">
      <c r="A3655" s="1">
        <v>44669.468055555553</v>
      </c>
      <c r="B3655">
        <v>2032465</v>
      </c>
      <c r="C3655" t="s">
        <v>7524</v>
      </c>
      <c r="D3655" t="s">
        <v>5879</v>
      </c>
      <c r="E3655" s="2">
        <v>38565</v>
      </c>
      <c r="F3655" t="str">
        <f>"9781469879314"</f>
        <v>9781469879314</v>
      </c>
      <c r="G3655" t="str">
        <f>"9780781799492"</f>
        <v>9780781799492</v>
      </c>
      <c r="H3655" t="s">
        <v>151</v>
      </c>
      <c r="I3655" t="s">
        <v>7525</v>
      </c>
      <c r="J3655" t="s">
        <v>7526</v>
      </c>
      <c r="K3655" t="s">
        <v>44</v>
      </c>
      <c r="N3655" t="s">
        <v>45</v>
      </c>
      <c r="O3655" t="s">
        <v>46</v>
      </c>
      <c r="P3655" t="s">
        <v>45</v>
      </c>
      <c r="Q3655" t="s">
        <v>47</v>
      </c>
      <c r="R3655" t="s">
        <v>44</v>
      </c>
      <c r="S3655">
        <v>0</v>
      </c>
      <c r="W3655" s="3">
        <v>1.689814814814815E-3</v>
      </c>
      <c r="X3655" t="s">
        <v>7527</v>
      </c>
      <c r="Y3655">
        <v>15</v>
      </c>
      <c r="Z3655">
        <v>0</v>
      </c>
      <c r="AA3655" t="s">
        <v>4142</v>
      </c>
      <c r="AB3655">
        <v>3</v>
      </c>
      <c r="AC3655" t="s">
        <v>49</v>
      </c>
      <c r="AD3655">
        <v>0</v>
      </c>
      <c r="AE3655">
        <v>10825404</v>
      </c>
      <c r="AF3655" t="s">
        <v>50</v>
      </c>
      <c r="AG3655" t="s">
        <v>7523</v>
      </c>
    </row>
    <row r="3656" spans="1:33" x14ac:dyDescent="0.35">
      <c r="A3656" s="1">
        <v>44669.026388888888</v>
      </c>
      <c r="B3656">
        <v>1336559</v>
      </c>
      <c r="C3656" t="s">
        <v>7528</v>
      </c>
      <c r="D3656" t="s">
        <v>71</v>
      </c>
      <c r="E3656" s="2">
        <v>41275</v>
      </c>
      <c r="F3656" t="str">
        <f>"9789814522748"</f>
        <v>9789814522748</v>
      </c>
      <c r="G3656" t="str">
        <f>"9789814522731"</f>
        <v>9789814522731</v>
      </c>
      <c r="H3656" t="s">
        <v>138</v>
      </c>
      <c r="I3656">
        <v>6.32</v>
      </c>
      <c r="J3656" t="s">
        <v>7529</v>
      </c>
      <c r="K3656" t="s">
        <v>44</v>
      </c>
      <c r="N3656" t="s">
        <v>45</v>
      </c>
      <c r="O3656" t="s">
        <v>46</v>
      </c>
      <c r="P3656" t="s">
        <v>45</v>
      </c>
      <c r="Q3656" t="s">
        <v>47</v>
      </c>
      <c r="R3656" t="s">
        <v>44</v>
      </c>
      <c r="S3656">
        <v>0</v>
      </c>
      <c r="W3656" s="3">
        <v>1.8206018518518517E-2</v>
      </c>
      <c r="X3656" t="s">
        <v>7530</v>
      </c>
      <c r="Y3656">
        <v>28</v>
      </c>
      <c r="Z3656">
        <v>0</v>
      </c>
      <c r="AA3656" t="s">
        <v>49</v>
      </c>
      <c r="AB3656">
        <v>0</v>
      </c>
      <c r="AC3656" t="s">
        <v>49</v>
      </c>
      <c r="AD3656">
        <v>0</v>
      </c>
      <c r="AE3656">
        <v>10742789</v>
      </c>
      <c r="AF3656" t="s">
        <v>50</v>
      </c>
      <c r="AG3656" t="s">
        <v>7205</v>
      </c>
    </row>
    <row r="3657" spans="1:33" x14ac:dyDescent="0.35">
      <c r="A3657" s="1">
        <v>44669.025000000001</v>
      </c>
      <c r="B3657">
        <v>537802</v>
      </c>
      <c r="C3657" t="s">
        <v>7531</v>
      </c>
      <c r="D3657" t="s">
        <v>150</v>
      </c>
      <c r="E3657" s="2">
        <v>36109</v>
      </c>
      <c r="F3657" t="str">
        <f>"9780857026279"</f>
        <v>9780857026279</v>
      </c>
      <c r="G3657" t="str">
        <f>"9780761957317"</f>
        <v>9780761957317</v>
      </c>
      <c r="H3657" t="s">
        <v>138</v>
      </c>
      <c r="I3657" t="s">
        <v>7532</v>
      </c>
      <c r="J3657" t="s">
        <v>7533</v>
      </c>
      <c r="K3657" t="s">
        <v>44</v>
      </c>
      <c r="N3657" t="s">
        <v>45</v>
      </c>
      <c r="O3657" t="s">
        <v>46</v>
      </c>
      <c r="P3657" t="s">
        <v>45</v>
      </c>
      <c r="Q3657" t="s">
        <v>47</v>
      </c>
      <c r="R3657" t="s">
        <v>44</v>
      </c>
      <c r="S3657">
        <v>0</v>
      </c>
      <c r="W3657" s="3">
        <v>3.8194444444444446E-4</v>
      </c>
      <c r="X3657" t="s">
        <v>7534</v>
      </c>
      <c r="Y3657">
        <v>8</v>
      </c>
      <c r="Z3657">
        <v>0</v>
      </c>
      <c r="AA3657" t="s">
        <v>49</v>
      </c>
      <c r="AB3657">
        <v>0</v>
      </c>
      <c r="AC3657" t="s">
        <v>49</v>
      </c>
      <c r="AD3657">
        <v>0</v>
      </c>
      <c r="AE3657">
        <v>10392743</v>
      </c>
      <c r="AF3657" t="s">
        <v>50</v>
      </c>
      <c r="AG3657" t="s">
        <v>7205</v>
      </c>
    </row>
    <row r="3658" spans="1:33" x14ac:dyDescent="0.35">
      <c r="A3658" s="1">
        <v>44667.917361111111</v>
      </c>
      <c r="B3658">
        <v>468030</v>
      </c>
      <c r="C3658" t="s">
        <v>7433</v>
      </c>
      <c r="D3658" t="s">
        <v>473</v>
      </c>
      <c r="E3658" s="2">
        <v>39470</v>
      </c>
      <c r="F3658" t="str">
        <f>"9789047432593"</f>
        <v>9789047432593</v>
      </c>
      <c r="G3658" t="str">
        <f>"9789004164451"</f>
        <v>9789004164451</v>
      </c>
      <c r="H3658" t="s">
        <v>2717</v>
      </c>
      <c r="I3658">
        <v>16.355009409019999</v>
      </c>
      <c r="J3658" t="s">
        <v>7434</v>
      </c>
      <c r="K3658" t="s">
        <v>44</v>
      </c>
      <c r="N3658" t="s">
        <v>45</v>
      </c>
      <c r="O3658" t="s">
        <v>46</v>
      </c>
      <c r="P3658" t="s">
        <v>45</v>
      </c>
      <c r="Q3658" t="s">
        <v>47</v>
      </c>
      <c r="R3658" t="s">
        <v>44</v>
      </c>
      <c r="S3658">
        <v>0</v>
      </c>
      <c r="W3658" s="3">
        <v>1.6203703703703703E-4</v>
      </c>
      <c r="X3658" t="s">
        <v>1154</v>
      </c>
      <c r="Y3658">
        <v>3</v>
      </c>
      <c r="Z3658">
        <v>0</v>
      </c>
      <c r="AA3658" t="s">
        <v>49</v>
      </c>
      <c r="AB3658">
        <v>0</v>
      </c>
      <c r="AC3658" t="s">
        <v>49</v>
      </c>
      <c r="AD3658">
        <v>0</v>
      </c>
      <c r="AE3658">
        <v>10363791</v>
      </c>
      <c r="AF3658" t="s">
        <v>50</v>
      </c>
      <c r="AG3658" t="s">
        <v>7457</v>
      </c>
    </row>
    <row r="3659" spans="1:33" x14ac:dyDescent="0.35">
      <c r="A3659" s="1">
        <v>44667.62777777778</v>
      </c>
      <c r="B3659">
        <v>5796941</v>
      </c>
      <c r="C3659" t="s">
        <v>7395</v>
      </c>
      <c r="D3659" t="s">
        <v>844</v>
      </c>
      <c r="E3659" s="2">
        <v>43656</v>
      </c>
      <c r="F3659" t="str">
        <f>"9781787566811"</f>
        <v>9781787566811</v>
      </c>
      <c r="G3659" t="str">
        <f>"9781787566804"</f>
        <v>9781787566804</v>
      </c>
      <c r="H3659" t="s">
        <v>900</v>
      </c>
      <c r="I3659">
        <v>337.51056</v>
      </c>
      <c r="J3659" t="s">
        <v>1794</v>
      </c>
      <c r="K3659" t="s">
        <v>44</v>
      </c>
      <c r="N3659" t="s">
        <v>45</v>
      </c>
      <c r="O3659" t="s">
        <v>46</v>
      </c>
      <c r="P3659" t="s">
        <v>45</v>
      </c>
      <c r="Q3659" t="s">
        <v>47</v>
      </c>
      <c r="R3659" t="s">
        <v>44</v>
      </c>
      <c r="S3659">
        <v>0</v>
      </c>
      <c r="W3659" s="3">
        <v>0</v>
      </c>
      <c r="X3659" t="s">
        <v>49</v>
      </c>
      <c r="Y3659">
        <v>0</v>
      </c>
      <c r="Z3659">
        <v>0</v>
      </c>
      <c r="AA3659" t="s">
        <v>49</v>
      </c>
      <c r="AB3659">
        <v>0</v>
      </c>
      <c r="AC3659" t="s">
        <v>49</v>
      </c>
      <c r="AD3659">
        <v>0</v>
      </c>
      <c r="AE3659">
        <v>-1</v>
      </c>
      <c r="AF3659" t="s">
        <v>50</v>
      </c>
      <c r="AG3659" t="s">
        <v>7501</v>
      </c>
    </row>
    <row r="3660" spans="1:33" x14ac:dyDescent="0.35">
      <c r="A3660" s="1">
        <v>44666.926388888889</v>
      </c>
      <c r="B3660">
        <v>947223</v>
      </c>
      <c r="C3660" t="s">
        <v>7535</v>
      </c>
      <c r="D3660" t="s">
        <v>59</v>
      </c>
      <c r="E3660" s="2">
        <v>41029</v>
      </c>
      <c r="F3660" t="str">
        <f>"9781119941781"</f>
        <v>9781119941781</v>
      </c>
      <c r="G3660" t="str">
        <f>"9781119990352"</f>
        <v>9781119990352</v>
      </c>
      <c r="H3660" t="s">
        <v>1040</v>
      </c>
      <c r="I3660">
        <v>541.33000000000004</v>
      </c>
      <c r="J3660" t="s">
        <v>7536</v>
      </c>
      <c r="K3660" t="s">
        <v>44</v>
      </c>
      <c r="N3660" t="s">
        <v>45</v>
      </c>
      <c r="O3660" t="s">
        <v>46</v>
      </c>
      <c r="P3660" t="s">
        <v>45</v>
      </c>
      <c r="Q3660" t="s">
        <v>47</v>
      </c>
      <c r="R3660" t="s">
        <v>44</v>
      </c>
      <c r="S3660">
        <v>0</v>
      </c>
      <c r="W3660" s="3">
        <v>1.2685185185185183E-2</v>
      </c>
      <c r="X3660" t="s">
        <v>7537</v>
      </c>
      <c r="Y3660">
        <v>34</v>
      </c>
      <c r="Z3660">
        <v>0</v>
      </c>
      <c r="AA3660" t="s">
        <v>49</v>
      </c>
      <c r="AB3660">
        <v>0</v>
      </c>
      <c r="AC3660" t="s">
        <v>49</v>
      </c>
      <c r="AD3660">
        <v>0</v>
      </c>
      <c r="AE3660">
        <v>10575502</v>
      </c>
      <c r="AF3660" t="s">
        <v>50</v>
      </c>
      <c r="AG3660" t="s">
        <v>7538</v>
      </c>
    </row>
    <row r="3661" spans="1:33" x14ac:dyDescent="0.35">
      <c r="A3661" s="1">
        <v>44666.865277777775</v>
      </c>
      <c r="B3661">
        <v>947223</v>
      </c>
      <c r="C3661" t="s">
        <v>7535</v>
      </c>
      <c r="D3661" t="s">
        <v>59</v>
      </c>
      <c r="E3661" s="2">
        <v>41029</v>
      </c>
      <c r="F3661" t="str">
        <f>"9781119941781"</f>
        <v>9781119941781</v>
      </c>
      <c r="G3661" t="str">
        <f>"9781119990352"</f>
        <v>9781119990352</v>
      </c>
      <c r="H3661" t="s">
        <v>1040</v>
      </c>
      <c r="I3661">
        <v>541.33000000000004</v>
      </c>
      <c r="J3661" t="s">
        <v>7536</v>
      </c>
      <c r="K3661" t="s">
        <v>44</v>
      </c>
      <c r="N3661" t="s">
        <v>45</v>
      </c>
      <c r="O3661" t="s">
        <v>46</v>
      </c>
      <c r="P3661" t="s">
        <v>45</v>
      </c>
      <c r="Q3661" t="s">
        <v>47</v>
      </c>
      <c r="R3661" t="s">
        <v>44</v>
      </c>
      <c r="S3661">
        <v>0</v>
      </c>
      <c r="W3661" s="3">
        <v>7.6273148148148151E-3</v>
      </c>
      <c r="X3661" t="s">
        <v>7539</v>
      </c>
      <c r="Y3661">
        <v>16</v>
      </c>
      <c r="Z3661">
        <v>0</v>
      </c>
      <c r="AA3661" t="s">
        <v>49</v>
      </c>
      <c r="AB3661">
        <v>0</v>
      </c>
      <c r="AC3661" t="s">
        <v>49</v>
      </c>
      <c r="AD3661">
        <v>0</v>
      </c>
      <c r="AE3661">
        <v>10575502</v>
      </c>
      <c r="AF3661" t="s">
        <v>50</v>
      </c>
      <c r="AG3661" t="s">
        <v>7538</v>
      </c>
    </row>
    <row r="3662" spans="1:33" x14ac:dyDescent="0.35">
      <c r="A3662" s="1">
        <v>44666.595833333333</v>
      </c>
      <c r="B3662">
        <v>227691</v>
      </c>
      <c r="C3662" t="s">
        <v>7540</v>
      </c>
      <c r="D3662" t="s">
        <v>861</v>
      </c>
      <c r="E3662" s="2">
        <v>38321</v>
      </c>
      <c r="F3662" t="str">
        <f>"9781580538176"</f>
        <v>9781580538176</v>
      </c>
      <c r="G3662" t="str">
        <f>"9781580538169"</f>
        <v>9781580538169</v>
      </c>
      <c r="H3662" t="s">
        <v>546</v>
      </c>
      <c r="I3662">
        <v>621.38480000000004</v>
      </c>
      <c r="J3662" t="s">
        <v>7541</v>
      </c>
      <c r="K3662" t="s">
        <v>44</v>
      </c>
      <c r="N3662" t="s">
        <v>45</v>
      </c>
      <c r="O3662" t="s">
        <v>46</v>
      </c>
      <c r="P3662" t="s">
        <v>45</v>
      </c>
      <c r="Q3662" t="s">
        <v>47</v>
      </c>
      <c r="R3662" t="s">
        <v>44</v>
      </c>
      <c r="S3662">
        <v>1</v>
      </c>
      <c r="W3662" s="3">
        <v>0</v>
      </c>
      <c r="X3662" t="s">
        <v>49</v>
      </c>
      <c r="Y3662">
        <v>0</v>
      </c>
      <c r="Z3662">
        <v>0</v>
      </c>
      <c r="AA3662" t="s">
        <v>49</v>
      </c>
      <c r="AB3662">
        <v>0</v>
      </c>
      <c r="AC3662" t="s">
        <v>49</v>
      </c>
      <c r="AD3662">
        <v>0</v>
      </c>
      <c r="AE3662">
        <v>10081989</v>
      </c>
      <c r="AF3662" t="s">
        <v>63</v>
      </c>
      <c r="AG3662" t="s">
        <v>7457</v>
      </c>
    </row>
    <row r="3663" spans="1:33" x14ac:dyDescent="0.35">
      <c r="A3663" s="1">
        <v>44666.493055555555</v>
      </c>
      <c r="B3663">
        <v>947223</v>
      </c>
      <c r="C3663" t="s">
        <v>7535</v>
      </c>
      <c r="D3663" t="s">
        <v>59</v>
      </c>
      <c r="E3663" s="2">
        <v>41029</v>
      </c>
      <c r="F3663" t="str">
        <f>"9781119941781"</f>
        <v>9781119941781</v>
      </c>
      <c r="G3663" t="str">
        <f>"9781119990352"</f>
        <v>9781119990352</v>
      </c>
      <c r="H3663" t="s">
        <v>1040</v>
      </c>
      <c r="I3663">
        <v>541.33000000000004</v>
      </c>
      <c r="J3663" t="s">
        <v>7536</v>
      </c>
      <c r="K3663" t="s">
        <v>44</v>
      </c>
      <c r="N3663" t="s">
        <v>45</v>
      </c>
      <c r="O3663" t="s">
        <v>46</v>
      </c>
      <c r="P3663" t="s">
        <v>45</v>
      </c>
      <c r="Q3663" t="s">
        <v>47</v>
      </c>
      <c r="R3663" t="s">
        <v>44</v>
      </c>
      <c r="S3663">
        <v>0</v>
      </c>
      <c r="W3663" s="3">
        <v>6.5960648148148157E-2</v>
      </c>
      <c r="X3663" t="s">
        <v>7542</v>
      </c>
      <c r="Y3663">
        <v>205</v>
      </c>
      <c r="Z3663">
        <v>0</v>
      </c>
      <c r="AA3663" t="s">
        <v>49</v>
      </c>
      <c r="AB3663">
        <v>0</v>
      </c>
      <c r="AC3663" t="s">
        <v>49</v>
      </c>
      <c r="AD3663">
        <v>0</v>
      </c>
      <c r="AE3663">
        <v>10575502</v>
      </c>
      <c r="AF3663" t="s">
        <v>50</v>
      </c>
      <c r="AG3663" t="s">
        <v>7538</v>
      </c>
    </row>
    <row r="3664" spans="1:33" x14ac:dyDescent="0.35">
      <c r="A3664" s="1">
        <v>44666.469444444447</v>
      </c>
      <c r="B3664">
        <v>242459</v>
      </c>
      <c r="C3664" t="s">
        <v>7543</v>
      </c>
      <c r="D3664" t="s">
        <v>7544</v>
      </c>
      <c r="E3664" s="2">
        <v>36857</v>
      </c>
      <c r="F3664" t="str">
        <f>"9781444307535"</f>
        <v>9781444307535</v>
      </c>
      <c r="G3664" t="str">
        <f>"9780727915788"</f>
        <v>9780727915788</v>
      </c>
      <c r="H3664" t="s">
        <v>77</v>
      </c>
      <c r="I3664">
        <v>616</v>
      </c>
      <c r="J3664" t="s">
        <v>7545</v>
      </c>
      <c r="K3664" t="s">
        <v>44</v>
      </c>
      <c r="N3664" t="s">
        <v>45</v>
      </c>
      <c r="O3664" t="s">
        <v>46</v>
      </c>
      <c r="P3664" t="s">
        <v>45</v>
      </c>
      <c r="Q3664" t="s">
        <v>47</v>
      </c>
      <c r="R3664" t="s">
        <v>44</v>
      </c>
      <c r="S3664">
        <v>0</v>
      </c>
      <c r="W3664" s="3">
        <v>2.3148148148148147E-5</v>
      </c>
      <c r="X3664" t="s">
        <v>49</v>
      </c>
      <c r="Y3664">
        <v>0</v>
      </c>
      <c r="Z3664">
        <v>1</v>
      </c>
      <c r="AA3664" t="s">
        <v>7546</v>
      </c>
      <c r="AB3664">
        <v>18</v>
      </c>
      <c r="AC3664" t="s">
        <v>49</v>
      </c>
      <c r="AD3664">
        <v>0</v>
      </c>
      <c r="AE3664">
        <v>10033049</v>
      </c>
      <c r="AF3664" t="s">
        <v>50</v>
      </c>
      <c r="AG3664" t="s">
        <v>7457</v>
      </c>
    </row>
    <row r="3665" spans="1:33" x14ac:dyDescent="0.35">
      <c r="A3665" s="1">
        <v>44666.465277777781</v>
      </c>
      <c r="B3665">
        <v>1744501</v>
      </c>
      <c r="C3665" t="s">
        <v>550</v>
      </c>
      <c r="D3665" t="s">
        <v>65</v>
      </c>
      <c r="E3665" s="2">
        <v>41827</v>
      </c>
      <c r="F3665" t="str">
        <f>"9780857097736"</f>
        <v>9780857097736</v>
      </c>
      <c r="G3665" t="str">
        <f>"9780857097682"</f>
        <v>9780857097682</v>
      </c>
      <c r="H3665" t="s">
        <v>116</v>
      </c>
      <c r="I3665">
        <v>665.81</v>
      </c>
      <c r="J3665" t="s">
        <v>551</v>
      </c>
      <c r="K3665" t="s">
        <v>55</v>
      </c>
      <c r="N3665" t="s">
        <v>79</v>
      </c>
      <c r="P3665" t="s">
        <v>80</v>
      </c>
      <c r="Q3665" t="s">
        <v>47</v>
      </c>
      <c r="R3665" t="s">
        <v>44</v>
      </c>
      <c r="S3665">
        <v>0</v>
      </c>
      <c r="W3665" s="3">
        <v>6.9444444444444444E-5</v>
      </c>
      <c r="X3665" t="s">
        <v>121</v>
      </c>
      <c r="Y3665">
        <v>1</v>
      </c>
      <c r="Z3665">
        <v>0</v>
      </c>
      <c r="AA3665" t="s">
        <v>49</v>
      </c>
      <c r="AB3665">
        <v>0</v>
      </c>
      <c r="AC3665" t="s">
        <v>49</v>
      </c>
      <c r="AD3665">
        <v>0</v>
      </c>
      <c r="AE3665">
        <v>10896677</v>
      </c>
      <c r="AF3665" t="s">
        <v>50</v>
      </c>
      <c r="AG3665" t="s">
        <v>7523</v>
      </c>
    </row>
    <row r="3666" spans="1:33" x14ac:dyDescent="0.35">
      <c r="A3666" s="1">
        <v>44666.34097222222</v>
      </c>
      <c r="B3666">
        <v>2032465</v>
      </c>
      <c r="C3666" t="s">
        <v>7524</v>
      </c>
      <c r="D3666" t="s">
        <v>5879</v>
      </c>
      <c r="E3666" s="2">
        <v>38565</v>
      </c>
      <c r="F3666" t="str">
        <f>"9781469879314"</f>
        <v>9781469879314</v>
      </c>
      <c r="G3666" t="str">
        <f>"9780781799492"</f>
        <v>9780781799492</v>
      </c>
      <c r="H3666" t="s">
        <v>151</v>
      </c>
      <c r="I3666" t="s">
        <v>7525</v>
      </c>
      <c r="J3666" t="s">
        <v>7526</v>
      </c>
      <c r="K3666" t="s">
        <v>44</v>
      </c>
      <c r="N3666" t="s">
        <v>45</v>
      </c>
      <c r="O3666" t="s">
        <v>46</v>
      </c>
      <c r="P3666" t="s">
        <v>45</v>
      </c>
      <c r="Q3666" t="s">
        <v>47</v>
      </c>
      <c r="R3666" t="s">
        <v>44</v>
      </c>
      <c r="S3666">
        <v>0</v>
      </c>
      <c r="W3666" s="3">
        <v>1.1354166666666667E-2</v>
      </c>
      <c r="X3666" t="s">
        <v>7547</v>
      </c>
      <c r="Y3666">
        <v>73</v>
      </c>
      <c r="Z3666">
        <v>0</v>
      </c>
      <c r="AA3666" t="s">
        <v>7548</v>
      </c>
      <c r="AB3666">
        <v>47</v>
      </c>
      <c r="AC3666" t="s">
        <v>49</v>
      </c>
      <c r="AD3666">
        <v>0</v>
      </c>
      <c r="AE3666">
        <v>10825404</v>
      </c>
      <c r="AF3666" t="s">
        <v>50</v>
      </c>
      <c r="AG3666" t="s">
        <v>7523</v>
      </c>
    </row>
    <row r="3667" spans="1:33" x14ac:dyDescent="0.35">
      <c r="A3667" s="1">
        <v>44666.081250000003</v>
      </c>
      <c r="B3667">
        <v>947223</v>
      </c>
      <c r="C3667" t="s">
        <v>7535</v>
      </c>
      <c r="D3667" t="s">
        <v>59</v>
      </c>
      <c r="E3667" s="2">
        <v>41029</v>
      </c>
      <c r="F3667" t="str">
        <f>"9781119941781"</f>
        <v>9781119941781</v>
      </c>
      <c r="G3667" t="str">
        <f>"9781119990352"</f>
        <v>9781119990352</v>
      </c>
      <c r="H3667" t="s">
        <v>1040</v>
      </c>
      <c r="I3667">
        <v>541.33000000000004</v>
      </c>
      <c r="J3667" t="s">
        <v>7536</v>
      </c>
      <c r="K3667" t="s">
        <v>44</v>
      </c>
      <c r="N3667" t="s">
        <v>45</v>
      </c>
      <c r="O3667" t="s">
        <v>46</v>
      </c>
      <c r="P3667" t="s">
        <v>45</v>
      </c>
      <c r="Q3667" t="s">
        <v>47</v>
      </c>
      <c r="R3667" t="s">
        <v>44</v>
      </c>
      <c r="S3667">
        <v>0</v>
      </c>
      <c r="W3667" s="3">
        <v>8.7384259259259255E-3</v>
      </c>
      <c r="X3667" t="s">
        <v>7549</v>
      </c>
      <c r="Y3667">
        <v>29</v>
      </c>
      <c r="Z3667">
        <v>0</v>
      </c>
      <c r="AA3667" t="s">
        <v>49</v>
      </c>
      <c r="AB3667">
        <v>0</v>
      </c>
      <c r="AC3667" t="s">
        <v>49</v>
      </c>
      <c r="AD3667">
        <v>0</v>
      </c>
      <c r="AE3667">
        <v>10575502</v>
      </c>
      <c r="AF3667" t="s">
        <v>50</v>
      </c>
      <c r="AG3667" t="s">
        <v>7538</v>
      </c>
    </row>
    <row r="3668" spans="1:33" x14ac:dyDescent="0.35">
      <c r="A3668" s="1">
        <v>44666.051388888889</v>
      </c>
      <c r="B3668">
        <v>947223</v>
      </c>
      <c r="C3668" t="s">
        <v>7535</v>
      </c>
      <c r="D3668" t="s">
        <v>59</v>
      </c>
      <c r="E3668" s="2">
        <v>41029</v>
      </c>
      <c r="F3668" t="str">
        <f>"9781119941781"</f>
        <v>9781119941781</v>
      </c>
      <c r="G3668" t="str">
        <f>"9781119990352"</f>
        <v>9781119990352</v>
      </c>
      <c r="H3668" t="s">
        <v>1040</v>
      </c>
      <c r="I3668">
        <v>541.33000000000004</v>
      </c>
      <c r="J3668" t="s">
        <v>7536</v>
      </c>
      <c r="K3668" t="s">
        <v>44</v>
      </c>
      <c r="N3668" t="s">
        <v>45</v>
      </c>
      <c r="O3668" t="s">
        <v>46</v>
      </c>
      <c r="P3668" t="s">
        <v>45</v>
      </c>
      <c r="Q3668" t="s">
        <v>47</v>
      </c>
      <c r="R3668" t="s">
        <v>44</v>
      </c>
      <c r="S3668">
        <v>0</v>
      </c>
      <c r="W3668" s="3">
        <v>8.518518518518519E-3</v>
      </c>
      <c r="X3668" t="s">
        <v>7550</v>
      </c>
      <c r="Y3668">
        <v>43</v>
      </c>
      <c r="Z3668">
        <v>0</v>
      </c>
      <c r="AA3668" t="s">
        <v>49</v>
      </c>
      <c r="AB3668">
        <v>0</v>
      </c>
      <c r="AC3668" t="s">
        <v>49</v>
      </c>
      <c r="AD3668">
        <v>0</v>
      </c>
      <c r="AE3668">
        <v>10575502</v>
      </c>
      <c r="AF3668" t="s">
        <v>50</v>
      </c>
      <c r="AG3668" t="s">
        <v>7538</v>
      </c>
    </row>
    <row r="3669" spans="1:33" x14ac:dyDescent="0.35">
      <c r="A3669" s="1">
        <v>44665.833333333336</v>
      </c>
      <c r="B3669">
        <v>1028086</v>
      </c>
      <c r="C3669" t="s">
        <v>7551</v>
      </c>
      <c r="D3669" t="s">
        <v>666</v>
      </c>
      <c r="E3669" s="2">
        <v>41275</v>
      </c>
      <c r="F3669" t="str">
        <f>"9780231531030"</f>
        <v>9780231531030</v>
      </c>
      <c r="G3669" t="str">
        <f>"9780231162432"</f>
        <v>9780231162432</v>
      </c>
      <c r="H3669" t="s">
        <v>579</v>
      </c>
      <c r="I3669">
        <v>629.45000000000005</v>
      </c>
      <c r="J3669" t="s">
        <v>7552</v>
      </c>
      <c r="K3669" t="s">
        <v>44</v>
      </c>
      <c r="N3669" t="s">
        <v>45</v>
      </c>
      <c r="O3669" t="s">
        <v>46</v>
      </c>
      <c r="P3669" t="s">
        <v>45</v>
      </c>
      <c r="Q3669" t="s">
        <v>47</v>
      </c>
      <c r="R3669" t="s">
        <v>44</v>
      </c>
      <c r="S3669">
        <v>0</v>
      </c>
      <c r="W3669" s="3">
        <v>6.018518518518519E-4</v>
      </c>
      <c r="X3669" t="s">
        <v>7553</v>
      </c>
      <c r="Y3669">
        <v>12</v>
      </c>
      <c r="Z3669">
        <v>0</v>
      </c>
      <c r="AA3669" t="s">
        <v>49</v>
      </c>
      <c r="AB3669">
        <v>0</v>
      </c>
      <c r="AC3669" t="s">
        <v>49</v>
      </c>
      <c r="AD3669">
        <v>0</v>
      </c>
      <c r="AE3669">
        <v>10663167</v>
      </c>
      <c r="AF3669" t="s">
        <v>50</v>
      </c>
      <c r="AG3669" t="s">
        <v>1476</v>
      </c>
    </row>
    <row r="3670" spans="1:33" x14ac:dyDescent="0.35">
      <c r="A3670" s="1">
        <v>44665.602083333331</v>
      </c>
      <c r="B3670">
        <v>2032465</v>
      </c>
      <c r="C3670" t="s">
        <v>7524</v>
      </c>
      <c r="D3670" t="s">
        <v>5879</v>
      </c>
      <c r="E3670" s="2">
        <v>38565</v>
      </c>
      <c r="F3670" t="str">
        <f>"9781469879314"</f>
        <v>9781469879314</v>
      </c>
      <c r="G3670" t="str">
        <f>"9780781799492"</f>
        <v>9780781799492</v>
      </c>
      <c r="H3670" t="s">
        <v>151</v>
      </c>
      <c r="I3670" t="s">
        <v>7525</v>
      </c>
      <c r="J3670" t="s">
        <v>7526</v>
      </c>
      <c r="K3670" t="s">
        <v>44</v>
      </c>
      <c r="N3670" t="s">
        <v>45</v>
      </c>
      <c r="O3670" t="s">
        <v>46</v>
      </c>
      <c r="P3670" t="s">
        <v>45</v>
      </c>
      <c r="Q3670" t="s">
        <v>47</v>
      </c>
      <c r="R3670" t="s">
        <v>44</v>
      </c>
      <c r="S3670">
        <v>2</v>
      </c>
      <c r="W3670" s="3">
        <v>0</v>
      </c>
      <c r="X3670" t="s">
        <v>49</v>
      </c>
      <c r="Y3670">
        <v>0</v>
      </c>
      <c r="Z3670">
        <v>0</v>
      </c>
      <c r="AA3670" t="s">
        <v>49</v>
      </c>
      <c r="AB3670">
        <v>0</v>
      </c>
      <c r="AC3670" t="s">
        <v>49</v>
      </c>
      <c r="AD3670">
        <v>0</v>
      </c>
      <c r="AE3670">
        <v>10825404</v>
      </c>
      <c r="AF3670" t="s">
        <v>63</v>
      </c>
      <c r="AG3670" t="s">
        <v>7523</v>
      </c>
    </row>
    <row r="3671" spans="1:33" x14ac:dyDescent="0.35">
      <c r="A3671" s="1">
        <v>44665.59652777778</v>
      </c>
      <c r="B3671">
        <v>2032465</v>
      </c>
      <c r="C3671" t="s">
        <v>7524</v>
      </c>
      <c r="D3671" t="s">
        <v>5879</v>
      </c>
      <c r="E3671" s="2">
        <v>38565</v>
      </c>
      <c r="F3671" t="str">
        <f>"9781469879314"</f>
        <v>9781469879314</v>
      </c>
      <c r="G3671" t="str">
        <f>"9780781799492"</f>
        <v>9780781799492</v>
      </c>
      <c r="H3671" t="s">
        <v>151</v>
      </c>
      <c r="I3671" t="s">
        <v>7525</v>
      </c>
      <c r="J3671" t="s">
        <v>7526</v>
      </c>
      <c r="K3671" t="s">
        <v>44</v>
      </c>
      <c r="N3671" t="s">
        <v>45</v>
      </c>
      <c r="O3671" t="s">
        <v>46</v>
      </c>
      <c r="P3671" t="s">
        <v>45</v>
      </c>
      <c r="Q3671" t="s">
        <v>47</v>
      </c>
      <c r="R3671" t="s">
        <v>44</v>
      </c>
      <c r="S3671">
        <v>0</v>
      </c>
      <c r="W3671" s="3">
        <v>5.7291666666666671E-3</v>
      </c>
      <c r="X3671" t="s">
        <v>7554</v>
      </c>
      <c r="Y3671">
        <v>46</v>
      </c>
      <c r="Z3671">
        <v>0</v>
      </c>
      <c r="AA3671" t="s">
        <v>49</v>
      </c>
      <c r="AB3671">
        <v>0</v>
      </c>
      <c r="AC3671" t="s">
        <v>49</v>
      </c>
      <c r="AD3671">
        <v>0</v>
      </c>
      <c r="AE3671">
        <v>10825404</v>
      </c>
      <c r="AF3671" t="s">
        <v>63</v>
      </c>
      <c r="AG3671" t="s">
        <v>7523</v>
      </c>
    </row>
    <row r="3672" spans="1:33" x14ac:dyDescent="0.35">
      <c r="A3672" s="1">
        <v>44665.518055555556</v>
      </c>
      <c r="B3672">
        <v>2032465</v>
      </c>
      <c r="C3672" t="s">
        <v>7524</v>
      </c>
      <c r="D3672" t="s">
        <v>5879</v>
      </c>
      <c r="E3672" s="2">
        <v>38565</v>
      </c>
      <c r="F3672" t="str">
        <f>"9781469879314"</f>
        <v>9781469879314</v>
      </c>
      <c r="G3672" t="str">
        <f>"9780781799492"</f>
        <v>9780781799492</v>
      </c>
      <c r="H3672" t="s">
        <v>151</v>
      </c>
      <c r="I3672" t="s">
        <v>7525</v>
      </c>
      <c r="J3672" t="s">
        <v>7526</v>
      </c>
      <c r="K3672" t="s">
        <v>44</v>
      </c>
      <c r="N3672" t="s">
        <v>45</v>
      </c>
      <c r="O3672" t="s">
        <v>46</v>
      </c>
      <c r="P3672" t="s">
        <v>45</v>
      </c>
      <c r="Q3672" t="s">
        <v>47</v>
      </c>
      <c r="R3672" t="s">
        <v>44</v>
      </c>
      <c r="S3672">
        <v>0</v>
      </c>
      <c r="W3672" s="3">
        <v>1.7002314814814814E-2</v>
      </c>
      <c r="X3672" t="s">
        <v>7555</v>
      </c>
      <c r="Y3672">
        <v>31</v>
      </c>
      <c r="Z3672">
        <v>0</v>
      </c>
      <c r="AA3672" t="s">
        <v>49</v>
      </c>
      <c r="AB3672">
        <v>0</v>
      </c>
      <c r="AC3672" t="s">
        <v>49</v>
      </c>
      <c r="AD3672">
        <v>0</v>
      </c>
      <c r="AE3672">
        <v>10825404</v>
      </c>
      <c r="AF3672" t="s">
        <v>63</v>
      </c>
      <c r="AG3672" t="s">
        <v>7523</v>
      </c>
    </row>
    <row r="3673" spans="1:33" x14ac:dyDescent="0.35">
      <c r="A3673" s="1">
        <v>44665.502083333333</v>
      </c>
      <c r="B3673">
        <v>1693639</v>
      </c>
      <c r="C3673" t="s">
        <v>7519</v>
      </c>
      <c r="D3673" t="s">
        <v>7257</v>
      </c>
      <c r="E3673" s="2">
        <v>41744</v>
      </c>
      <c r="F3673" t="str">
        <f>"9781780233079"</f>
        <v>9781780233079</v>
      </c>
      <c r="G3673" t="str">
        <f>"9781780232676"</f>
        <v>9781780232676</v>
      </c>
      <c r="H3673" t="s">
        <v>244</v>
      </c>
      <c r="I3673">
        <v>150.19540000000001</v>
      </c>
      <c r="J3673" t="s">
        <v>7520</v>
      </c>
      <c r="K3673" t="s">
        <v>44</v>
      </c>
      <c r="N3673" t="s">
        <v>45</v>
      </c>
      <c r="O3673" t="s">
        <v>46</v>
      </c>
      <c r="P3673" t="s">
        <v>177</v>
      </c>
      <c r="Q3673" t="s">
        <v>47</v>
      </c>
      <c r="R3673" t="s">
        <v>55</v>
      </c>
      <c r="S3673">
        <v>0</v>
      </c>
      <c r="W3673" s="3">
        <v>1.5069444444444443E-2</v>
      </c>
      <c r="X3673" t="s">
        <v>7556</v>
      </c>
      <c r="Y3673">
        <v>10</v>
      </c>
      <c r="Z3673">
        <v>0</v>
      </c>
      <c r="AA3673" t="s">
        <v>49</v>
      </c>
      <c r="AB3673">
        <v>0</v>
      </c>
      <c r="AC3673" t="s">
        <v>49</v>
      </c>
      <c r="AD3673">
        <v>0</v>
      </c>
      <c r="AE3673">
        <v>10875748</v>
      </c>
      <c r="AF3673" t="s">
        <v>63</v>
      </c>
      <c r="AG3673" t="s">
        <v>7523</v>
      </c>
    </row>
    <row r="3674" spans="1:33" x14ac:dyDescent="0.35">
      <c r="A3674" s="1">
        <v>44665.501388888886</v>
      </c>
      <c r="B3674">
        <v>2147133</v>
      </c>
      <c r="C3674" t="s">
        <v>7557</v>
      </c>
      <c r="D3674" t="s">
        <v>76</v>
      </c>
      <c r="E3674" s="2">
        <v>42240</v>
      </c>
      <c r="F3674" t="str">
        <f>"9781782414285"</f>
        <v>9781782414285</v>
      </c>
      <c r="G3674" t="str">
        <f>"9781782203124"</f>
        <v>9781782203124</v>
      </c>
      <c r="H3674" t="s">
        <v>176</v>
      </c>
      <c r="I3674">
        <v>362.29199999999997</v>
      </c>
      <c r="J3674" t="s">
        <v>7558</v>
      </c>
      <c r="K3674" t="s">
        <v>44</v>
      </c>
      <c r="N3674" t="s">
        <v>45</v>
      </c>
      <c r="O3674" t="s">
        <v>46</v>
      </c>
      <c r="P3674" t="s">
        <v>45</v>
      </c>
      <c r="Q3674" t="s">
        <v>47</v>
      </c>
      <c r="R3674" t="s">
        <v>44</v>
      </c>
      <c r="S3674">
        <v>1</v>
      </c>
      <c r="W3674" s="3">
        <v>2.7199074074074074E-3</v>
      </c>
      <c r="X3674" t="s">
        <v>7559</v>
      </c>
      <c r="Y3674">
        <v>28</v>
      </c>
      <c r="Z3674">
        <v>0</v>
      </c>
      <c r="AA3674" t="s">
        <v>49</v>
      </c>
      <c r="AB3674">
        <v>0</v>
      </c>
      <c r="AC3674" t="s">
        <v>49</v>
      </c>
      <c r="AD3674">
        <v>0</v>
      </c>
      <c r="AE3674">
        <v>11090625</v>
      </c>
      <c r="AF3674" t="s">
        <v>63</v>
      </c>
      <c r="AG3674" t="s">
        <v>7523</v>
      </c>
    </row>
    <row r="3675" spans="1:33" x14ac:dyDescent="0.35">
      <c r="A3675" s="1">
        <v>44665.5</v>
      </c>
      <c r="B3675">
        <v>1693639</v>
      </c>
      <c r="C3675" t="s">
        <v>7519</v>
      </c>
      <c r="D3675" t="s">
        <v>7257</v>
      </c>
      <c r="E3675" s="2">
        <v>41744</v>
      </c>
      <c r="F3675" t="str">
        <f>"9781780233079"</f>
        <v>9781780233079</v>
      </c>
      <c r="G3675" t="str">
        <f>"9781780232676"</f>
        <v>9781780232676</v>
      </c>
      <c r="H3675" t="s">
        <v>244</v>
      </c>
      <c r="I3675">
        <v>150.19540000000001</v>
      </c>
      <c r="J3675" t="s">
        <v>7520</v>
      </c>
      <c r="K3675" t="s">
        <v>44</v>
      </c>
      <c r="N3675" t="s">
        <v>45</v>
      </c>
      <c r="O3675" t="s">
        <v>46</v>
      </c>
      <c r="P3675" t="s">
        <v>177</v>
      </c>
      <c r="Q3675" t="s">
        <v>47</v>
      </c>
      <c r="R3675" t="s">
        <v>55</v>
      </c>
      <c r="S3675">
        <v>0</v>
      </c>
      <c r="W3675" s="3">
        <v>2.5462962962962961E-4</v>
      </c>
      <c r="X3675" t="s">
        <v>7560</v>
      </c>
      <c r="Y3675">
        <v>7</v>
      </c>
      <c r="Z3675">
        <v>0</v>
      </c>
      <c r="AA3675" t="s">
        <v>49</v>
      </c>
      <c r="AB3675">
        <v>0</v>
      </c>
      <c r="AC3675" t="s">
        <v>49</v>
      </c>
      <c r="AD3675">
        <v>0</v>
      </c>
      <c r="AE3675">
        <v>10875748</v>
      </c>
      <c r="AF3675" t="s">
        <v>50</v>
      </c>
      <c r="AG3675" t="s">
        <v>7457</v>
      </c>
    </row>
    <row r="3676" spans="1:33" x14ac:dyDescent="0.35">
      <c r="A3676" s="1">
        <v>44665.499305555553</v>
      </c>
      <c r="B3676">
        <v>2147133</v>
      </c>
      <c r="C3676" t="s">
        <v>7557</v>
      </c>
      <c r="D3676" t="s">
        <v>76</v>
      </c>
      <c r="E3676" s="2">
        <v>42240</v>
      </c>
      <c r="F3676" t="str">
        <f>"9781782414285"</f>
        <v>9781782414285</v>
      </c>
      <c r="G3676" t="str">
        <f>"9781782203124"</f>
        <v>9781782203124</v>
      </c>
      <c r="H3676" t="s">
        <v>176</v>
      </c>
      <c r="I3676">
        <v>362.29199999999997</v>
      </c>
      <c r="J3676" t="s">
        <v>7558</v>
      </c>
      <c r="K3676" t="s">
        <v>44</v>
      </c>
      <c r="N3676" t="s">
        <v>45</v>
      </c>
      <c r="O3676" t="s">
        <v>46</v>
      </c>
      <c r="P3676" t="s">
        <v>45</v>
      </c>
      <c r="Q3676" t="s">
        <v>47</v>
      </c>
      <c r="R3676" t="s">
        <v>44</v>
      </c>
      <c r="S3676">
        <v>0</v>
      </c>
      <c r="W3676" s="3">
        <v>1.7824074074074072E-3</v>
      </c>
      <c r="X3676" t="s">
        <v>7561</v>
      </c>
      <c r="Y3676">
        <v>22</v>
      </c>
      <c r="Z3676">
        <v>0</v>
      </c>
      <c r="AA3676" t="s">
        <v>49</v>
      </c>
      <c r="AB3676">
        <v>0</v>
      </c>
      <c r="AC3676" t="s">
        <v>49</v>
      </c>
      <c r="AD3676">
        <v>0</v>
      </c>
      <c r="AE3676">
        <v>11090625</v>
      </c>
      <c r="AF3676" t="s">
        <v>63</v>
      </c>
      <c r="AG3676" t="s">
        <v>7523</v>
      </c>
    </row>
    <row r="3677" spans="1:33" x14ac:dyDescent="0.35">
      <c r="A3677" s="1">
        <v>44665.423611111109</v>
      </c>
      <c r="B3677">
        <v>692432</v>
      </c>
      <c r="C3677" t="s">
        <v>7562</v>
      </c>
      <c r="D3677" t="s">
        <v>213</v>
      </c>
      <c r="E3677" s="2">
        <v>40737</v>
      </c>
      <c r="F3677" t="str">
        <f>"9780123870186"</f>
        <v>9780123870186</v>
      </c>
      <c r="G3677" t="str">
        <f>"9781493301270"</f>
        <v>9781493301270</v>
      </c>
      <c r="H3677" t="s">
        <v>1040</v>
      </c>
      <c r="I3677">
        <v>543.57000000000005</v>
      </c>
      <c r="J3677" t="s">
        <v>7563</v>
      </c>
      <c r="K3677" t="s">
        <v>44</v>
      </c>
      <c r="N3677" t="s">
        <v>45</v>
      </c>
      <c r="O3677" t="s">
        <v>46</v>
      </c>
      <c r="P3677" t="s">
        <v>45</v>
      </c>
      <c r="Q3677" t="s">
        <v>47</v>
      </c>
      <c r="R3677" t="s">
        <v>44</v>
      </c>
      <c r="S3677">
        <v>0</v>
      </c>
      <c r="W3677" s="3">
        <v>0</v>
      </c>
      <c r="X3677" t="s">
        <v>49</v>
      </c>
      <c r="Y3677">
        <v>0</v>
      </c>
      <c r="Z3677">
        <v>2</v>
      </c>
      <c r="AA3677" t="s">
        <v>7564</v>
      </c>
      <c r="AB3677">
        <v>26</v>
      </c>
      <c r="AC3677" t="s">
        <v>49</v>
      </c>
      <c r="AD3677">
        <v>0</v>
      </c>
      <c r="AE3677">
        <v>10470321</v>
      </c>
      <c r="AF3677" t="s">
        <v>50</v>
      </c>
      <c r="AG3677" t="s">
        <v>7338</v>
      </c>
    </row>
    <row r="3678" spans="1:33" x14ac:dyDescent="0.35">
      <c r="A3678" s="1">
        <v>44665.072222222225</v>
      </c>
      <c r="B3678">
        <v>424088</v>
      </c>
      <c r="C3678" t="s">
        <v>7051</v>
      </c>
      <c r="D3678" t="s">
        <v>1918</v>
      </c>
      <c r="E3678" s="2">
        <v>38718</v>
      </c>
      <c r="F3678" t="str">
        <f>"9788122426427"</f>
        <v>9788122426427</v>
      </c>
      <c r="G3678" t="str">
        <f>"9788122417722"</f>
        <v>9788122417722</v>
      </c>
      <c r="H3678" t="s">
        <v>1063</v>
      </c>
      <c r="I3678" t="s">
        <v>7052</v>
      </c>
      <c r="J3678" t="s">
        <v>7053</v>
      </c>
      <c r="K3678" t="s">
        <v>44</v>
      </c>
      <c r="N3678" t="s">
        <v>45</v>
      </c>
      <c r="O3678" t="s">
        <v>46</v>
      </c>
      <c r="P3678" t="s">
        <v>45</v>
      </c>
      <c r="Q3678" t="s">
        <v>47</v>
      </c>
      <c r="R3678" t="s">
        <v>44</v>
      </c>
      <c r="S3678">
        <v>0</v>
      </c>
      <c r="W3678" s="3">
        <v>5.7870370370370366E-5</v>
      </c>
      <c r="X3678" t="s">
        <v>121</v>
      </c>
      <c r="Y3678">
        <v>1</v>
      </c>
      <c r="Z3678">
        <v>3</v>
      </c>
      <c r="AA3678" t="s">
        <v>7565</v>
      </c>
      <c r="AB3678">
        <v>170</v>
      </c>
      <c r="AC3678" t="s">
        <v>49</v>
      </c>
      <c r="AD3678">
        <v>0</v>
      </c>
      <c r="AE3678">
        <v>10318686</v>
      </c>
      <c r="AF3678" t="s">
        <v>50</v>
      </c>
      <c r="AG3678" t="s">
        <v>7523</v>
      </c>
    </row>
    <row r="3679" spans="1:33" x14ac:dyDescent="0.35">
      <c r="A3679" s="1">
        <v>44664.59375</v>
      </c>
      <c r="B3679">
        <v>947223</v>
      </c>
      <c r="C3679" t="s">
        <v>7535</v>
      </c>
      <c r="D3679" t="s">
        <v>59</v>
      </c>
      <c r="E3679" s="2">
        <v>41029</v>
      </c>
      <c r="F3679" t="str">
        <f>"9781119941781"</f>
        <v>9781119941781</v>
      </c>
      <c r="G3679" t="str">
        <f>"9781119990352"</f>
        <v>9781119990352</v>
      </c>
      <c r="H3679" t="s">
        <v>1040</v>
      </c>
      <c r="I3679">
        <v>541.33000000000004</v>
      </c>
      <c r="J3679" t="s">
        <v>7536</v>
      </c>
      <c r="K3679" t="s">
        <v>44</v>
      </c>
      <c r="N3679" t="s">
        <v>45</v>
      </c>
      <c r="O3679" t="s">
        <v>46</v>
      </c>
      <c r="P3679" t="s">
        <v>45</v>
      </c>
      <c r="Q3679" t="s">
        <v>47</v>
      </c>
      <c r="R3679" t="s">
        <v>44</v>
      </c>
      <c r="S3679">
        <v>1</v>
      </c>
      <c r="W3679" s="3">
        <v>0</v>
      </c>
      <c r="X3679" t="s">
        <v>49</v>
      </c>
      <c r="Y3679">
        <v>0</v>
      </c>
      <c r="Z3679">
        <v>0</v>
      </c>
      <c r="AA3679" t="s">
        <v>49</v>
      </c>
      <c r="AB3679">
        <v>0</v>
      </c>
      <c r="AC3679" t="s">
        <v>49</v>
      </c>
      <c r="AD3679">
        <v>0</v>
      </c>
      <c r="AE3679">
        <v>10575502</v>
      </c>
      <c r="AF3679" t="s">
        <v>63</v>
      </c>
      <c r="AG3679" t="s">
        <v>7457</v>
      </c>
    </row>
    <row r="3680" spans="1:33" x14ac:dyDescent="0.35">
      <c r="A3680" s="1">
        <v>44664.592361111114</v>
      </c>
      <c r="B3680">
        <v>5855524</v>
      </c>
      <c r="C3680" t="s">
        <v>7566</v>
      </c>
      <c r="D3680" t="s">
        <v>7567</v>
      </c>
      <c r="E3680" s="2">
        <v>43696</v>
      </c>
      <c r="F3680" t="str">
        <f>"9781509529285"</f>
        <v>9781509529285</v>
      </c>
      <c r="G3680" t="str">
        <f>"9781509529261"</f>
        <v>9781509529261</v>
      </c>
      <c r="H3680" t="s">
        <v>1046</v>
      </c>
      <c r="I3680" t="s">
        <v>2990</v>
      </c>
      <c r="J3680" t="s">
        <v>7568</v>
      </c>
      <c r="K3680" t="s">
        <v>55</v>
      </c>
      <c r="N3680" t="s">
        <v>79</v>
      </c>
      <c r="P3680" t="s">
        <v>80</v>
      </c>
      <c r="Q3680" t="s">
        <v>47</v>
      </c>
      <c r="R3680" t="s">
        <v>44</v>
      </c>
      <c r="S3680">
        <v>0</v>
      </c>
      <c r="W3680" s="3">
        <v>8.0185185185185193E-2</v>
      </c>
      <c r="X3680" t="s">
        <v>7569</v>
      </c>
      <c r="Y3680">
        <v>36</v>
      </c>
      <c r="Z3680">
        <v>0</v>
      </c>
      <c r="AA3680" t="s">
        <v>49</v>
      </c>
      <c r="AB3680">
        <v>0</v>
      </c>
      <c r="AC3680" t="s">
        <v>49</v>
      </c>
      <c r="AD3680">
        <v>0</v>
      </c>
      <c r="AE3680">
        <v>-1</v>
      </c>
      <c r="AF3680" t="s">
        <v>50</v>
      </c>
      <c r="AG3680" t="s">
        <v>7457</v>
      </c>
    </row>
    <row r="3681" spans="1:33" x14ac:dyDescent="0.35">
      <c r="A3681" s="1">
        <v>44664.451388888891</v>
      </c>
      <c r="B3681">
        <v>5855524</v>
      </c>
      <c r="C3681" t="s">
        <v>7566</v>
      </c>
      <c r="D3681" t="s">
        <v>7567</v>
      </c>
      <c r="E3681" s="2">
        <v>43696</v>
      </c>
      <c r="F3681" t="str">
        <f>"9781509529285"</f>
        <v>9781509529285</v>
      </c>
      <c r="G3681" t="str">
        <f>"9781509529261"</f>
        <v>9781509529261</v>
      </c>
      <c r="H3681" t="s">
        <v>1046</v>
      </c>
      <c r="I3681" t="s">
        <v>2990</v>
      </c>
      <c r="J3681" t="s">
        <v>7568</v>
      </c>
      <c r="K3681" t="s">
        <v>55</v>
      </c>
      <c r="N3681" t="s">
        <v>79</v>
      </c>
      <c r="P3681" t="s">
        <v>80</v>
      </c>
      <c r="Q3681" t="s">
        <v>47</v>
      </c>
      <c r="R3681" t="s">
        <v>44</v>
      </c>
      <c r="S3681">
        <v>0</v>
      </c>
      <c r="W3681" s="3">
        <v>4.8611111111111104E-4</v>
      </c>
      <c r="X3681" t="s">
        <v>7570</v>
      </c>
      <c r="Y3681">
        <v>5</v>
      </c>
      <c r="Z3681">
        <v>0</v>
      </c>
      <c r="AA3681" t="s">
        <v>49</v>
      </c>
      <c r="AB3681">
        <v>0</v>
      </c>
      <c r="AC3681" t="s">
        <v>49</v>
      </c>
      <c r="AD3681">
        <v>0</v>
      </c>
      <c r="AE3681">
        <v>-1</v>
      </c>
      <c r="AF3681" t="s">
        <v>50</v>
      </c>
      <c r="AG3681" t="s">
        <v>7457</v>
      </c>
    </row>
    <row r="3682" spans="1:33" x14ac:dyDescent="0.35">
      <c r="A3682" s="1">
        <v>44663.636805555558</v>
      </c>
      <c r="B3682">
        <v>5855524</v>
      </c>
      <c r="C3682" t="s">
        <v>7566</v>
      </c>
      <c r="D3682" t="s">
        <v>7567</v>
      </c>
      <c r="E3682" s="2">
        <v>43696</v>
      </c>
      <c r="F3682" t="str">
        <f>"9781509529285"</f>
        <v>9781509529285</v>
      </c>
      <c r="G3682" t="str">
        <f>"9781509529261"</f>
        <v>9781509529261</v>
      </c>
      <c r="H3682" t="s">
        <v>1046</v>
      </c>
      <c r="I3682" t="s">
        <v>2990</v>
      </c>
      <c r="J3682" t="s">
        <v>7568</v>
      </c>
      <c r="K3682" t="s">
        <v>55</v>
      </c>
      <c r="N3682" t="s">
        <v>79</v>
      </c>
      <c r="P3682" t="s">
        <v>80</v>
      </c>
      <c r="Q3682" t="s">
        <v>47</v>
      </c>
      <c r="R3682" t="s">
        <v>44</v>
      </c>
      <c r="S3682">
        <v>0</v>
      </c>
      <c r="W3682" s="3">
        <v>0.10642361111111111</v>
      </c>
      <c r="X3682" t="s">
        <v>7571</v>
      </c>
      <c r="Y3682">
        <v>38</v>
      </c>
      <c r="Z3682">
        <v>0</v>
      </c>
      <c r="AA3682" t="s">
        <v>49</v>
      </c>
      <c r="AB3682">
        <v>0</v>
      </c>
      <c r="AC3682" t="s">
        <v>49</v>
      </c>
      <c r="AD3682">
        <v>0</v>
      </c>
      <c r="AE3682">
        <v>-1</v>
      </c>
      <c r="AF3682" t="s">
        <v>50</v>
      </c>
      <c r="AG3682" t="s">
        <v>7523</v>
      </c>
    </row>
    <row r="3683" spans="1:33" x14ac:dyDescent="0.35">
      <c r="A3683" s="1">
        <v>44663.563194444447</v>
      </c>
      <c r="B3683">
        <v>275492</v>
      </c>
      <c r="C3683" t="s">
        <v>7572</v>
      </c>
      <c r="D3683" t="s">
        <v>844</v>
      </c>
      <c r="E3683" s="2">
        <v>38919</v>
      </c>
      <c r="F3683" t="str">
        <f>"9781846630859"</f>
        <v>9781846630859</v>
      </c>
      <c r="G3683" t="str">
        <f>"9781846630842"</f>
        <v>9781846630842</v>
      </c>
      <c r="H3683" t="s">
        <v>60</v>
      </c>
      <c r="I3683">
        <v>658.7</v>
      </c>
      <c r="J3683" t="s">
        <v>7573</v>
      </c>
      <c r="K3683" t="s">
        <v>44</v>
      </c>
      <c r="N3683" t="s">
        <v>45</v>
      </c>
      <c r="O3683" t="s">
        <v>46</v>
      </c>
      <c r="P3683" t="s">
        <v>45</v>
      </c>
      <c r="Q3683" t="s">
        <v>47</v>
      </c>
      <c r="R3683" t="s">
        <v>44</v>
      </c>
      <c r="S3683">
        <v>0</v>
      </c>
      <c r="W3683" s="3">
        <v>1.9675925925925926E-4</v>
      </c>
      <c r="X3683" t="s">
        <v>6999</v>
      </c>
      <c r="Y3683">
        <v>5</v>
      </c>
      <c r="Z3683">
        <v>0</v>
      </c>
      <c r="AA3683" t="s">
        <v>49</v>
      </c>
      <c r="AB3683">
        <v>0</v>
      </c>
      <c r="AC3683" t="s">
        <v>49</v>
      </c>
      <c r="AD3683">
        <v>0</v>
      </c>
      <c r="AE3683">
        <v>10146657</v>
      </c>
      <c r="AF3683" t="s">
        <v>50</v>
      </c>
      <c r="AG3683" t="s">
        <v>1451</v>
      </c>
    </row>
    <row r="3684" spans="1:33" x14ac:dyDescent="0.35">
      <c r="A3684" s="1">
        <v>44663.54791666667</v>
      </c>
      <c r="B3684">
        <v>5855524</v>
      </c>
      <c r="C3684" t="s">
        <v>7566</v>
      </c>
      <c r="D3684" t="s">
        <v>7567</v>
      </c>
      <c r="E3684" s="2">
        <v>43696</v>
      </c>
      <c r="F3684" t="str">
        <f>"9781509529285"</f>
        <v>9781509529285</v>
      </c>
      <c r="G3684" t="str">
        <f>"9781509529261"</f>
        <v>9781509529261</v>
      </c>
      <c r="H3684" t="s">
        <v>1046</v>
      </c>
      <c r="I3684" t="s">
        <v>2990</v>
      </c>
      <c r="J3684" t="s">
        <v>7568</v>
      </c>
      <c r="K3684" t="s">
        <v>55</v>
      </c>
      <c r="N3684" t="s">
        <v>79</v>
      </c>
      <c r="P3684" t="s">
        <v>80</v>
      </c>
      <c r="Q3684" t="s">
        <v>47</v>
      </c>
      <c r="R3684" t="s">
        <v>44</v>
      </c>
      <c r="S3684">
        <v>0</v>
      </c>
      <c r="W3684" s="3">
        <v>1.1296296296296296E-2</v>
      </c>
      <c r="X3684" t="s">
        <v>7574</v>
      </c>
      <c r="Y3684">
        <v>31</v>
      </c>
      <c r="Z3684">
        <v>0</v>
      </c>
      <c r="AA3684" t="s">
        <v>49</v>
      </c>
      <c r="AB3684">
        <v>0</v>
      </c>
      <c r="AC3684" t="s">
        <v>49</v>
      </c>
      <c r="AD3684">
        <v>0</v>
      </c>
      <c r="AE3684">
        <v>-1</v>
      </c>
      <c r="AF3684" t="s">
        <v>50</v>
      </c>
      <c r="AG3684" t="s">
        <v>7523</v>
      </c>
    </row>
    <row r="3685" spans="1:33" x14ac:dyDescent="0.35">
      <c r="A3685" s="1">
        <v>44663.532638888886</v>
      </c>
      <c r="B3685">
        <v>565856</v>
      </c>
      <c r="C3685" t="s">
        <v>7575</v>
      </c>
      <c r="D3685" t="s">
        <v>76</v>
      </c>
      <c r="E3685" s="2">
        <v>40352</v>
      </c>
      <c r="F3685" t="str">
        <f>"9781439828939"</f>
        <v>9781439828939</v>
      </c>
      <c r="G3685" t="str">
        <f>"9781439828908"</f>
        <v>9781439828908</v>
      </c>
      <c r="H3685" t="s">
        <v>261</v>
      </c>
      <c r="I3685">
        <v>628.16700000000003</v>
      </c>
      <c r="J3685" t="s">
        <v>7576</v>
      </c>
      <c r="K3685" t="s">
        <v>44</v>
      </c>
      <c r="N3685" t="s">
        <v>45</v>
      </c>
      <c r="O3685" t="s">
        <v>46</v>
      </c>
      <c r="P3685" t="s">
        <v>45</v>
      </c>
      <c r="Q3685" t="s">
        <v>47</v>
      </c>
      <c r="R3685" t="s">
        <v>44</v>
      </c>
      <c r="S3685">
        <v>0</v>
      </c>
      <c r="W3685" s="3">
        <v>6.9444444444444444E-5</v>
      </c>
      <c r="X3685" t="s">
        <v>121</v>
      </c>
      <c r="Y3685">
        <v>1</v>
      </c>
      <c r="Z3685">
        <v>0</v>
      </c>
      <c r="AA3685" t="s">
        <v>49</v>
      </c>
      <c r="AB3685">
        <v>0</v>
      </c>
      <c r="AC3685" t="s">
        <v>49</v>
      </c>
      <c r="AD3685">
        <v>0</v>
      </c>
      <c r="AE3685">
        <v>10408374</v>
      </c>
      <c r="AF3685" t="s">
        <v>50</v>
      </c>
      <c r="AG3685" t="s">
        <v>7523</v>
      </c>
    </row>
    <row r="3686" spans="1:33" x14ac:dyDescent="0.35">
      <c r="A3686" s="1">
        <v>44663.163888888892</v>
      </c>
      <c r="B3686">
        <v>565856</v>
      </c>
      <c r="C3686" t="s">
        <v>7575</v>
      </c>
      <c r="D3686" t="s">
        <v>76</v>
      </c>
      <c r="E3686" s="2">
        <v>40352</v>
      </c>
      <c r="F3686" t="str">
        <f>"9781439828939"</f>
        <v>9781439828939</v>
      </c>
      <c r="G3686" t="str">
        <f>"9781439828908"</f>
        <v>9781439828908</v>
      </c>
      <c r="H3686" t="s">
        <v>261</v>
      </c>
      <c r="I3686">
        <v>628.16700000000003</v>
      </c>
      <c r="J3686" t="s">
        <v>7576</v>
      </c>
      <c r="K3686" t="s">
        <v>44</v>
      </c>
      <c r="N3686" t="s">
        <v>45</v>
      </c>
      <c r="O3686" t="s">
        <v>46</v>
      </c>
      <c r="P3686" t="s">
        <v>45</v>
      </c>
      <c r="Q3686" t="s">
        <v>47</v>
      </c>
      <c r="R3686" t="s">
        <v>44</v>
      </c>
      <c r="S3686">
        <v>0</v>
      </c>
      <c r="W3686" s="3">
        <v>1.6203703703703703E-3</v>
      </c>
      <c r="X3686" t="s">
        <v>7577</v>
      </c>
      <c r="Y3686">
        <v>14</v>
      </c>
      <c r="Z3686">
        <v>0</v>
      </c>
      <c r="AA3686" t="s">
        <v>49</v>
      </c>
      <c r="AB3686">
        <v>0</v>
      </c>
      <c r="AC3686" t="s">
        <v>49</v>
      </c>
      <c r="AD3686">
        <v>0</v>
      </c>
      <c r="AE3686">
        <v>10408374</v>
      </c>
      <c r="AF3686" t="s">
        <v>50</v>
      </c>
      <c r="AG3686" t="s">
        <v>7523</v>
      </c>
    </row>
    <row r="3687" spans="1:33" x14ac:dyDescent="0.35">
      <c r="A3687" s="1">
        <v>44663.097916666666</v>
      </c>
      <c r="B3687">
        <v>565856</v>
      </c>
      <c r="C3687" t="s">
        <v>7575</v>
      </c>
      <c r="D3687" t="s">
        <v>76</v>
      </c>
      <c r="E3687" s="2">
        <v>40352</v>
      </c>
      <c r="F3687" t="str">
        <f>"9781439828939"</f>
        <v>9781439828939</v>
      </c>
      <c r="G3687" t="str">
        <f>"9781439828908"</f>
        <v>9781439828908</v>
      </c>
      <c r="H3687" t="s">
        <v>261</v>
      </c>
      <c r="I3687">
        <v>628.16700000000003</v>
      </c>
      <c r="J3687" t="s">
        <v>7576</v>
      </c>
      <c r="K3687" t="s">
        <v>44</v>
      </c>
      <c r="N3687" t="s">
        <v>45</v>
      </c>
      <c r="O3687" t="s">
        <v>46</v>
      </c>
      <c r="P3687" t="s">
        <v>45</v>
      </c>
      <c r="Q3687" t="s">
        <v>47</v>
      </c>
      <c r="R3687" t="s">
        <v>44</v>
      </c>
      <c r="S3687">
        <v>0</v>
      </c>
      <c r="W3687" s="3">
        <v>7.175925925925927E-4</v>
      </c>
      <c r="X3687" t="s">
        <v>7578</v>
      </c>
      <c r="Y3687">
        <v>6</v>
      </c>
      <c r="Z3687">
        <v>0</v>
      </c>
      <c r="AA3687" t="s">
        <v>49</v>
      </c>
      <c r="AB3687">
        <v>0</v>
      </c>
      <c r="AC3687" t="s">
        <v>49</v>
      </c>
      <c r="AD3687">
        <v>0</v>
      </c>
      <c r="AE3687">
        <v>10408374</v>
      </c>
      <c r="AF3687" t="s">
        <v>50</v>
      </c>
      <c r="AG3687" t="s">
        <v>7523</v>
      </c>
    </row>
    <row r="3688" spans="1:33" x14ac:dyDescent="0.35">
      <c r="A3688" s="1">
        <v>44663.011111111111</v>
      </c>
      <c r="B3688">
        <v>459803</v>
      </c>
      <c r="C3688" t="s">
        <v>7579</v>
      </c>
      <c r="D3688" t="s">
        <v>711</v>
      </c>
      <c r="E3688" s="2">
        <v>38863</v>
      </c>
      <c r="F3688" t="str">
        <f>"9780821369265"</f>
        <v>9780821369265</v>
      </c>
      <c r="G3688" t="str">
        <f>"9780821369258"</f>
        <v>9780821369258</v>
      </c>
      <c r="H3688" t="s">
        <v>7580</v>
      </c>
      <c r="I3688" t="s">
        <v>7581</v>
      </c>
      <c r="J3688" t="s">
        <v>7582</v>
      </c>
      <c r="K3688" t="s">
        <v>44</v>
      </c>
      <c r="N3688" t="s">
        <v>45</v>
      </c>
      <c r="O3688" t="s">
        <v>46</v>
      </c>
      <c r="P3688" t="s">
        <v>177</v>
      </c>
      <c r="Q3688" t="s">
        <v>47</v>
      </c>
      <c r="R3688" t="s">
        <v>55</v>
      </c>
      <c r="S3688">
        <v>0</v>
      </c>
      <c r="W3688" s="3">
        <v>1.4814814814814814E-3</v>
      </c>
      <c r="X3688" t="s">
        <v>7583</v>
      </c>
      <c r="Y3688">
        <v>7</v>
      </c>
      <c r="Z3688">
        <v>0</v>
      </c>
      <c r="AA3688" t="s">
        <v>49</v>
      </c>
      <c r="AB3688">
        <v>0</v>
      </c>
      <c r="AC3688" t="s">
        <v>49</v>
      </c>
      <c r="AD3688">
        <v>0</v>
      </c>
      <c r="AE3688">
        <v>10167862</v>
      </c>
      <c r="AF3688" t="s">
        <v>50</v>
      </c>
      <c r="AG3688" t="s">
        <v>7584</v>
      </c>
    </row>
    <row r="3689" spans="1:33" x14ac:dyDescent="0.35">
      <c r="A3689" s="1">
        <v>44662.997916666667</v>
      </c>
      <c r="B3689">
        <v>459906</v>
      </c>
      <c r="C3689" t="s">
        <v>7585</v>
      </c>
      <c r="D3689" t="s">
        <v>711</v>
      </c>
      <c r="E3689" s="2">
        <v>39804</v>
      </c>
      <c r="F3689" t="str">
        <f>"9780821378250"</f>
        <v>9780821378250</v>
      </c>
      <c r="G3689" t="str">
        <f>"9780821376454"</f>
        <v>9780821376454</v>
      </c>
      <c r="H3689" t="s">
        <v>7586</v>
      </c>
      <c r="I3689">
        <v>333.91009509999998</v>
      </c>
      <c r="J3689" t="s">
        <v>7587</v>
      </c>
      <c r="K3689" t="s">
        <v>44</v>
      </c>
      <c r="N3689" t="s">
        <v>45</v>
      </c>
      <c r="O3689" t="s">
        <v>46</v>
      </c>
      <c r="P3689" t="s">
        <v>177</v>
      </c>
      <c r="Q3689" t="s">
        <v>47</v>
      </c>
      <c r="R3689" t="s">
        <v>55</v>
      </c>
      <c r="S3689">
        <v>0</v>
      </c>
      <c r="W3689" s="3">
        <v>3.1712962962962958E-3</v>
      </c>
      <c r="X3689" t="s">
        <v>7588</v>
      </c>
      <c r="Y3689">
        <v>5</v>
      </c>
      <c r="Z3689">
        <v>0</v>
      </c>
      <c r="AA3689" t="s">
        <v>49</v>
      </c>
      <c r="AB3689">
        <v>0</v>
      </c>
      <c r="AC3689" t="s">
        <v>49</v>
      </c>
      <c r="AD3689">
        <v>0</v>
      </c>
      <c r="AE3689">
        <v>10273763</v>
      </c>
      <c r="AF3689" t="s">
        <v>50</v>
      </c>
      <c r="AG3689" t="s">
        <v>7584</v>
      </c>
    </row>
    <row r="3690" spans="1:33" x14ac:dyDescent="0.35">
      <c r="A3690" s="1">
        <v>44662.956944444442</v>
      </c>
      <c r="B3690">
        <v>459906</v>
      </c>
      <c r="C3690" t="s">
        <v>7585</v>
      </c>
      <c r="D3690" t="s">
        <v>711</v>
      </c>
      <c r="E3690" s="2">
        <v>39804</v>
      </c>
      <c r="F3690" t="str">
        <f>"9780821378250"</f>
        <v>9780821378250</v>
      </c>
      <c r="G3690" t="str">
        <f>"9780821376454"</f>
        <v>9780821376454</v>
      </c>
      <c r="H3690" t="s">
        <v>7586</v>
      </c>
      <c r="I3690">
        <v>333.91009509999998</v>
      </c>
      <c r="J3690" t="s">
        <v>7587</v>
      </c>
      <c r="K3690" t="s">
        <v>44</v>
      </c>
      <c r="N3690" t="s">
        <v>45</v>
      </c>
      <c r="O3690" t="s">
        <v>46</v>
      </c>
      <c r="P3690" t="s">
        <v>177</v>
      </c>
      <c r="Q3690" t="s">
        <v>47</v>
      </c>
      <c r="R3690" t="s">
        <v>55</v>
      </c>
      <c r="S3690">
        <v>0</v>
      </c>
      <c r="W3690" s="3">
        <v>5.3819444444444453E-3</v>
      </c>
      <c r="X3690" t="s">
        <v>2531</v>
      </c>
      <c r="Y3690">
        <v>2</v>
      </c>
      <c r="Z3690">
        <v>0</v>
      </c>
      <c r="AA3690" t="s">
        <v>49</v>
      </c>
      <c r="AB3690">
        <v>0</v>
      </c>
      <c r="AC3690" t="s">
        <v>49</v>
      </c>
      <c r="AD3690">
        <v>0</v>
      </c>
      <c r="AE3690">
        <v>10273763</v>
      </c>
      <c r="AF3690" t="s">
        <v>50</v>
      </c>
      <c r="AG3690" t="s">
        <v>7584</v>
      </c>
    </row>
    <row r="3691" spans="1:33" x14ac:dyDescent="0.35">
      <c r="A3691" s="1">
        <v>44662.78402777778</v>
      </c>
      <c r="B3691">
        <v>565856</v>
      </c>
      <c r="C3691" t="s">
        <v>7575</v>
      </c>
      <c r="D3691" t="s">
        <v>76</v>
      </c>
      <c r="E3691" s="2">
        <v>40352</v>
      </c>
      <c r="F3691" t="str">
        <f>"9781439828939"</f>
        <v>9781439828939</v>
      </c>
      <c r="G3691" t="str">
        <f>"9781439828908"</f>
        <v>9781439828908</v>
      </c>
      <c r="H3691" t="s">
        <v>261</v>
      </c>
      <c r="I3691">
        <v>628.16700000000003</v>
      </c>
      <c r="J3691" t="s">
        <v>7576</v>
      </c>
      <c r="K3691" t="s">
        <v>44</v>
      </c>
      <c r="N3691" t="s">
        <v>45</v>
      </c>
      <c r="O3691" t="s">
        <v>46</v>
      </c>
      <c r="P3691" t="s">
        <v>45</v>
      </c>
      <c r="Q3691" t="s">
        <v>47</v>
      </c>
      <c r="R3691" t="s">
        <v>44</v>
      </c>
      <c r="S3691">
        <v>0</v>
      </c>
      <c r="W3691" s="3">
        <v>1.4699074074074074E-3</v>
      </c>
      <c r="X3691" t="s">
        <v>7589</v>
      </c>
      <c r="Y3691">
        <v>11</v>
      </c>
      <c r="Z3691">
        <v>0</v>
      </c>
      <c r="AA3691" t="s">
        <v>49</v>
      </c>
      <c r="AB3691">
        <v>0</v>
      </c>
      <c r="AC3691" t="s">
        <v>49</v>
      </c>
      <c r="AD3691">
        <v>0</v>
      </c>
      <c r="AE3691">
        <v>10408374</v>
      </c>
      <c r="AF3691" t="s">
        <v>50</v>
      </c>
      <c r="AG3691" t="s">
        <v>7523</v>
      </c>
    </row>
    <row r="3692" spans="1:33" x14ac:dyDescent="0.35">
      <c r="A3692" s="1">
        <v>44662.626388888886</v>
      </c>
      <c r="B3692">
        <v>6632485</v>
      </c>
      <c r="C3692" t="s">
        <v>7590</v>
      </c>
      <c r="D3692" t="s">
        <v>76</v>
      </c>
      <c r="E3692" s="2">
        <v>44377</v>
      </c>
      <c r="F3692" t="str">
        <f>"9781000383669"</f>
        <v>9781000383669</v>
      </c>
      <c r="G3692" t="str">
        <f>"9780367772437"</f>
        <v>9780367772437</v>
      </c>
      <c r="H3692" t="s">
        <v>1046</v>
      </c>
      <c r="I3692">
        <v>307.74</v>
      </c>
      <c r="J3692" t="s">
        <v>7591</v>
      </c>
      <c r="K3692" t="s">
        <v>55</v>
      </c>
      <c r="N3692" t="s">
        <v>79</v>
      </c>
      <c r="P3692" t="s">
        <v>80</v>
      </c>
      <c r="Q3692" t="s">
        <v>47</v>
      </c>
      <c r="R3692" t="s">
        <v>44</v>
      </c>
      <c r="S3692">
        <v>0</v>
      </c>
      <c r="W3692" s="3">
        <v>1.7361111111111112E-4</v>
      </c>
      <c r="X3692" t="s">
        <v>5661</v>
      </c>
      <c r="Y3692">
        <v>1</v>
      </c>
      <c r="Z3692">
        <v>0</v>
      </c>
      <c r="AA3692" t="s">
        <v>49</v>
      </c>
      <c r="AB3692">
        <v>0</v>
      </c>
      <c r="AC3692" t="s">
        <v>49</v>
      </c>
      <c r="AD3692">
        <v>0</v>
      </c>
      <c r="AE3692">
        <v>-1</v>
      </c>
      <c r="AF3692" t="s">
        <v>50</v>
      </c>
      <c r="AG3692" t="s">
        <v>7538</v>
      </c>
    </row>
    <row r="3693" spans="1:33" x14ac:dyDescent="0.35">
      <c r="A3693" s="1">
        <v>44662.515972222223</v>
      </c>
      <c r="B3693">
        <v>1650859</v>
      </c>
      <c r="C3693" t="s">
        <v>7592</v>
      </c>
      <c r="D3693" t="s">
        <v>59</v>
      </c>
      <c r="E3693" s="2">
        <v>41639</v>
      </c>
      <c r="F3693" t="str">
        <f>"9781118682791"</f>
        <v>9781118682791</v>
      </c>
      <c r="G3693" t="str">
        <f>"9781119962700"</f>
        <v>9781119962700</v>
      </c>
      <c r="H3693" t="s">
        <v>7593</v>
      </c>
      <c r="I3693">
        <v>577.27028700000005</v>
      </c>
      <c r="J3693" t="s">
        <v>7594</v>
      </c>
      <c r="K3693" t="s">
        <v>44</v>
      </c>
      <c r="N3693" t="s">
        <v>45</v>
      </c>
      <c r="O3693" t="s">
        <v>46</v>
      </c>
      <c r="P3693" t="s">
        <v>45</v>
      </c>
      <c r="Q3693" t="s">
        <v>47</v>
      </c>
      <c r="R3693" t="s">
        <v>44</v>
      </c>
      <c r="S3693">
        <v>1</v>
      </c>
      <c r="W3693" s="3">
        <v>0</v>
      </c>
      <c r="X3693" t="s">
        <v>49</v>
      </c>
      <c r="Y3693">
        <v>0</v>
      </c>
      <c r="Z3693">
        <v>0</v>
      </c>
      <c r="AA3693" t="s">
        <v>49</v>
      </c>
      <c r="AB3693">
        <v>0</v>
      </c>
      <c r="AC3693" t="s">
        <v>49</v>
      </c>
      <c r="AD3693">
        <v>0</v>
      </c>
      <c r="AE3693">
        <v>10849292</v>
      </c>
      <c r="AF3693" t="s">
        <v>63</v>
      </c>
      <c r="AG3693" t="s">
        <v>7523</v>
      </c>
    </row>
    <row r="3694" spans="1:33" x14ac:dyDescent="0.35">
      <c r="A3694" s="1">
        <v>44662.134722222225</v>
      </c>
      <c r="B3694">
        <v>1028086</v>
      </c>
      <c r="C3694" t="s">
        <v>7551</v>
      </c>
      <c r="D3694" t="s">
        <v>666</v>
      </c>
      <c r="E3694" s="2">
        <v>41275</v>
      </c>
      <c r="F3694" t="str">
        <f>"9780231531030"</f>
        <v>9780231531030</v>
      </c>
      <c r="G3694" t="str">
        <f>"9780231162432"</f>
        <v>9780231162432</v>
      </c>
      <c r="H3694" t="s">
        <v>579</v>
      </c>
      <c r="I3694">
        <v>629.45000000000005</v>
      </c>
      <c r="J3694" t="s">
        <v>7552</v>
      </c>
      <c r="K3694" t="s">
        <v>44</v>
      </c>
      <c r="N3694" t="s">
        <v>45</v>
      </c>
      <c r="O3694" t="s">
        <v>46</v>
      </c>
      <c r="P3694" t="s">
        <v>45</v>
      </c>
      <c r="Q3694" t="s">
        <v>47</v>
      </c>
      <c r="R3694" t="s">
        <v>44</v>
      </c>
      <c r="S3694">
        <v>0</v>
      </c>
      <c r="W3694" s="3">
        <v>4.6296296296296294E-5</v>
      </c>
      <c r="X3694" t="s">
        <v>121</v>
      </c>
      <c r="Y3694">
        <v>1</v>
      </c>
      <c r="Z3694">
        <v>0</v>
      </c>
      <c r="AA3694" t="s">
        <v>49</v>
      </c>
      <c r="AB3694">
        <v>0</v>
      </c>
      <c r="AC3694" t="s">
        <v>49</v>
      </c>
      <c r="AD3694">
        <v>0</v>
      </c>
      <c r="AE3694">
        <v>10663167</v>
      </c>
      <c r="AF3694" t="s">
        <v>50</v>
      </c>
      <c r="AG3694" t="s">
        <v>1476</v>
      </c>
    </row>
    <row r="3695" spans="1:33" x14ac:dyDescent="0.35">
      <c r="A3695" s="1">
        <v>44661.885416666664</v>
      </c>
      <c r="B3695">
        <v>294338</v>
      </c>
      <c r="C3695" t="s">
        <v>7595</v>
      </c>
      <c r="D3695" t="s">
        <v>65</v>
      </c>
      <c r="E3695" s="2">
        <v>38999</v>
      </c>
      <c r="F3695" t="str">
        <f>"9780080480589"</f>
        <v>9780080480589</v>
      </c>
      <c r="G3695" t="str">
        <f>"9781493300723"</f>
        <v>9781493300723</v>
      </c>
      <c r="H3695" t="s">
        <v>6985</v>
      </c>
      <c r="I3695">
        <v>621.36779999999999</v>
      </c>
      <c r="J3695" t="s">
        <v>7596</v>
      </c>
      <c r="K3695" t="s">
        <v>44</v>
      </c>
      <c r="N3695" t="s">
        <v>45</v>
      </c>
      <c r="O3695" t="s">
        <v>46</v>
      </c>
      <c r="P3695" t="s">
        <v>45</v>
      </c>
      <c r="Q3695" t="s">
        <v>47</v>
      </c>
      <c r="R3695" t="s">
        <v>44</v>
      </c>
      <c r="S3695">
        <v>0</v>
      </c>
      <c r="W3695" s="3">
        <v>9.4907407407407408E-4</v>
      </c>
      <c r="X3695" t="s">
        <v>7597</v>
      </c>
      <c r="Y3695">
        <v>16</v>
      </c>
      <c r="Z3695">
        <v>0</v>
      </c>
      <c r="AA3695" t="s">
        <v>49</v>
      </c>
      <c r="AB3695">
        <v>0</v>
      </c>
      <c r="AC3695" t="s">
        <v>49</v>
      </c>
      <c r="AD3695">
        <v>0</v>
      </c>
      <c r="AE3695">
        <v>10186058</v>
      </c>
      <c r="AF3695" t="s">
        <v>50</v>
      </c>
      <c r="AG3695" t="s">
        <v>7523</v>
      </c>
    </row>
    <row r="3696" spans="1:33" x14ac:dyDescent="0.35">
      <c r="A3696" s="1">
        <v>44661.624305555553</v>
      </c>
      <c r="B3696">
        <v>589862</v>
      </c>
      <c r="C3696" t="s">
        <v>7598</v>
      </c>
      <c r="D3696" t="s">
        <v>76</v>
      </c>
      <c r="E3696" s="2">
        <v>40232</v>
      </c>
      <c r="F3696" t="str">
        <f>"9781439826768"</f>
        <v>9781439826768</v>
      </c>
      <c r="G3696" t="str">
        <f>"9781439826751"</f>
        <v>9781439826751</v>
      </c>
      <c r="H3696" t="s">
        <v>120</v>
      </c>
      <c r="I3696">
        <v>604.70000000000005</v>
      </c>
      <c r="J3696" t="s">
        <v>7599</v>
      </c>
      <c r="K3696" t="s">
        <v>44</v>
      </c>
      <c r="N3696" t="s">
        <v>45</v>
      </c>
      <c r="O3696" t="s">
        <v>46</v>
      </c>
      <c r="P3696" t="s">
        <v>45</v>
      </c>
      <c r="Q3696" t="s">
        <v>47</v>
      </c>
      <c r="R3696" t="s">
        <v>44</v>
      </c>
      <c r="S3696">
        <v>0</v>
      </c>
      <c r="W3696" s="3">
        <v>8.1018518518518516E-5</v>
      </c>
      <c r="X3696" t="s">
        <v>4195</v>
      </c>
      <c r="Y3696">
        <v>1</v>
      </c>
      <c r="Z3696">
        <v>0</v>
      </c>
      <c r="AA3696" t="s">
        <v>49</v>
      </c>
      <c r="AB3696">
        <v>0</v>
      </c>
      <c r="AC3696" t="s">
        <v>49</v>
      </c>
      <c r="AD3696">
        <v>0</v>
      </c>
      <c r="AE3696">
        <v>10419908</v>
      </c>
      <c r="AF3696" t="s">
        <v>50</v>
      </c>
      <c r="AG3696" t="s">
        <v>7600</v>
      </c>
    </row>
    <row r="3697" spans="1:33" x14ac:dyDescent="0.35">
      <c r="A3697" s="1">
        <v>44661.525000000001</v>
      </c>
      <c r="B3697">
        <v>294338</v>
      </c>
      <c r="C3697" t="s">
        <v>7595</v>
      </c>
      <c r="D3697" t="s">
        <v>65</v>
      </c>
      <c r="E3697" s="2">
        <v>38999</v>
      </c>
      <c r="F3697" t="str">
        <f>"9780080480589"</f>
        <v>9780080480589</v>
      </c>
      <c r="G3697" t="str">
        <f>"9781493300723"</f>
        <v>9781493300723</v>
      </c>
      <c r="H3697" t="s">
        <v>6985</v>
      </c>
      <c r="I3697">
        <v>621.36779999999999</v>
      </c>
      <c r="J3697" t="s">
        <v>7596</v>
      </c>
      <c r="K3697" t="s">
        <v>44</v>
      </c>
      <c r="N3697" t="s">
        <v>45</v>
      </c>
      <c r="O3697" t="s">
        <v>46</v>
      </c>
      <c r="P3697" t="s">
        <v>45</v>
      </c>
      <c r="Q3697" t="s">
        <v>47</v>
      </c>
      <c r="R3697" t="s">
        <v>44</v>
      </c>
      <c r="S3697">
        <v>0</v>
      </c>
      <c r="W3697" s="3">
        <v>6.5972222222222213E-4</v>
      </c>
      <c r="X3697" t="s">
        <v>7601</v>
      </c>
      <c r="Y3697">
        <v>10</v>
      </c>
      <c r="Z3697">
        <v>0</v>
      </c>
      <c r="AA3697" t="s">
        <v>49</v>
      </c>
      <c r="AB3697">
        <v>0</v>
      </c>
      <c r="AC3697" t="s">
        <v>49</v>
      </c>
      <c r="AD3697">
        <v>0</v>
      </c>
      <c r="AE3697">
        <v>10186058</v>
      </c>
      <c r="AF3697" t="s">
        <v>50</v>
      </c>
      <c r="AG3697" t="s">
        <v>7523</v>
      </c>
    </row>
    <row r="3698" spans="1:33" x14ac:dyDescent="0.35">
      <c r="A3698" s="1">
        <v>44661.454861111109</v>
      </c>
      <c r="B3698">
        <v>4644607</v>
      </c>
      <c r="C3698" t="s">
        <v>7602</v>
      </c>
      <c r="D3698" t="s">
        <v>115</v>
      </c>
      <c r="E3698" s="2">
        <v>42576</v>
      </c>
      <c r="F3698" t="str">
        <f>"9783110458114"</f>
        <v>9783110458114</v>
      </c>
      <c r="G3698" t="str">
        <f>"9783110455328"</f>
        <v>9783110455328</v>
      </c>
      <c r="H3698" t="s">
        <v>1069</v>
      </c>
      <c r="I3698">
        <v>833.91200000000003</v>
      </c>
      <c r="J3698" t="s">
        <v>7603</v>
      </c>
      <c r="K3698" t="s">
        <v>44</v>
      </c>
      <c r="N3698" t="s">
        <v>45</v>
      </c>
      <c r="O3698" t="s">
        <v>46</v>
      </c>
      <c r="P3698" t="s">
        <v>45</v>
      </c>
      <c r="Q3698" t="s">
        <v>47</v>
      </c>
      <c r="R3698" t="s">
        <v>44</v>
      </c>
      <c r="S3698">
        <v>0</v>
      </c>
      <c r="W3698" s="3">
        <v>3.6226851851851854E-3</v>
      </c>
      <c r="X3698" t="s">
        <v>7604</v>
      </c>
      <c r="Y3698">
        <v>23</v>
      </c>
      <c r="Z3698">
        <v>0</v>
      </c>
      <c r="AA3698" t="s">
        <v>49</v>
      </c>
      <c r="AB3698">
        <v>0</v>
      </c>
      <c r="AC3698" t="s">
        <v>49</v>
      </c>
      <c r="AD3698">
        <v>0</v>
      </c>
      <c r="AE3698">
        <v>11247851</v>
      </c>
      <c r="AF3698" t="s">
        <v>50</v>
      </c>
      <c r="AG3698" t="s">
        <v>7605</v>
      </c>
    </row>
    <row r="3699" spans="1:33" x14ac:dyDescent="0.35">
      <c r="A3699" s="1">
        <v>44660.551388888889</v>
      </c>
      <c r="B3699">
        <v>469057</v>
      </c>
      <c r="C3699" t="s">
        <v>7606</v>
      </c>
      <c r="D3699" t="s">
        <v>59</v>
      </c>
      <c r="E3699" s="2">
        <v>40112</v>
      </c>
      <c r="F3699" t="str">
        <f>"9780470523667"</f>
        <v>9780470523667</v>
      </c>
      <c r="G3699" t="str">
        <f>"9780470222706"</f>
        <v>9780470222706</v>
      </c>
      <c r="H3699" t="s">
        <v>1338</v>
      </c>
      <c r="I3699">
        <v>660</v>
      </c>
      <c r="J3699" t="s">
        <v>7607</v>
      </c>
      <c r="K3699" t="s">
        <v>44</v>
      </c>
      <c r="N3699" t="s">
        <v>45</v>
      </c>
      <c r="O3699" t="s">
        <v>46</v>
      </c>
      <c r="P3699" t="s">
        <v>45</v>
      </c>
      <c r="Q3699" t="s">
        <v>47</v>
      </c>
      <c r="R3699" t="s">
        <v>44</v>
      </c>
      <c r="S3699">
        <v>0</v>
      </c>
      <c r="W3699" s="3">
        <v>5.2083333333333333E-4</v>
      </c>
      <c r="X3699" t="s">
        <v>7608</v>
      </c>
      <c r="Y3699">
        <v>5</v>
      </c>
      <c r="Z3699">
        <v>0</v>
      </c>
      <c r="AA3699" t="s">
        <v>49</v>
      </c>
      <c r="AB3699">
        <v>0</v>
      </c>
      <c r="AC3699" t="s">
        <v>49</v>
      </c>
      <c r="AD3699">
        <v>0</v>
      </c>
      <c r="AE3699">
        <v>10344083</v>
      </c>
      <c r="AF3699" t="s">
        <v>50</v>
      </c>
      <c r="AG3699" t="s">
        <v>7523</v>
      </c>
    </row>
    <row r="3700" spans="1:33" x14ac:dyDescent="0.35">
      <c r="A3700" s="1">
        <v>44660.470833333333</v>
      </c>
      <c r="B3700">
        <v>1517436</v>
      </c>
      <c r="C3700" t="s">
        <v>1128</v>
      </c>
      <c r="D3700" t="s">
        <v>65</v>
      </c>
      <c r="E3700" s="2">
        <v>41650</v>
      </c>
      <c r="F3700" t="str">
        <f>"9780123972569"</f>
        <v>9780123972569</v>
      </c>
      <c r="G3700" t="str">
        <f>"9780123972705"</f>
        <v>9780123972705</v>
      </c>
      <c r="H3700" t="s">
        <v>538</v>
      </c>
      <c r="I3700">
        <v>621.47</v>
      </c>
      <c r="J3700" t="s">
        <v>1129</v>
      </c>
      <c r="K3700" t="s">
        <v>44</v>
      </c>
      <c r="N3700" t="s">
        <v>45</v>
      </c>
      <c r="O3700" t="s">
        <v>46</v>
      </c>
      <c r="P3700" t="s">
        <v>45</v>
      </c>
      <c r="Q3700" t="s">
        <v>47</v>
      </c>
      <c r="R3700" t="s">
        <v>44</v>
      </c>
      <c r="S3700">
        <v>1</v>
      </c>
      <c r="W3700" s="3">
        <v>2.3148148148148147E-5</v>
      </c>
      <c r="X3700" t="s">
        <v>49</v>
      </c>
      <c r="Y3700">
        <v>0</v>
      </c>
      <c r="Z3700">
        <v>2</v>
      </c>
      <c r="AA3700" t="s">
        <v>7609</v>
      </c>
      <c r="AB3700">
        <v>124</v>
      </c>
      <c r="AC3700" t="s">
        <v>49</v>
      </c>
      <c r="AD3700">
        <v>0</v>
      </c>
      <c r="AE3700">
        <v>10791985</v>
      </c>
      <c r="AF3700" t="s">
        <v>63</v>
      </c>
      <c r="AG3700" t="s">
        <v>7523</v>
      </c>
    </row>
    <row r="3701" spans="1:33" x14ac:dyDescent="0.35">
      <c r="A3701" s="1">
        <v>44659.904861111114</v>
      </c>
      <c r="B3701">
        <v>1114691</v>
      </c>
      <c r="C3701" t="s">
        <v>7610</v>
      </c>
      <c r="D3701" t="s">
        <v>76</v>
      </c>
      <c r="E3701" s="2">
        <v>41253</v>
      </c>
      <c r="F3701" t="str">
        <f>"9781136635571"</f>
        <v>9781136635571</v>
      </c>
      <c r="G3701" t="str">
        <f>"9780415897648"</f>
        <v>9780415897648</v>
      </c>
      <c r="H3701" t="s">
        <v>90</v>
      </c>
      <c r="I3701">
        <v>371.358</v>
      </c>
      <c r="J3701" t="s">
        <v>7611</v>
      </c>
      <c r="K3701" t="s">
        <v>44</v>
      </c>
      <c r="N3701" t="s">
        <v>45</v>
      </c>
      <c r="O3701" t="s">
        <v>46</v>
      </c>
      <c r="P3701" t="s">
        <v>45</v>
      </c>
      <c r="Q3701" t="s">
        <v>47</v>
      </c>
      <c r="R3701" t="s">
        <v>44</v>
      </c>
      <c r="S3701">
        <v>0</v>
      </c>
      <c r="W3701" s="3">
        <v>0</v>
      </c>
      <c r="X3701" t="s">
        <v>49</v>
      </c>
      <c r="Y3701">
        <v>0</v>
      </c>
      <c r="Z3701">
        <v>2</v>
      </c>
      <c r="AA3701" t="s">
        <v>7612</v>
      </c>
      <c r="AB3701">
        <v>19</v>
      </c>
      <c r="AC3701" t="s">
        <v>49</v>
      </c>
      <c r="AD3701">
        <v>0</v>
      </c>
      <c r="AE3701">
        <v>10650299</v>
      </c>
      <c r="AF3701" t="s">
        <v>50</v>
      </c>
      <c r="AG3701" t="s">
        <v>7523</v>
      </c>
    </row>
    <row r="3702" spans="1:33" x14ac:dyDescent="0.35">
      <c r="A3702" s="1">
        <v>44659.896527777775</v>
      </c>
      <c r="B3702">
        <v>6727120</v>
      </c>
      <c r="C3702" t="s">
        <v>7613</v>
      </c>
      <c r="D3702" t="s">
        <v>76</v>
      </c>
      <c r="E3702" s="2">
        <v>44470</v>
      </c>
      <c r="F3702" t="str">
        <f>"9781000468847"</f>
        <v>9781000468847</v>
      </c>
      <c r="G3702" t="str">
        <f>"9780367900687"</f>
        <v>9780367900687</v>
      </c>
      <c r="H3702" t="s">
        <v>419</v>
      </c>
      <c r="I3702">
        <v>327.73057999999997</v>
      </c>
      <c r="J3702" t="s">
        <v>7614</v>
      </c>
      <c r="K3702" t="s">
        <v>55</v>
      </c>
      <c r="N3702" t="s">
        <v>79</v>
      </c>
      <c r="P3702" t="s">
        <v>80</v>
      </c>
      <c r="Q3702" t="s">
        <v>47</v>
      </c>
      <c r="R3702" t="s">
        <v>44</v>
      </c>
      <c r="S3702">
        <v>0</v>
      </c>
      <c r="W3702" s="3">
        <v>1.9293981481481485E-2</v>
      </c>
      <c r="X3702" t="s">
        <v>7615</v>
      </c>
      <c r="Y3702">
        <v>82</v>
      </c>
      <c r="Z3702">
        <v>3</v>
      </c>
      <c r="AA3702" t="s">
        <v>7616</v>
      </c>
      <c r="AB3702">
        <v>24</v>
      </c>
      <c r="AC3702" t="s">
        <v>7617</v>
      </c>
      <c r="AD3702">
        <v>1</v>
      </c>
      <c r="AE3702">
        <v>-1</v>
      </c>
      <c r="AF3702" t="s">
        <v>50</v>
      </c>
      <c r="AG3702" t="s">
        <v>7523</v>
      </c>
    </row>
    <row r="3703" spans="1:33" x14ac:dyDescent="0.35">
      <c r="A3703" s="1">
        <v>44659.445833333331</v>
      </c>
      <c r="B3703">
        <v>487319</v>
      </c>
      <c r="C3703" t="s">
        <v>7618</v>
      </c>
      <c r="D3703" t="s">
        <v>502</v>
      </c>
      <c r="E3703" s="2">
        <v>40112</v>
      </c>
      <c r="F3703" t="str">
        <f>"9780511672040"</f>
        <v>9780511672040</v>
      </c>
      <c r="G3703" t="str">
        <f>"9780521769198"</f>
        <v>9780521769198</v>
      </c>
      <c r="H3703" t="s">
        <v>658</v>
      </c>
      <c r="I3703" t="s">
        <v>7619</v>
      </c>
      <c r="J3703" t="s">
        <v>7620</v>
      </c>
      <c r="K3703" t="s">
        <v>44</v>
      </c>
      <c r="N3703" t="s">
        <v>45</v>
      </c>
      <c r="O3703" t="s">
        <v>46</v>
      </c>
      <c r="P3703" t="s">
        <v>45</v>
      </c>
      <c r="Q3703" t="s">
        <v>47</v>
      </c>
      <c r="R3703" t="s">
        <v>44</v>
      </c>
      <c r="S3703">
        <v>0</v>
      </c>
      <c r="W3703" s="3">
        <v>3.4722222222222222E-5</v>
      </c>
      <c r="X3703" t="s">
        <v>121</v>
      </c>
      <c r="Y3703">
        <v>1</v>
      </c>
      <c r="Z3703">
        <v>0</v>
      </c>
      <c r="AA3703" t="s">
        <v>49</v>
      </c>
      <c r="AB3703">
        <v>0</v>
      </c>
      <c r="AC3703" t="s">
        <v>49</v>
      </c>
      <c r="AD3703">
        <v>0</v>
      </c>
      <c r="AE3703">
        <v>10367210</v>
      </c>
      <c r="AF3703" t="s">
        <v>50</v>
      </c>
      <c r="AG3703" t="s">
        <v>7523</v>
      </c>
    </row>
    <row r="3704" spans="1:33" x14ac:dyDescent="0.35">
      <c r="A3704" s="1">
        <v>44659.033333333333</v>
      </c>
      <c r="B3704">
        <v>3021072</v>
      </c>
      <c r="C3704" t="s">
        <v>7513</v>
      </c>
      <c r="D3704" t="s">
        <v>137</v>
      </c>
      <c r="E3704" s="2">
        <v>40848</v>
      </c>
      <c r="F3704" t="str">
        <f>"9781620810453"</f>
        <v>9781620810453</v>
      </c>
      <c r="G3704" t="str">
        <f>"9781613244449"</f>
        <v>9781613244449</v>
      </c>
      <c r="H3704" t="s">
        <v>7514</v>
      </c>
      <c r="I3704" t="s">
        <v>7515</v>
      </c>
      <c r="J3704" t="s">
        <v>7516</v>
      </c>
      <c r="K3704" t="s">
        <v>44</v>
      </c>
      <c r="N3704" t="s">
        <v>45</v>
      </c>
      <c r="O3704" t="s">
        <v>46</v>
      </c>
      <c r="P3704" t="s">
        <v>177</v>
      </c>
      <c r="Q3704" t="s">
        <v>47</v>
      </c>
      <c r="R3704" t="s">
        <v>55</v>
      </c>
      <c r="S3704">
        <v>0</v>
      </c>
      <c r="W3704" s="3">
        <v>2.5462962962962961E-4</v>
      </c>
      <c r="X3704" t="s">
        <v>3746</v>
      </c>
      <c r="Y3704">
        <v>4</v>
      </c>
      <c r="Z3704">
        <v>0</v>
      </c>
      <c r="AA3704" t="s">
        <v>49</v>
      </c>
      <c r="AB3704">
        <v>0</v>
      </c>
      <c r="AC3704" t="s">
        <v>49</v>
      </c>
      <c r="AD3704">
        <v>0</v>
      </c>
      <c r="AE3704">
        <v>10681272</v>
      </c>
      <c r="AF3704" t="s">
        <v>50</v>
      </c>
      <c r="AG3704" t="s">
        <v>7605</v>
      </c>
    </row>
    <row r="3705" spans="1:33" x14ac:dyDescent="0.35">
      <c r="A3705" s="1">
        <v>44658.90347222222</v>
      </c>
      <c r="B3705">
        <v>6727120</v>
      </c>
      <c r="C3705" t="s">
        <v>7613</v>
      </c>
      <c r="D3705" t="s">
        <v>76</v>
      </c>
      <c r="E3705" s="2">
        <v>44470</v>
      </c>
      <c r="F3705" t="str">
        <f>"9781000468847"</f>
        <v>9781000468847</v>
      </c>
      <c r="G3705" t="str">
        <f>"9780367900687"</f>
        <v>9780367900687</v>
      </c>
      <c r="H3705" t="s">
        <v>419</v>
      </c>
      <c r="I3705">
        <v>327.73057999999997</v>
      </c>
      <c r="J3705" t="s">
        <v>7614</v>
      </c>
      <c r="K3705" t="s">
        <v>55</v>
      </c>
      <c r="N3705" t="s">
        <v>79</v>
      </c>
      <c r="P3705" t="s">
        <v>80</v>
      </c>
      <c r="Q3705" t="s">
        <v>47</v>
      </c>
      <c r="R3705" t="s">
        <v>44</v>
      </c>
      <c r="S3705">
        <v>0</v>
      </c>
      <c r="W3705" s="3">
        <v>9.1435185185185185E-4</v>
      </c>
      <c r="X3705" t="s">
        <v>7621</v>
      </c>
      <c r="Y3705">
        <v>13</v>
      </c>
      <c r="Z3705">
        <v>1</v>
      </c>
      <c r="AA3705" t="s">
        <v>121</v>
      </c>
      <c r="AB3705">
        <v>1</v>
      </c>
      <c r="AC3705" t="s">
        <v>49</v>
      </c>
      <c r="AD3705">
        <v>0</v>
      </c>
      <c r="AE3705">
        <v>-1</v>
      </c>
      <c r="AF3705" t="s">
        <v>50</v>
      </c>
      <c r="AG3705" t="s">
        <v>7523</v>
      </c>
    </row>
    <row r="3706" spans="1:33" x14ac:dyDescent="0.35">
      <c r="A3706" s="1">
        <v>44658.809027777781</v>
      </c>
      <c r="B3706">
        <v>5515398</v>
      </c>
      <c r="C3706" t="s">
        <v>7622</v>
      </c>
      <c r="D3706" t="s">
        <v>1634</v>
      </c>
      <c r="E3706" s="2">
        <v>43315</v>
      </c>
      <c r="F3706" t="str">
        <f>"9781510619982"</f>
        <v>9781510619982</v>
      </c>
      <c r="G3706" t="str">
        <f>""</f>
        <v/>
      </c>
      <c r="H3706" t="s">
        <v>945</v>
      </c>
      <c r="I3706">
        <v>681.4</v>
      </c>
      <c r="J3706" t="s">
        <v>7623</v>
      </c>
      <c r="K3706" t="s">
        <v>55</v>
      </c>
      <c r="N3706" t="s">
        <v>79</v>
      </c>
      <c r="P3706" t="s">
        <v>80</v>
      </c>
      <c r="Q3706" t="s">
        <v>47</v>
      </c>
      <c r="R3706" t="s">
        <v>44</v>
      </c>
      <c r="S3706">
        <v>0</v>
      </c>
      <c r="W3706" s="3">
        <v>2.1412037037037038E-3</v>
      </c>
      <c r="X3706" t="s">
        <v>7624</v>
      </c>
      <c r="Y3706">
        <v>7</v>
      </c>
      <c r="Z3706">
        <v>0</v>
      </c>
      <c r="AA3706" t="s">
        <v>49</v>
      </c>
      <c r="AB3706">
        <v>0</v>
      </c>
      <c r="AC3706" t="s">
        <v>49</v>
      </c>
      <c r="AD3706">
        <v>0</v>
      </c>
      <c r="AE3706">
        <v>-1</v>
      </c>
      <c r="AF3706" t="s">
        <v>50</v>
      </c>
      <c r="AG3706" t="s">
        <v>7523</v>
      </c>
    </row>
    <row r="3707" spans="1:33" x14ac:dyDescent="0.35">
      <c r="A3707" s="1">
        <v>44658.617361111108</v>
      </c>
      <c r="B3707">
        <v>487319</v>
      </c>
      <c r="C3707" t="s">
        <v>7618</v>
      </c>
      <c r="D3707" t="s">
        <v>502</v>
      </c>
      <c r="E3707" s="2">
        <v>40112</v>
      </c>
      <c r="F3707" t="str">
        <f>"9780511672040"</f>
        <v>9780511672040</v>
      </c>
      <c r="G3707" t="str">
        <f>"9780521769198"</f>
        <v>9780521769198</v>
      </c>
      <c r="H3707" t="s">
        <v>658</v>
      </c>
      <c r="I3707" t="s">
        <v>7619</v>
      </c>
      <c r="J3707" t="s">
        <v>7620</v>
      </c>
      <c r="K3707" t="s">
        <v>44</v>
      </c>
      <c r="N3707" t="s">
        <v>45</v>
      </c>
      <c r="O3707" t="s">
        <v>46</v>
      </c>
      <c r="P3707" t="s">
        <v>45</v>
      </c>
      <c r="Q3707" t="s">
        <v>47</v>
      </c>
      <c r="R3707" t="s">
        <v>44</v>
      </c>
      <c r="S3707">
        <v>0</v>
      </c>
      <c r="W3707" s="3">
        <v>5.7870370370370366E-5</v>
      </c>
      <c r="X3707" t="s">
        <v>121</v>
      </c>
      <c r="Y3707">
        <v>1</v>
      </c>
      <c r="Z3707">
        <v>0</v>
      </c>
      <c r="AA3707" t="s">
        <v>49</v>
      </c>
      <c r="AB3707">
        <v>0</v>
      </c>
      <c r="AC3707" t="s">
        <v>49</v>
      </c>
      <c r="AD3707">
        <v>0</v>
      </c>
      <c r="AE3707">
        <v>10367210</v>
      </c>
      <c r="AF3707" t="s">
        <v>50</v>
      </c>
      <c r="AG3707" t="s">
        <v>7523</v>
      </c>
    </row>
    <row r="3708" spans="1:33" x14ac:dyDescent="0.35">
      <c r="A3708" s="1">
        <v>44658.561805555553</v>
      </c>
      <c r="B3708">
        <v>200592</v>
      </c>
      <c r="C3708" t="s">
        <v>7625</v>
      </c>
      <c r="D3708" t="s">
        <v>76</v>
      </c>
      <c r="E3708" s="2">
        <v>38056</v>
      </c>
      <c r="F3708" t="str">
        <f>"9780203391020"</f>
        <v>9780203391020</v>
      </c>
      <c r="G3708" t="str">
        <f>"9780415328760"</f>
        <v>9780415328760</v>
      </c>
      <c r="H3708" t="s">
        <v>133</v>
      </c>
      <c r="I3708">
        <v>332.04209172399999</v>
      </c>
      <c r="J3708" t="s">
        <v>7626</v>
      </c>
      <c r="K3708" t="s">
        <v>44</v>
      </c>
      <c r="N3708" t="s">
        <v>45</v>
      </c>
      <c r="O3708" t="s">
        <v>46</v>
      </c>
      <c r="P3708" t="s">
        <v>45</v>
      </c>
      <c r="Q3708" t="s">
        <v>47</v>
      </c>
      <c r="R3708" t="s">
        <v>44</v>
      </c>
      <c r="S3708">
        <v>0</v>
      </c>
      <c r="W3708" s="3">
        <v>5.7870370370370366E-5</v>
      </c>
      <c r="X3708" t="s">
        <v>196</v>
      </c>
      <c r="Y3708">
        <v>2</v>
      </c>
      <c r="Z3708">
        <v>0</v>
      </c>
      <c r="AA3708" t="s">
        <v>49</v>
      </c>
      <c r="AB3708">
        <v>0</v>
      </c>
      <c r="AC3708" t="s">
        <v>49</v>
      </c>
      <c r="AD3708">
        <v>0</v>
      </c>
      <c r="AE3708">
        <v>10099995</v>
      </c>
      <c r="AF3708" t="s">
        <v>50</v>
      </c>
      <c r="AG3708" t="s">
        <v>7523</v>
      </c>
    </row>
    <row r="3709" spans="1:33" x14ac:dyDescent="0.35">
      <c r="A3709" s="1">
        <v>44658.557638888888</v>
      </c>
      <c r="B3709">
        <v>6423993</v>
      </c>
      <c r="C3709" t="s">
        <v>7127</v>
      </c>
      <c r="D3709" t="s">
        <v>76</v>
      </c>
      <c r="E3709" s="2">
        <v>44166</v>
      </c>
      <c r="F3709" t="str">
        <f>"9781000244854"</f>
        <v>9781000244854</v>
      </c>
      <c r="G3709" t="str">
        <f>"9780367445331"</f>
        <v>9780367445331</v>
      </c>
      <c r="H3709" t="s">
        <v>290</v>
      </c>
      <c r="I3709" t="s">
        <v>7128</v>
      </c>
      <c r="J3709" t="s">
        <v>7129</v>
      </c>
      <c r="K3709" t="s">
        <v>55</v>
      </c>
      <c r="Q3709" t="s">
        <v>47</v>
      </c>
      <c r="R3709" t="s">
        <v>44</v>
      </c>
      <c r="S3709">
        <v>0</v>
      </c>
      <c r="W3709" s="3">
        <v>1.0763888888888889E-3</v>
      </c>
      <c r="X3709" t="s">
        <v>7627</v>
      </c>
      <c r="Y3709">
        <v>8</v>
      </c>
      <c r="Z3709">
        <v>0</v>
      </c>
      <c r="AA3709" t="s">
        <v>49</v>
      </c>
      <c r="AB3709">
        <v>0</v>
      </c>
      <c r="AC3709" t="s">
        <v>49</v>
      </c>
      <c r="AD3709">
        <v>0</v>
      </c>
      <c r="AE3709">
        <v>-1</v>
      </c>
      <c r="AF3709" t="s">
        <v>63</v>
      </c>
      <c r="AG3709" t="s">
        <v>7538</v>
      </c>
    </row>
    <row r="3710" spans="1:33" x14ac:dyDescent="0.35">
      <c r="A3710" s="1">
        <v>44658.548611111109</v>
      </c>
      <c r="B3710">
        <v>1650859</v>
      </c>
      <c r="C3710" t="s">
        <v>7592</v>
      </c>
      <c r="D3710" t="s">
        <v>59</v>
      </c>
      <c r="E3710" s="2">
        <v>41639</v>
      </c>
      <c r="F3710" t="str">
        <f>"9781118682791"</f>
        <v>9781118682791</v>
      </c>
      <c r="G3710" t="str">
        <f>"9781119962700"</f>
        <v>9781119962700</v>
      </c>
      <c r="H3710" t="s">
        <v>7593</v>
      </c>
      <c r="I3710">
        <v>577.27028700000005</v>
      </c>
      <c r="J3710" t="s">
        <v>7594</v>
      </c>
      <c r="K3710" t="s">
        <v>44</v>
      </c>
      <c r="N3710" t="s">
        <v>45</v>
      </c>
      <c r="O3710" t="s">
        <v>46</v>
      </c>
      <c r="P3710" t="s">
        <v>45</v>
      </c>
      <c r="Q3710" t="s">
        <v>47</v>
      </c>
      <c r="R3710" t="s">
        <v>44</v>
      </c>
      <c r="S3710">
        <v>3</v>
      </c>
      <c r="W3710" s="3">
        <v>4.9768518518518521E-4</v>
      </c>
      <c r="X3710" t="s">
        <v>7628</v>
      </c>
      <c r="Y3710">
        <v>4</v>
      </c>
      <c r="Z3710">
        <v>1</v>
      </c>
      <c r="AA3710" t="s">
        <v>7629</v>
      </c>
      <c r="AB3710">
        <v>30</v>
      </c>
      <c r="AC3710" t="s">
        <v>49</v>
      </c>
      <c r="AD3710">
        <v>0</v>
      </c>
      <c r="AE3710">
        <v>10849292</v>
      </c>
      <c r="AF3710" t="s">
        <v>63</v>
      </c>
      <c r="AG3710" t="s">
        <v>7538</v>
      </c>
    </row>
    <row r="3711" spans="1:33" x14ac:dyDescent="0.35">
      <c r="A3711" s="1">
        <v>44658.54583333333</v>
      </c>
      <c r="B3711">
        <v>4943384</v>
      </c>
      <c r="C3711" t="s">
        <v>7630</v>
      </c>
      <c r="D3711" t="s">
        <v>115</v>
      </c>
      <c r="E3711" s="2">
        <v>43087</v>
      </c>
      <c r="F3711" t="str">
        <f>"9783110366730"</f>
        <v>9783110366730</v>
      </c>
      <c r="G3711" t="str">
        <f>"9783110371949"</f>
        <v>9783110371949</v>
      </c>
      <c r="H3711" t="s">
        <v>214</v>
      </c>
      <c r="I3711">
        <v>543</v>
      </c>
      <c r="J3711" t="s">
        <v>7631</v>
      </c>
      <c r="K3711" t="s">
        <v>44</v>
      </c>
      <c r="N3711" t="s">
        <v>45</v>
      </c>
      <c r="O3711" t="s">
        <v>46</v>
      </c>
      <c r="P3711" t="s">
        <v>45</v>
      </c>
      <c r="Q3711" t="s">
        <v>47</v>
      </c>
      <c r="R3711" t="s">
        <v>44</v>
      </c>
      <c r="S3711">
        <v>3</v>
      </c>
      <c r="W3711" s="3">
        <v>9.3750000000000007E-4</v>
      </c>
      <c r="X3711" t="s">
        <v>7632</v>
      </c>
      <c r="Y3711">
        <v>17</v>
      </c>
      <c r="Z3711">
        <v>1</v>
      </c>
      <c r="AA3711" t="s">
        <v>7633</v>
      </c>
      <c r="AB3711">
        <v>26</v>
      </c>
      <c r="AC3711" t="s">
        <v>49</v>
      </c>
      <c r="AD3711">
        <v>0</v>
      </c>
      <c r="AE3711">
        <v>11480443</v>
      </c>
      <c r="AF3711" t="s">
        <v>63</v>
      </c>
      <c r="AG3711" t="s">
        <v>7538</v>
      </c>
    </row>
    <row r="3712" spans="1:33" x14ac:dyDescent="0.35">
      <c r="A3712" s="1">
        <v>44658.515277777777</v>
      </c>
      <c r="B3712">
        <v>3019082</v>
      </c>
      <c r="C3712" t="s">
        <v>7634</v>
      </c>
      <c r="D3712" t="s">
        <v>137</v>
      </c>
      <c r="E3712" s="2">
        <v>40238</v>
      </c>
      <c r="F3712" t="str">
        <f>"9781612094304"</f>
        <v>9781612094304</v>
      </c>
      <c r="G3712" t="str">
        <f>"9781606923245"</f>
        <v>9781606923245</v>
      </c>
      <c r="H3712" t="s">
        <v>5931</v>
      </c>
      <c r="I3712">
        <v>362.29</v>
      </c>
      <c r="J3712" t="s">
        <v>7635</v>
      </c>
      <c r="K3712" t="s">
        <v>44</v>
      </c>
      <c r="N3712" t="s">
        <v>45</v>
      </c>
      <c r="O3712" t="s">
        <v>46</v>
      </c>
      <c r="P3712" t="s">
        <v>177</v>
      </c>
      <c r="Q3712" t="s">
        <v>47</v>
      </c>
      <c r="R3712" t="s">
        <v>55</v>
      </c>
      <c r="S3712">
        <v>0</v>
      </c>
      <c r="W3712" s="3">
        <v>3.9351851851851852E-4</v>
      </c>
      <c r="X3712" t="s">
        <v>7636</v>
      </c>
      <c r="Y3712">
        <v>7</v>
      </c>
      <c r="Z3712">
        <v>0</v>
      </c>
      <c r="AA3712" t="s">
        <v>49</v>
      </c>
      <c r="AB3712">
        <v>0</v>
      </c>
      <c r="AC3712" t="s">
        <v>49</v>
      </c>
      <c r="AD3712">
        <v>0</v>
      </c>
      <c r="AE3712">
        <v>10662889</v>
      </c>
      <c r="AF3712" t="s">
        <v>50</v>
      </c>
      <c r="AG3712" t="s">
        <v>7493</v>
      </c>
    </row>
    <row r="3713" spans="1:33" x14ac:dyDescent="0.35">
      <c r="A3713" s="1">
        <v>44658.495833333334</v>
      </c>
      <c r="B3713">
        <v>200592</v>
      </c>
      <c r="C3713" t="s">
        <v>7625</v>
      </c>
      <c r="D3713" t="s">
        <v>76</v>
      </c>
      <c r="E3713" s="2">
        <v>38056</v>
      </c>
      <c r="F3713" t="str">
        <f>"9780203391020"</f>
        <v>9780203391020</v>
      </c>
      <c r="G3713" t="str">
        <f>"9780415328760"</f>
        <v>9780415328760</v>
      </c>
      <c r="H3713" t="s">
        <v>133</v>
      </c>
      <c r="I3713">
        <v>332.04209172399999</v>
      </c>
      <c r="J3713" t="s">
        <v>7626</v>
      </c>
      <c r="K3713" t="s">
        <v>44</v>
      </c>
      <c r="N3713" t="s">
        <v>45</v>
      </c>
      <c r="O3713" t="s">
        <v>46</v>
      </c>
      <c r="P3713" t="s">
        <v>45</v>
      </c>
      <c r="Q3713" t="s">
        <v>47</v>
      </c>
      <c r="R3713" t="s">
        <v>44</v>
      </c>
      <c r="S3713">
        <v>0</v>
      </c>
      <c r="W3713" s="3">
        <v>2.4652777777777776E-3</v>
      </c>
      <c r="X3713" t="s">
        <v>7637</v>
      </c>
      <c r="Y3713">
        <v>10</v>
      </c>
      <c r="Z3713">
        <v>0</v>
      </c>
      <c r="AA3713" t="s">
        <v>49</v>
      </c>
      <c r="AB3713">
        <v>0</v>
      </c>
      <c r="AC3713" t="s">
        <v>49</v>
      </c>
      <c r="AD3713">
        <v>0</v>
      </c>
      <c r="AE3713">
        <v>10099995</v>
      </c>
      <c r="AF3713" t="s">
        <v>50</v>
      </c>
      <c r="AG3713" t="s">
        <v>7523</v>
      </c>
    </row>
    <row r="3714" spans="1:33" x14ac:dyDescent="0.35">
      <c r="A3714" s="1">
        <v>44658.461111111108</v>
      </c>
      <c r="B3714">
        <v>5515398</v>
      </c>
      <c r="C3714" t="s">
        <v>7622</v>
      </c>
      <c r="D3714" t="s">
        <v>1634</v>
      </c>
      <c r="E3714" s="2">
        <v>43315</v>
      </c>
      <c r="F3714" t="str">
        <f>"9781510619982"</f>
        <v>9781510619982</v>
      </c>
      <c r="G3714" t="str">
        <f>""</f>
        <v/>
      </c>
      <c r="H3714" t="s">
        <v>945</v>
      </c>
      <c r="I3714">
        <v>681.4</v>
      </c>
      <c r="J3714" t="s">
        <v>7623</v>
      </c>
      <c r="K3714" t="s">
        <v>55</v>
      </c>
      <c r="N3714" t="s">
        <v>79</v>
      </c>
      <c r="P3714" t="s">
        <v>80</v>
      </c>
      <c r="Q3714" t="s">
        <v>47</v>
      </c>
      <c r="R3714" t="s">
        <v>44</v>
      </c>
      <c r="S3714">
        <v>0</v>
      </c>
      <c r="W3714" s="3">
        <v>2.6620370370370372E-4</v>
      </c>
      <c r="X3714" t="s">
        <v>7638</v>
      </c>
      <c r="Y3714">
        <v>3</v>
      </c>
      <c r="Z3714">
        <v>0</v>
      </c>
      <c r="AA3714" t="s">
        <v>49</v>
      </c>
      <c r="AB3714">
        <v>0</v>
      </c>
      <c r="AC3714" t="s">
        <v>49</v>
      </c>
      <c r="AD3714">
        <v>0</v>
      </c>
      <c r="AE3714">
        <v>-1</v>
      </c>
      <c r="AF3714" t="s">
        <v>50</v>
      </c>
      <c r="AG3714" t="s">
        <v>7523</v>
      </c>
    </row>
    <row r="3715" spans="1:33" x14ac:dyDescent="0.35">
      <c r="A3715" s="1">
        <v>44658.390277777777</v>
      </c>
      <c r="B3715">
        <v>1843635</v>
      </c>
      <c r="C3715" t="s">
        <v>7639</v>
      </c>
      <c r="D3715" t="s">
        <v>59</v>
      </c>
      <c r="E3715" s="2">
        <v>41988</v>
      </c>
      <c r="F3715" t="str">
        <f>"9781119007685"</f>
        <v>9781119007685</v>
      </c>
      <c r="G3715" t="str">
        <f>"9781119007678"</f>
        <v>9781119007678</v>
      </c>
      <c r="H3715" t="s">
        <v>1626</v>
      </c>
      <c r="I3715">
        <v>551.46</v>
      </c>
      <c r="J3715" t="s">
        <v>7640</v>
      </c>
      <c r="K3715" t="s">
        <v>44</v>
      </c>
      <c r="N3715" t="s">
        <v>45</v>
      </c>
      <c r="O3715" t="s">
        <v>46</v>
      </c>
      <c r="P3715" t="s">
        <v>45</v>
      </c>
      <c r="Q3715" t="s">
        <v>47</v>
      </c>
      <c r="R3715" t="s">
        <v>44</v>
      </c>
      <c r="S3715">
        <v>0</v>
      </c>
      <c r="W3715" s="3">
        <v>0</v>
      </c>
      <c r="X3715" t="s">
        <v>49</v>
      </c>
      <c r="Y3715">
        <v>0</v>
      </c>
      <c r="Z3715">
        <v>1</v>
      </c>
      <c r="AA3715" t="s">
        <v>7641</v>
      </c>
      <c r="AB3715">
        <v>44</v>
      </c>
      <c r="AC3715" t="s">
        <v>49</v>
      </c>
      <c r="AD3715">
        <v>0</v>
      </c>
      <c r="AE3715">
        <v>10985091</v>
      </c>
      <c r="AF3715" t="s">
        <v>50</v>
      </c>
      <c r="AG3715" t="s">
        <v>7642</v>
      </c>
    </row>
    <row r="3716" spans="1:33" x14ac:dyDescent="0.35">
      <c r="A3716" s="1">
        <v>44657.581944444442</v>
      </c>
      <c r="B3716">
        <v>1195520</v>
      </c>
      <c r="C3716" t="s">
        <v>7643</v>
      </c>
      <c r="D3716" t="s">
        <v>1224</v>
      </c>
      <c r="E3716" s="2">
        <v>41396</v>
      </c>
      <c r="F3716" t="str">
        <f>"9783110328226"</f>
        <v>9783110328226</v>
      </c>
      <c r="G3716" t="str">
        <f>"9783110327953"</f>
        <v>9783110327953</v>
      </c>
      <c r="H3716" t="s">
        <v>7644</v>
      </c>
      <c r="I3716">
        <v>951</v>
      </c>
      <c r="J3716" t="s">
        <v>7645</v>
      </c>
      <c r="K3716" t="s">
        <v>44</v>
      </c>
      <c r="N3716" t="s">
        <v>45</v>
      </c>
      <c r="O3716" t="s">
        <v>46</v>
      </c>
      <c r="P3716" t="s">
        <v>45</v>
      </c>
      <c r="Q3716" t="s">
        <v>47</v>
      </c>
      <c r="R3716" t="s">
        <v>44</v>
      </c>
      <c r="S3716">
        <v>0</v>
      </c>
      <c r="W3716" s="3">
        <v>4.0787037037037038E-2</v>
      </c>
      <c r="X3716" t="s">
        <v>7646</v>
      </c>
      <c r="Y3716">
        <v>26</v>
      </c>
      <c r="Z3716">
        <v>0</v>
      </c>
      <c r="AA3716" t="s">
        <v>49</v>
      </c>
      <c r="AB3716">
        <v>0</v>
      </c>
      <c r="AC3716" t="s">
        <v>49</v>
      </c>
      <c r="AD3716">
        <v>0</v>
      </c>
      <c r="AE3716">
        <v>10728834</v>
      </c>
      <c r="AF3716" t="s">
        <v>50</v>
      </c>
      <c r="AG3716" t="s">
        <v>7605</v>
      </c>
    </row>
    <row r="3717" spans="1:33" x14ac:dyDescent="0.35">
      <c r="A3717" s="1">
        <v>44657.509027777778</v>
      </c>
      <c r="B3717">
        <v>6145545</v>
      </c>
      <c r="C3717" t="s">
        <v>7647</v>
      </c>
      <c r="D3717" t="s">
        <v>7648</v>
      </c>
      <c r="E3717" s="2">
        <v>44663</v>
      </c>
      <c r="F3717" t="str">
        <f>"9781788737814"</f>
        <v>9781788737814</v>
      </c>
      <c r="G3717" t="str">
        <f>"9781788737807"</f>
        <v>9781788737807</v>
      </c>
      <c r="H3717" t="s">
        <v>1046</v>
      </c>
      <c r="I3717">
        <v>307.1216</v>
      </c>
      <c r="J3717" t="s">
        <v>7649</v>
      </c>
      <c r="K3717" t="s">
        <v>55</v>
      </c>
      <c r="N3717" t="s">
        <v>79</v>
      </c>
      <c r="P3717" t="s">
        <v>97</v>
      </c>
      <c r="Q3717" t="s">
        <v>47</v>
      </c>
      <c r="R3717" t="s">
        <v>44</v>
      </c>
      <c r="S3717">
        <v>0</v>
      </c>
      <c r="W3717" s="3">
        <v>5.115740740740741E-3</v>
      </c>
      <c r="X3717" t="s">
        <v>7650</v>
      </c>
      <c r="Y3717">
        <v>22</v>
      </c>
      <c r="Z3717">
        <v>0</v>
      </c>
      <c r="AA3717" t="s">
        <v>49</v>
      </c>
      <c r="AB3717">
        <v>0</v>
      </c>
      <c r="AC3717" t="s">
        <v>49</v>
      </c>
      <c r="AD3717">
        <v>0</v>
      </c>
      <c r="AE3717">
        <v>-1</v>
      </c>
      <c r="AF3717" t="s">
        <v>50</v>
      </c>
      <c r="AG3717" t="s">
        <v>7538</v>
      </c>
    </row>
    <row r="3718" spans="1:33" x14ac:dyDescent="0.35">
      <c r="A3718" s="1">
        <v>44657.486111111109</v>
      </c>
      <c r="B3718">
        <v>6551363</v>
      </c>
      <c r="C3718" t="s">
        <v>7651</v>
      </c>
      <c r="D3718" t="s">
        <v>76</v>
      </c>
      <c r="E3718" s="2">
        <v>44309</v>
      </c>
      <c r="F3718" t="str">
        <f>"9781000409970"</f>
        <v>9781000409970</v>
      </c>
      <c r="G3718" t="str">
        <f>"9780367754099"</f>
        <v>9780367754099</v>
      </c>
      <c r="H3718" t="s">
        <v>1046</v>
      </c>
      <c r="I3718">
        <v>306</v>
      </c>
      <c r="J3718" t="s">
        <v>7652</v>
      </c>
      <c r="K3718" t="s">
        <v>55</v>
      </c>
      <c r="Q3718" t="s">
        <v>47</v>
      </c>
      <c r="R3718" t="s">
        <v>44</v>
      </c>
      <c r="S3718">
        <v>0</v>
      </c>
      <c r="W3718" s="3">
        <v>1.4814814814814814E-3</v>
      </c>
      <c r="X3718" t="s">
        <v>2531</v>
      </c>
      <c r="Y3718">
        <v>2</v>
      </c>
      <c r="Z3718">
        <v>0</v>
      </c>
      <c r="AA3718" t="s">
        <v>49</v>
      </c>
      <c r="AB3718">
        <v>0</v>
      </c>
      <c r="AC3718" t="s">
        <v>49</v>
      </c>
      <c r="AD3718">
        <v>0</v>
      </c>
      <c r="AE3718">
        <v>-1</v>
      </c>
      <c r="AF3718" t="s">
        <v>50</v>
      </c>
      <c r="AG3718" t="s">
        <v>7538</v>
      </c>
    </row>
    <row r="3719" spans="1:33" x14ac:dyDescent="0.35">
      <c r="A3719" s="1">
        <v>44657.158333333333</v>
      </c>
      <c r="B3719">
        <v>2050572</v>
      </c>
      <c r="C3719" t="s">
        <v>7653</v>
      </c>
      <c r="D3719" t="s">
        <v>2116</v>
      </c>
      <c r="E3719" s="2">
        <v>42135</v>
      </c>
      <c r="F3719" t="str">
        <f>"9781606505830"</f>
        <v>9781606505830</v>
      </c>
      <c r="G3719" t="str">
        <f>"9781606505823"</f>
        <v>9781606505823</v>
      </c>
      <c r="H3719" t="s">
        <v>639</v>
      </c>
      <c r="K3719" t="s">
        <v>44</v>
      </c>
      <c r="N3719" t="s">
        <v>45</v>
      </c>
      <c r="O3719" t="s">
        <v>46</v>
      </c>
      <c r="P3719" t="s">
        <v>45</v>
      </c>
      <c r="Q3719" t="s">
        <v>47</v>
      </c>
      <c r="R3719" t="s">
        <v>44</v>
      </c>
      <c r="S3719">
        <v>0</v>
      </c>
      <c r="W3719" s="3">
        <v>9.2592592592592588E-5</v>
      </c>
      <c r="X3719" t="s">
        <v>121</v>
      </c>
      <c r="Y3719">
        <v>1</v>
      </c>
      <c r="Z3719">
        <v>0</v>
      </c>
      <c r="AA3719" t="s">
        <v>49</v>
      </c>
      <c r="AB3719">
        <v>0</v>
      </c>
      <c r="AC3719" t="s">
        <v>49</v>
      </c>
      <c r="AD3719">
        <v>0</v>
      </c>
      <c r="AE3719">
        <v>11056883</v>
      </c>
      <c r="AF3719" t="s">
        <v>50</v>
      </c>
      <c r="AG3719" t="s">
        <v>7654</v>
      </c>
    </row>
    <row r="3720" spans="1:33" x14ac:dyDescent="0.35">
      <c r="A3720" s="1">
        <v>44656.979861111111</v>
      </c>
      <c r="B3720">
        <v>5754829</v>
      </c>
      <c r="C3720" t="s">
        <v>7655</v>
      </c>
      <c r="D3720" t="s">
        <v>7656</v>
      </c>
      <c r="E3720" s="2">
        <v>43565</v>
      </c>
      <c r="F3720" t="str">
        <f>"9789401804707"</f>
        <v>9789401804707</v>
      </c>
      <c r="G3720" t="str">
        <f>"9789401801102"</f>
        <v>9789401801102</v>
      </c>
      <c r="H3720" t="s">
        <v>90</v>
      </c>
      <c r="K3720" t="s">
        <v>55</v>
      </c>
      <c r="Q3720" t="s">
        <v>47</v>
      </c>
      <c r="R3720" t="s">
        <v>44</v>
      </c>
      <c r="S3720">
        <v>0</v>
      </c>
      <c r="W3720" s="3">
        <v>4.1666666666666669E-4</v>
      </c>
      <c r="X3720" t="s">
        <v>7657</v>
      </c>
      <c r="Y3720">
        <v>8</v>
      </c>
      <c r="Z3720">
        <v>0</v>
      </c>
      <c r="AA3720" t="s">
        <v>49</v>
      </c>
      <c r="AB3720">
        <v>0</v>
      </c>
      <c r="AC3720" t="s">
        <v>49</v>
      </c>
      <c r="AD3720">
        <v>0</v>
      </c>
      <c r="AE3720">
        <v>-1</v>
      </c>
      <c r="AF3720" t="s">
        <v>50</v>
      </c>
      <c r="AG3720" t="s">
        <v>7523</v>
      </c>
    </row>
    <row r="3721" spans="1:33" x14ac:dyDescent="0.35">
      <c r="A3721" s="1">
        <v>44656.854861111111</v>
      </c>
      <c r="B3721">
        <v>3339142</v>
      </c>
      <c r="C3721" t="s">
        <v>7658</v>
      </c>
      <c r="D3721" t="s">
        <v>303</v>
      </c>
      <c r="E3721" s="2">
        <v>40025</v>
      </c>
      <c r="F3721" t="str">
        <f>"9780262270830"</f>
        <v>9780262270830</v>
      </c>
      <c r="G3721" t="str">
        <f>"9780262033848"</f>
        <v>9780262033848</v>
      </c>
      <c r="H3721" t="s">
        <v>138</v>
      </c>
      <c r="I3721">
        <v>5.0999999999999996</v>
      </c>
      <c r="J3721" t="s">
        <v>7659</v>
      </c>
      <c r="K3721" t="s">
        <v>44</v>
      </c>
      <c r="N3721" t="s">
        <v>45</v>
      </c>
      <c r="O3721" t="s">
        <v>46</v>
      </c>
      <c r="P3721" t="s">
        <v>45</v>
      </c>
      <c r="Q3721" t="s">
        <v>47</v>
      </c>
      <c r="R3721" t="s">
        <v>44</v>
      </c>
      <c r="S3721">
        <v>2</v>
      </c>
      <c r="W3721" s="3">
        <v>1.2152777777777778E-3</v>
      </c>
      <c r="X3721" t="s">
        <v>7660</v>
      </c>
      <c r="Y3721">
        <v>19</v>
      </c>
      <c r="Z3721">
        <v>0</v>
      </c>
      <c r="AA3721" t="s">
        <v>49</v>
      </c>
      <c r="AB3721">
        <v>0</v>
      </c>
      <c r="AC3721" t="s">
        <v>49</v>
      </c>
      <c r="AD3721">
        <v>0</v>
      </c>
      <c r="AE3721">
        <v>10397652</v>
      </c>
      <c r="AF3721" t="s">
        <v>63</v>
      </c>
      <c r="AG3721" t="s">
        <v>7605</v>
      </c>
    </row>
    <row r="3722" spans="1:33" x14ac:dyDescent="0.35">
      <c r="A3722" s="1">
        <v>44656.684027777781</v>
      </c>
      <c r="B3722">
        <v>1195520</v>
      </c>
      <c r="C3722" t="s">
        <v>7643</v>
      </c>
      <c r="D3722" t="s">
        <v>1224</v>
      </c>
      <c r="E3722" s="2">
        <v>41396</v>
      </c>
      <c r="F3722" t="str">
        <f>"9783110328226"</f>
        <v>9783110328226</v>
      </c>
      <c r="G3722" t="str">
        <f>"9783110327953"</f>
        <v>9783110327953</v>
      </c>
      <c r="H3722" t="s">
        <v>7644</v>
      </c>
      <c r="I3722">
        <v>951</v>
      </c>
      <c r="J3722" t="s">
        <v>7645</v>
      </c>
      <c r="K3722" t="s">
        <v>44</v>
      </c>
      <c r="N3722" t="s">
        <v>45</v>
      </c>
      <c r="O3722" t="s">
        <v>46</v>
      </c>
      <c r="P3722" t="s">
        <v>45</v>
      </c>
      <c r="Q3722" t="s">
        <v>47</v>
      </c>
      <c r="R3722" t="s">
        <v>44</v>
      </c>
      <c r="S3722">
        <v>0</v>
      </c>
      <c r="W3722" s="3">
        <v>2.3831018518518519E-2</v>
      </c>
      <c r="X3722" t="s">
        <v>7661</v>
      </c>
      <c r="Y3722">
        <v>28</v>
      </c>
      <c r="Z3722">
        <v>0</v>
      </c>
      <c r="AA3722" t="s">
        <v>49</v>
      </c>
      <c r="AB3722">
        <v>0</v>
      </c>
      <c r="AC3722" t="s">
        <v>7662</v>
      </c>
      <c r="AD3722">
        <v>1</v>
      </c>
      <c r="AE3722">
        <v>10728834</v>
      </c>
      <c r="AF3722" t="s">
        <v>63</v>
      </c>
      <c r="AG3722" t="s">
        <v>7605</v>
      </c>
    </row>
    <row r="3723" spans="1:33" x14ac:dyDescent="0.35">
      <c r="A3723" s="1">
        <v>44656.621527777781</v>
      </c>
      <c r="B3723">
        <v>1028086</v>
      </c>
      <c r="C3723" t="s">
        <v>7551</v>
      </c>
      <c r="D3723" t="s">
        <v>666</v>
      </c>
      <c r="E3723" s="2">
        <v>41275</v>
      </c>
      <c r="F3723" t="str">
        <f>"9780231531030"</f>
        <v>9780231531030</v>
      </c>
      <c r="G3723" t="str">
        <f>"9780231162432"</f>
        <v>9780231162432</v>
      </c>
      <c r="H3723" t="s">
        <v>579</v>
      </c>
      <c r="I3723">
        <v>629.45000000000005</v>
      </c>
      <c r="J3723" t="s">
        <v>7552</v>
      </c>
      <c r="K3723" t="s">
        <v>44</v>
      </c>
      <c r="N3723" t="s">
        <v>45</v>
      </c>
      <c r="O3723" t="s">
        <v>46</v>
      </c>
      <c r="P3723" t="s">
        <v>45</v>
      </c>
      <c r="Q3723" t="s">
        <v>47</v>
      </c>
      <c r="R3723" t="s">
        <v>44</v>
      </c>
      <c r="S3723">
        <v>0</v>
      </c>
      <c r="W3723" s="3">
        <v>1.0532407407407407E-3</v>
      </c>
      <c r="X3723" t="s">
        <v>7663</v>
      </c>
      <c r="Y3723">
        <v>5</v>
      </c>
      <c r="Z3723">
        <v>0</v>
      </c>
      <c r="AA3723" t="s">
        <v>49</v>
      </c>
      <c r="AB3723">
        <v>0</v>
      </c>
      <c r="AC3723" t="s">
        <v>49</v>
      </c>
      <c r="AD3723">
        <v>0</v>
      </c>
      <c r="AE3723">
        <v>10663167</v>
      </c>
      <c r="AF3723" t="s">
        <v>50</v>
      </c>
      <c r="AG3723" t="s">
        <v>1476</v>
      </c>
    </row>
    <row r="3724" spans="1:33" x14ac:dyDescent="0.35">
      <c r="A3724" s="1">
        <v>44656.57708333333</v>
      </c>
      <c r="B3724">
        <v>6551363</v>
      </c>
      <c r="C3724" t="s">
        <v>7651</v>
      </c>
      <c r="D3724" t="s">
        <v>76</v>
      </c>
      <c r="E3724" s="2">
        <v>44309</v>
      </c>
      <c r="F3724" t="str">
        <f>"9781000409970"</f>
        <v>9781000409970</v>
      </c>
      <c r="G3724" t="str">
        <f>"9780367754099"</f>
        <v>9780367754099</v>
      </c>
      <c r="H3724" t="s">
        <v>1046</v>
      </c>
      <c r="I3724">
        <v>306</v>
      </c>
      <c r="J3724" t="s">
        <v>7652</v>
      </c>
      <c r="K3724" t="s">
        <v>55</v>
      </c>
      <c r="Q3724" t="s">
        <v>47</v>
      </c>
      <c r="R3724" t="s">
        <v>44</v>
      </c>
      <c r="S3724">
        <v>0</v>
      </c>
      <c r="W3724" s="3">
        <v>1.4004629629629629E-3</v>
      </c>
      <c r="X3724" t="s">
        <v>7664</v>
      </c>
      <c r="Y3724">
        <v>17</v>
      </c>
      <c r="Z3724">
        <v>0</v>
      </c>
      <c r="AA3724" t="s">
        <v>49</v>
      </c>
      <c r="AB3724">
        <v>0</v>
      </c>
      <c r="AC3724" t="s">
        <v>49</v>
      </c>
      <c r="AD3724">
        <v>0</v>
      </c>
      <c r="AE3724">
        <v>-1</v>
      </c>
      <c r="AF3724" t="s">
        <v>50</v>
      </c>
      <c r="AG3724" t="s">
        <v>7665</v>
      </c>
    </row>
    <row r="3725" spans="1:33" x14ac:dyDescent="0.35">
      <c r="A3725" s="1">
        <v>44656.518750000003</v>
      </c>
      <c r="B3725">
        <v>6145545</v>
      </c>
      <c r="C3725" t="s">
        <v>7647</v>
      </c>
      <c r="D3725" t="s">
        <v>7648</v>
      </c>
      <c r="E3725" s="2">
        <v>44663</v>
      </c>
      <c r="F3725" t="str">
        <f>"9781788737814"</f>
        <v>9781788737814</v>
      </c>
      <c r="G3725" t="str">
        <f>"9781788737807"</f>
        <v>9781788737807</v>
      </c>
      <c r="H3725" t="s">
        <v>1046</v>
      </c>
      <c r="I3725">
        <v>307.1216</v>
      </c>
      <c r="J3725" t="s">
        <v>7649</v>
      </c>
      <c r="K3725" t="s">
        <v>55</v>
      </c>
      <c r="N3725" t="s">
        <v>79</v>
      </c>
      <c r="P3725" t="s">
        <v>97</v>
      </c>
      <c r="Q3725" t="s">
        <v>47</v>
      </c>
      <c r="R3725" t="s">
        <v>44</v>
      </c>
      <c r="S3725">
        <v>0</v>
      </c>
      <c r="W3725" s="3">
        <v>8.2870370370370372E-3</v>
      </c>
      <c r="X3725" t="s">
        <v>7666</v>
      </c>
      <c r="Y3725">
        <v>4</v>
      </c>
      <c r="Z3725">
        <v>0</v>
      </c>
      <c r="AA3725" t="s">
        <v>49</v>
      </c>
      <c r="AB3725">
        <v>0</v>
      </c>
      <c r="AC3725" t="s">
        <v>49</v>
      </c>
      <c r="AD3725">
        <v>0</v>
      </c>
      <c r="AE3725">
        <v>-1</v>
      </c>
      <c r="AF3725" t="s">
        <v>50</v>
      </c>
      <c r="AG3725" t="s">
        <v>7667</v>
      </c>
    </row>
    <row r="3726" spans="1:33" x14ac:dyDescent="0.35">
      <c r="A3726" s="1">
        <v>44656.492361111108</v>
      </c>
      <c r="B3726">
        <v>876800</v>
      </c>
      <c r="C3726" t="s">
        <v>7668</v>
      </c>
      <c r="D3726" t="s">
        <v>819</v>
      </c>
      <c r="E3726" s="2">
        <v>40996</v>
      </c>
      <c r="F3726" t="str">
        <f>"9780814431610"</f>
        <v>9780814431610</v>
      </c>
      <c r="G3726" t="str">
        <f>"9780814431948"</f>
        <v>9780814431948</v>
      </c>
      <c r="H3726" t="s">
        <v>60</v>
      </c>
      <c r="I3726" t="s">
        <v>1652</v>
      </c>
      <c r="K3726" t="s">
        <v>44</v>
      </c>
      <c r="N3726" t="s">
        <v>45</v>
      </c>
      <c r="O3726" t="s">
        <v>46</v>
      </c>
      <c r="P3726" t="s">
        <v>45</v>
      </c>
      <c r="Q3726" t="s">
        <v>47</v>
      </c>
      <c r="R3726" t="s">
        <v>44</v>
      </c>
      <c r="S3726">
        <v>0</v>
      </c>
      <c r="W3726" s="3">
        <v>1.6087962962962963E-3</v>
      </c>
      <c r="X3726" t="s">
        <v>7669</v>
      </c>
      <c r="Y3726">
        <v>9</v>
      </c>
      <c r="Z3726">
        <v>0</v>
      </c>
      <c r="AA3726" t="s">
        <v>49</v>
      </c>
      <c r="AB3726">
        <v>0</v>
      </c>
      <c r="AC3726" t="s">
        <v>49</v>
      </c>
      <c r="AD3726">
        <v>0</v>
      </c>
      <c r="AE3726">
        <v>10537998</v>
      </c>
      <c r="AF3726" t="s">
        <v>50</v>
      </c>
      <c r="AG3726" t="s">
        <v>7605</v>
      </c>
    </row>
    <row r="3727" spans="1:33" x14ac:dyDescent="0.35">
      <c r="A3727" s="1">
        <v>44656.40902777778</v>
      </c>
      <c r="B3727">
        <v>731193</v>
      </c>
      <c r="C3727" t="s">
        <v>7670</v>
      </c>
      <c r="D3727" t="s">
        <v>71</v>
      </c>
      <c r="E3727" s="2">
        <v>40333</v>
      </c>
      <c r="F3727" t="str">
        <f>"9789814291231"</f>
        <v>9789814291231</v>
      </c>
      <c r="G3727" t="str">
        <f>"9789814291224"</f>
        <v>9789814291224</v>
      </c>
      <c r="H3727" t="s">
        <v>72</v>
      </c>
      <c r="I3727">
        <v>539.72130000000004</v>
      </c>
      <c r="J3727" t="s">
        <v>7671</v>
      </c>
      <c r="K3727" t="s">
        <v>44</v>
      </c>
      <c r="N3727" t="s">
        <v>45</v>
      </c>
      <c r="O3727" t="s">
        <v>46</v>
      </c>
      <c r="P3727" t="s">
        <v>45</v>
      </c>
      <c r="Q3727" t="s">
        <v>47</v>
      </c>
      <c r="R3727" t="s">
        <v>44</v>
      </c>
      <c r="S3727">
        <v>1</v>
      </c>
      <c r="W3727" s="3">
        <v>0</v>
      </c>
      <c r="X3727" t="s">
        <v>49</v>
      </c>
      <c r="Y3727">
        <v>0</v>
      </c>
      <c r="Z3727">
        <v>0</v>
      </c>
      <c r="AA3727" t="s">
        <v>49</v>
      </c>
      <c r="AB3727">
        <v>0</v>
      </c>
      <c r="AC3727" t="s">
        <v>49</v>
      </c>
      <c r="AD3727">
        <v>0</v>
      </c>
      <c r="AE3727">
        <v>10479687</v>
      </c>
      <c r="AF3727" t="s">
        <v>63</v>
      </c>
      <c r="AG3727" t="s">
        <v>7605</v>
      </c>
    </row>
    <row r="3728" spans="1:33" x14ac:dyDescent="0.35">
      <c r="A3728" s="1">
        <v>44655.915972222225</v>
      </c>
      <c r="B3728">
        <v>4877020</v>
      </c>
      <c r="C3728" t="s">
        <v>7334</v>
      </c>
      <c r="D3728" t="s">
        <v>199</v>
      </c>
      <c r="E3728" s="2">
        <v>42856</v>
      </c>
      <c r="F3728" t="str">
        <f>"9781423234951"</f>
        <v>9781423234951</v>
      </c>
      <c r="G3728" t="str">
        <f>"9781423234746"</f>
        <v>9781423234746</v>
      </c>
      <c r="H3728" t="s">
        <v>43</v>
      </c>
      <c r="I3728">
        <v>510.76</v>
      </c>
      <c r="J3728" t="s">
        <v>7335</v>
      </c>
      <c r="K3728" t="s">
        <v>44</v>
      </c>
      <c r="N3728" t="s">
        <v>45</v>
      </c>
      <c r="O3728" t="s">
        <v>46</v>
      </c>
      <c r="P3728" t="s">
        <v>45</v>
      </c>
      <c r="Q3728" t="s">
        <v>47</v>
      </c>
      <c r="R3728" t="s">
        <v>44</v>
      </c>
      <c r="S3728">
        <v>0</v>
      </c>
      <c r="W3728" s="3">
        <v>1.8287037037037036E-2</v>
      </c>
      <c r="X3728" t="s">
        <v>7672</v>
      </c>
      <c r="Y3728">
        <v>21</v>
      </c>
      <c r="Z3728">
        <v>1</v>
      </c>
      <c r="AA3728" t="s">
        <v>121</v>
      </c>
      <c r="AB3728">
        <v>1</v>
      </c>
      <c r="AC3728" t="s">
        <v>49</v>
      </c>
      <c r="AD3728">
        <v>0</v>
      </c>
      <c r="AE3728">
        <v>11397702</v>
      </c>
      <c r="AF3728" t="s">
        <v>50</v>
      </c>
      <c r="AG3728" t="s">
        <v>7673</v>
      </c>
    </row>
    <row r="3729" spans="1:33" x14ac:dyDescent="0.35">
      <c r="A3729" s="1">
        <v>44655.834722222222</v>
      </c>
      <c r="B3729">
        <v>4453518</v>
      </c>
      <c r="C3729" t="s">
        <v>7674</v>
      </c>
      <c r="D3729" t="s">
        <v>59</v>
      </c>
      <c r="E3729" s="2">
        <v>42492</v>
      </c>
      <c r="F3729" t="str">
        <f>"9781119085942"</f>
        <v>9781119085942</v>
      </c>
      <c r="G3729" t="str">
        <f>"9781119085966"</f>
        <v>9781119085966</v>
      </c>
      <c r="H3729" t="s">
        <v>712</v>
      </c>
      <c r="I3729">
        <v>343.53607862000001</v>
      </c>
      <c r="J3729" t="s">
        <v>7675</v>
      </c>
      <c r="K3729" t="s">
        <v>44</v>
      </c>
      <c r="N3729" t="s">
        <v>45</v>
      </c>
      <c r="O3729" t="s">
        <v>46</v>
      </c>
      <c r="P3729" t="s">
        <v>45</v>
      </c>
      <c r="Q3729" t="s">
        <v>47</v>
      </c>
      <c r="R3729" t="s">
        <v>44</v>
      </c>
      <c r="S3729">
        <v>0</v>
      </c>
      <c r="W3729" s="3">
        <v>1.1574074074074073E-4</v>
      </c>
      <c r="X3729" t="s">
        <v>121</v>
      </c>
      <c r="Y3729">
        <v>1</v>
      </c>
      <c r="Z3729">
        <v>0</v>
      </c>
      <c r="AA3729" t="s">
        <v>49</v>
      </c>
      <c r="AB3729">
        <v>0</v>
      </c>
      <c r="AC3729" t="s">
        <v>49</v>
      </c>
      <c r="AD3729">
        <v>0</v>
      </c>
      <c r="AE3729">
        <v>11175927</v>
      </c>
      <c r="AF3729" t="s">
        <v>50</v>
      </c>
      <c r="AG3729" t="s">
        <v>7538</v>
      </c>
    </row>
    <row r="3730" spans="1:33" x14ac:dyDescent="0.35">
      <c r="A3730" s="1">
        <v>44655.743055555555</v>
      </c>
      <c r="B3730">
        <v>1899984</v>
      </c>
      <c r="C3730" t="s">
        <v>1907</v>
      </c>
      <c r="D3730" t="s">
        <v>76</v>
      </c>
      <c r="E3730" s="2">
        <v>39722</v>
      </c>
      <c r="F3730" t="str">
        <f>"9781317461241"</f>
        <v>9781317461241</v>
      </c>
      <c r="G3730" t="str">
        <f>"9780765622389"</f>
        <v>9780765622389</v>
      </c>
      <c r="H3730" t="s">
        <v>162</v>
      </c>
      <c r="I3730" t="s">
        <v>1908</v>
      </c>
      <c r="J3730" t="s">
        <v>1909</v>
      </c>
      <c r="K3730" t="s">
        <v>44</v>
      </c>
      <c r="N3730" t="s">
        <v>45</v>
      </c>
      <c r="O3730" t="s">
        <v>46</v>
      </c>
      <c r="P3730" t="s">
        <v>45</v>
      </c>
      <c r="Q3730" t="s">
        <v>47</v>
      </c>
      <c r="R3730" t="s">
        <v>44</v>
      </c>
      <c r="S3730">
        <v>0</v>
      </c>
      <c r="W3730" s="3">
        <v>2.3530092592592592E-2</v>
      </c>
      <c r="X3730" t="s">
        <v>7676</v>
      </c>
      <c r="Y3730">
        <v>14</v>
      </c>
      <c r="Z3730">
        <v>0</v>
      </c>
      <c r="AA3730" t="s">
        <v>49</v>
      </c>
      <c r="AB3730">
        <v>0</v>
      </c>
      <c r="AC3730" t="s">
        <v>49</v>
      </c>
      <c r="AD3730">
        <v>0</v>
      </c>
      <c r="AE3730">
        <v>10292183</v>
      </c>
      <c r="AF3730" t="s">
        <v>50</v>
      </c>
      <c r="AG3730" t="s">
        <v>7605</v>
      </c>
    </row>
    <row r="3731" spans="1:33" x14ac:dyDescent="0.35">
      <c r="A3731" s="1">
        <v>44655.722916666666</v>
      </c>
      <c r="B3731">
        <v>310690</v>
      </c>
      <c r="C3731" t="s">
        <v>3233</v>
      </c>
      <c r="D3731" t="s">
        <v>2754</v>
      </c>
      <c r="E3731" s="2">
        <v>38412</v>
      </c>
      <c r="F3731" t="str">
        <f>"9780816696321"</f>
        <v>9780816696321</v>
      </c>
      <c r="G3731" t="str">
        <f>"9780816644100"</f>
        <v>9780816644100</v>
      </c>
      <c r="H3731" t="s">
        <v>3234</v>
      </c>
      <c r="I3731">
        <v>322.10956099999999</v>
      </c>
      <c r="J3731" t="s">
        <v>3235</v>
      </c>
      <c r="K3731" t="s">
        <v>44</v>
      </c>
      <c r="N3731" t="s">
        <v>45</v>
      </c>
      <c r="O3731" t="s">
        <v>46</v>
      </c>
      <c r="P3731" t="s">
        <v>45</v>
      </c>
      <c r="Q3731" t="s">
        <v>47</v>
      </c>
      <c r="R3731" t="s">
        <v>44</v>
      </c>
      <c r="S3731">
        <v>0</v>
      </c>
      <c r="W3731" s="3">
        <v>4.2129629629629626E-3</v>
      </c>
      <c r="X3731" t="s">
        <v>7677</v>
      </c>
      <c r="Y3731">
        <v>22</v>
      </c>
      <c r="Z3731">
        <v>0</v>
      </c>
      <c r="AA3731" t="s">
        <v>49</v>
      </c>
      <c r="AB3731">
        <v>0</v>
      </c>
      <c r="AC3731" t="s">
        <v>49</v>
      </c>
      <c r="AD3731">
        <v>0</v>
      </c>
      <c r="AE3731">
        <v>10151200</v>
      </c>
      <c r="AF3731" t="s">
        <v>50</v>
      </c>
      <c r="AG3731" t="s">
        <v>7605</v>
      </c>
    </row>
    <row r="3732" spans="1:33" x14ac:dyDescent="0.35">
      <c r="A3732" s="1">
        <v>44655.45</v>
      </c>
      <c r="B3732">
        <v>981986</v>
      </c>
      <c r="C3732" t="s">
        <v>7678</v>
      </c>
      <c r="D3732" t="s">
        <v>76</v>
      </c>
      <c r="E3732" s="2">
        <v>41125</v>
      </c>
      <c r="F3732" t="str">
        <f>"9781136293689"</f>
        <v>9781136293689</v>
      </c>
      <c r="G3732" t="str">
        <f>"9780415606332"</f>
        <v>9780415606332</v>
      </c>
      <c r="H3732" t="s">
        <v>1046</v>
      </c>
      <c r="I3732">
        <v>364.15109045000003</v>
      </c>
      <c r="J3732" t="s">
        <v>7679</v>
      </c>
      <c r="K3732" t="s">
        <v>44</v>
      </c>
      <c r="N3732" t="s">
        <v>45</v>
      </c>
      <c r="O3732" t="s">
        <v>46</v>
      </c>
      <c r="P3732" t="s">
        <v>45</v>
      </c>
      <c r="Q3732" t="s">
        <v>47</v>
      </c>
      <c r="R3732" t="s">
        <v>44</v>
      </c>
      <c r="S3732">
        <v>0</v>
      </c>
      <c r="W3732" s="3">
        <v>2.673611111111111E-3</v>
      </c>
      <c r="X3732" t="s">
        <v>7680</v>
      </c>
      <c r="Y3732">
        <v>9</v>
      </c>
      <c r="Z3732">
        <v>0</v>
      </c>
      <c r="AA3732" t="s">
        <v>7681</v>
      </c>
      <c r="AB3732">
        <v>11</v>
      </c>
      <c r="AC3732" t="s">
        <v>49</v>
      </c>
      <c r="AD3732">
        <v>0</v>
      </c>
      <c r="AE3732">
        <v>10578067</v>
      </c>
      <c r="AF3732" t="s">
        <v>63</v>
      </c>
      <c r="AG3732" t="s">
        <v>7682</v>
      </c>
    </row>
    <row r="3733" spans="1:33" x14ac:dyDescent="0.35">
      <c r="A3733" s="1">
        <v>44655.441666666666</v>
      </c>
      <c r="B3733">
        <v>3386676</v>
      </c>
      <c r="C3733" t="s">
        <v>7683</v>
      </c>
      <c r="D3733" t="s">
        <v>2066</v>
      </c>
      <c r="E3733" s="2">
        <v>41127</v>
      </c>
      <c r="F3733" t="str">
        <f>"9781849647403"</f>
        <v>9781849647403</v>
      </c>
      <c r="G3733" t="str">
        <f>"9780745332000"</f>
        <v>9780745332000</v>
      </c>
      <c r="H3733" t="s">
        <v>353</v>
      </c>
      <c r="I3733">
        <v>306.09598</v>
      </c>
      <c r="J3733" t="s">
        <v>7684</v>
      </c>
      <c r="K3733" t="s">
        <v>44</v>
      </c>
      <c r="N3733" t="s">
        <v>45</v>
      </c>
      <c r="O3733" t="s">
        <v>46</v>
      </c>
      <c r="P3733" t="s">
        <v>45</v>
      </c>
      <c r="Q3733" t="s">
        <v>47</v>
      </c>
      <c r="R3733" t="s">
        <v>44</v>
      </c>
      <c r="S3733">
        <v>0</v>
      </c>
      <c r="W3733" s="3">
        <v>5.4629629629629637E-3</v>
      </c>
      <c r="X3733" t="s">
        <v>7685</v>
      </c>
      <c r="Y3733">
        <v>18</v>
      </c>
      <c r="Z3733">
        <v>1</v>
      </c>
      <c r="AA3733" t="s">
        <v>7686</v>
      </c>
      <c r="AB3733">
        <v>33</v>
      </c>
      <c r="AC3733" t="s">
        <v>49</v>
      </c>
      <c r="AD3733">
        <v>0</v>
      </c>
      <c r="AE3733">
        <v>10603339</v>
      </c>
      <c r="AF3733" t="s">
        <v>63</v>
      </c>
      <c r="AG3733" t="s">
        <v>7682</v>
      </c>
    </row>
    <row r="3734" spans="1:33" x14ac:dyDescent="0.35">
      <c r="A3734" s="1">
        <v>44655.441666666666</v>
      </c>
      <c r="B3734">
        <v>4085850</v>
      </c>
      <c r="C3734" t="s">
        <v>7687</v>
      </c>
      <c r="D3734" t="s">
        <v>424</v>
      </c>
      <c r="E3734" s="2">
        <v>42306</v>
      </c>
      <c r="F3734" t="str">
        <f>"9780810874565"</f>
        <v>9780810874565</v>
      </c>
      <c r="G3734" t="str">
        <f>"9780810871953"</f>
        <v>9780810871953</v>
      </c>
      <c r="H3734" t="s">
        <v>667</v>
      </c>
      <c r="I3734">
        <v>959.80029999999999</v>
      </c>
      <c r="J3734" t="s">
        <v>7688</v>
      </c>
      <c r="K3734" t="s">
        <v>44</v>
      </c>
      <c r="N3734" t="s">
        <v>45</v>
      </c>
      <c r="O3734" t="s">
        <v>46</v>
      </c>
      <c r="P3734" t="s">
        <v>45</v>
      </c>
      <c r="Q3734" t="s">
        <v>47</v>
      </c>
      <c r="R3734" t="s">
        <v>44</v>
      </c>
      <c r="S3734">
        <v>0</v>
      </c>
      <c r="W3734" s="3">
        <v>7.6388888888888893E-4</v>
      </c>
      <c r="X3734" t="s">
        <v>7689</v>
      </c>
      <c r="Y3734">
        <v>4</v>
      </c>
      <c r="Z3734">
        <v>0</v>
      </c>
      <c r="AA3734" t="s">
        <v>49</v>
      </c>
      <c r="AB3734">
        <v>0</v>
      </c>
      <c r="AC3734" t="s">
        <v>49</v>
      </c>
      <c r="AD3734">
        <v>0</v>
      </c>
      <c r="AE3734">
        <v>11124057</v>
      </c>
      <c r="AF3734" t="s">
        <v>63</v>
      </c>
      <c r="AG3734" t="s">
        <v>7682</v>
      </c>
    </row>
    <row r="3735" spans="1:33" x14ac:dyDescent="0.35">
      <c r="A3735" s="1">
        <v>44655.441666666666</v>
      </c>
      <c r="B3735">
        <v>432063</v>
      </c>
      <c r="C3735" t="s">
        <v>7690</v>
      </c>
      <c r="D3735" t="s">
        <v>502</v>
      </c>
      <c r="E3735" s="2">
        <v>39863</v>
      </c>
      <c r="F3735" t="str">
        <f>"9780511515132"</f>
        <v>9780511515132</v>
      </c>
      <c r="G3735" t="str">
        <f>"9780521883979"</f>
        <v>9780521883979</v>
      </c>
      <c r="H3735" t="s">
        <v>712</v>
      </c>
      <c r="I3735" t="s">
        <v>7691</v>
      </c>
      <c r="J3735" t="s">
        <v>7692</v>
      </c>
      <c r="K3735" t="s">
        <v>44</v>
      </c>
      <c r="N3735" t="s">
        <v>45</v>
      </c>
      <c r="O3735" t="s">
        <v>46</v>
      </c>
      <c r="P3735" t="s">
        <v>45</v>
      </c>
      <c r="Q3735" t="s">
        <v>47</v>
      </c>
      <c r="R3735" t="s">
        <v>44</v>
      </c>
      <c r="S3735">
        <v>0</v>
      </c>
      <c r="W3735" s="3">
        <v>8.611111111111111E-3</v>
      </c>
      <c r="X3735" t="s">
        <v>7693</v>
      </c>
      <c r="Y3735">
        <v>4</v>
      </c>
      <c r="Z3735">
        <v>0</v>
      </c>
      <c r="AA3735" t="s">
        <v>49</v>
      </c>
      <c r="AB3735">
        <v>0</v>
      </c>
      <c r="AC3735" t="s">
        <v>49</v>
      </c>
      <c r="AD3735">
        <v>0</v>
      </c>
      <c r="AE3735">
        <v>10297137</v>
      </c>
      <c r="AF3735" t="s">
        <v>63</v>
      </c>
      <c r="AG3735" t="s">
        <v>7682</v>
      </c>
    </row>
    <row r="3736" spans="1:33" x14ac:dyDescent="0.35">
      <c r="A3736" s="1">
        <v>44655.434027777781</v>
      </c>
      <c r="B3736">
        <v>6484948</v>
      </c>
      <c r="C3736" t="s">
        <v>7694</v>
      </c>
      <c r="D3736" t="s">
        <v>76</v>
      </c>
      <c r="E3736" s="2">
        <v>44305</v>
      </c>
      <c r="F3736" t="str">
        <f>"9781000378153"</f>
        <v>9781000378153</v>
      </c>
      <c r="G3736" t="str">
        <f>"9780367675462"</f>
        <v>9780367675462</v>
      </c>
      <c r="H3736" t="s">
        <v>1046</v>
      </c>
      <c r="I3736">
        <v>303.60959000000003</v>
      </c>
      <c r="J3736" t="s">
        <v>7695</v>
      </c>
      <c r="K3736" t="s">
        <v>55</v>
      </c>
      <c r="Q3736" t="s">
        <v>47</v>
      </c>
      <c r="R3736" t="s">
        <v>44</v>
      </c>
      <c r="S3736">
        <v>0</v>
      </c>
      <c r="W3736" s="3">
        <v>3.37962962962963E-3</v>
      </c>
      <c r="X3736" t="s">
        <v>7696</v>
      </c>
      <c r="Y3736">
        <v>10</v>
      </c>
      <c r="Z3736">
        <v>0</v>
      </c>
      <c r="AA3736" t="s">
        <v>49</v>
      </c>
      <c r="AB3736">
        <v>0</v>
      </c>
      <c r="AC3736" t="s">
        <v>49</v>
      </c>
      <c r="AD3736">
        <v>0</v>
      </c>
      <c r="AE3736">
        <v>-1</v>
      </c>
      <c r="AF3736" t="s">
        <v>63</v>
      </c>
      <c r="AG3736" t="s">
        <v>7682</v>
      </c>
    </row>
    <row r="3737" spans="1:33" x14ac:dyDescent="0.35">
      <c r="A3737" s="1">
        <v>44655.432638888888</v>
      </c>
      <c r="B3737">
        <v>1209565</v>
      </c>
      <c r="C3737" t="s">
        <v>7697</v>
      </c>
      <c r="D3737" t="s">
        <v>76</v>
      </c>
      <c r="E3737" s="2">
        <v>41422</v>
      </c>
      <c r="F3737" t="str">
        <f>"9781135047719"</f>
        <v>9781135047719</v>
      </c>
      <c r="G3737" t="str">
        <f>"9780415645119"</f>
        <v>9780415645119</v>
      </c>
      <c r="H3737" t="s">
        <v>353</v>
      </c>
      <c r="I3737">
        <v>364.151095</v>
      </c>
      <c r="J3737" t="s">
        <v>7698</v>
      </c>
      <c r="K3737" t="s">
        <v>44</v>
      </c>
      <c r="N3737" t="s">
        <v>45</v>
      </c>
      <c r="O3737" t="s">
        <v>46</v>
      </c>
      <c r="P3737" t="s">
        <v>45</v>
      </c>
      <c r="Q3737" t="s">
        <v>47</v>
      </c>
      <c r="R3737" t="s">
        <v>44</v>
      </c>
      <c r="S3737">
        <v>0</v>
      </c>
      <c r="W3737" s="3">
        <v>6.4814814814814813E-3</v>
      </c>
      <c r="X3737" t="s">
        <v>7699</v>
      </c>
      <c r="Y3737">
        <v>12</v>
      </c>
      <c r="Z3737">
        <v>1</v>
      </c>
      <c r="AA3737" t="s">
        <v>7700</v>
      </c>
      <c r="AB3737">
        <v>18</v>
      </c>
      <c r="AC3737" t="s">
        <v>49</v>
      </c>
      <c r="AD3737">
        <v>0</v>
      </c>
      <c r="AE3737">
        <v>10716334</v>
      </c>
      <c r="AF3737" t="s">
        <v>63</v>
      </c>
      <c r="AG3737" t="s">
        <v>7682</v>
      </c>
    </row>
    <row r="3738" spans="1:33" x14ac:dyDescent="0.35">
      <c r="A3738" s="1">
        <v>44655.431944444441</v>
      </c>
      <c r="B3738">
        <v>1024734</v>
      </c>
      <c r="C3738" t="s">
        <v>7701</v>
      </c>
      <c r="D3738" t="s">
        <v>76</v>
      </c>
      <c r="E3738" s="2">
        <v>41135</v>
      </c>
      <c r="F3738" t="str">
        <f>"9781135245511"</f>
        <v>9781135245511</v>
      </c>
      <c r="G3738" t="str">
        <f>"9780415871914"</f>
        <v>9780415871914</v>
      </c>
      <c r="H3738" t="s">
        <v>5496</v>
      </c>
      <c r="I3738">
        <v>909.82</v>
      </c>
      <c r="J3738" t="s">
        <v>7702</v>
      </c>
      <c r="K3738" t="s">
        <v>44</v>
      </c>
      <c r="N3738" t="s">
        <v>45</v>
      </c>
      <c r="O3738" t="s">
        <v>46</v>
      </c>
      <c r="P3738" t="s">
        <v>45</v>
      </c>
      <c r="Q3738" t="s">
        <v>47</v>
      </c>
      <c r="R3738" t="s">
        <v>44</v>
      </c>
      <c r="S3738">
        <v>0</v>
      </c>
      <c r="W3738" s="3">
        <v>1.1574074074074073E-4</v>
      </c>
      <c r="X3738" t="s">
        <v>1283</v>
      </c>
      <c r="Y3738">
        <v>3</v>
      </c>
      <c r="Z3738">
        <v>0</v>
      </c>
      <c r="AA3738" t="s">
        <v>49</v>
      </c>
      <c r="AB3738">
        <v>0</v>
      </c>
      <c r="AC3738" t="s">
        <v>49</v>
      </c>
      <c r="AD3738">
        <v>0</v>
      </c>
      <c r="AE3738">
        <v>10603625</v>
      </c>
      <c r="AF3738" t="s">
        <v>50</v>
      </c>
      <c r="AG3738" t="s">
        <v>7682</v>
      </c>
    </row>
    <row r="3739" spans="1:33" x14ac:dyDescent="0.35">
      <c r="A3739" s="1">
        <v>44655.375694444447</v>
      </c>
      <c r="B3739">
        <v>3338641</v>
      </c>
      <c r="C3739" t="s">
        <v>302</v>
      </c>
      <c r="D3739" t="s">
        <v>303</v>
      </c>
      <c r="E3739" s="2">
        <v>39143</v>
      </c>
      <c r="F3739" t="str">
        <f>"9780262282888"</f>
        <v>9780262282888</v>
      </c>
      <c r="G3739" t="str">
        <f>"9780262195577"</f>
        <v>9780262195577</v>
      </c>
      <c r="H3739" t="s">
        <v>304</v>
      </c>
      <c r="I3739" t="s">
        <v>305</v>
      </c>
      <c r="K3739" t="s">
        <v>44</v>
      </c>
      <c r="N3739" t="s">
        <v>45</v>
      </c>
      <c r="O3739" t="s">
        <v>46</v>
      </c>
      <c r="P3739" t="s">
        <v>45</v>
      </c>
      <c r="Q3739" t="s">
        <v>47</v>
      </c>
      <c r="R3739" t="s">
        <v>44</v>
      </c>
      <c r="S3739">
        <v>0</v>
      </c>
      <c r="W3739" s="3">
        <v>1.4618055555555556E-2</v>
      </c>
      <c r="X3739" t="s">
        <v>7703</v>
      </c>
      <c r="Y3739">
        <v>24</v>
      </c>
      <c r="Z3739">
        <v>0</v>
      </c>
      <c r="AA3739" t="s">
        <v>49</v>
      </c>
      <c r="AB3739">
        <v>0</v>
      </c>
      <c r="AC3739" t="s">
        <v>49</v>
      </c>
      <c r="AD3739">
        <v>0</v>
      </c>
      <c r="AE3739">
        <v>10173702</v>
      </c>
      <c r="AF3739" t="s">
        <v>50</v>
      </c>
      <c r="AG3739" t="s">
        <v>7682</v>
      </c>
    </row>
    <row r="3740" spans="1:33" x14ac:dyDescent="0.35">
      <c r="A3740" s="1">
        <v>44654.075694444444</v>
      </c>
      <c r="B3740">
        <v>589862</v>
      </c>
      <c r="C3740" t="s">
        <v>7598</v>
      </c>
      <c r="D3740" t="s">
        <v>76</v>
      </c>
      <c r="E3740" s="2">
        <v>40232</v>
      </c>
      <c r="F3740" t="str">
        <f>"9781439826768"</f>
        <v>9781439826768</v>
      </c>
      <c r="G3740" t="str">
        <f>"9781439826751"</f>
        <v>9781439826751</v>
      </c>
      <c r="H3740" t="s">
        <v>120</v>
      </c>
      <c r="I3740">
        <v>604.70000000000005</v>
      </c>
      <c r="J3740" t="s">
        <v>7599</v>
      </c>
      <c r="K3740" t="s">
        <v>44</v>
      </c>
      <c r="N3740" t="s">
        <v>45</v>
      </c>
      <c r="O3740" t="s">
        <v>46</v>
      </c>
      <c r="P3740" t="s">
        <v>45</v>
      </c>
      <c r="Q3740" t="s">
        <v>47</v>
      </c>
      <c r="R3740" t="s">
        <v>44</v>
      </c>
      <c r="S3740">
        <v>0</v>
      </c>
      <c r="W3740" s="3">
        <v>3.2291666666666666E-3</v>
      </c>
      <c r="X3740" t="s">
        <v>7704</v>
      </c>
      <c r="Y3740">
        <v>32</v>
      </c>
      <c r="Z3740">
        <v>0</v>
      </c>
      <c r="AA3740" t="s">
        <v>49</v>
      </c>
      <c r="AB3740">
        <v>0</v>
      </c>
      <c r="AC3740" t="s">
        <v>49</v>
      </c>
      <c r="AD3740">
        <v>0</v>
      </c>
      <c r="AE3740">
        <v>10419908</v>
      </c>
      <c r="AF3740" t="s">
        <v>50</v>
      </c>
      <c r="AG3740" t="s">
        <v>7705</v>
      </c>
    </row>
    <row r="3741" spans="1:33" x14ac:dyDescent="0.35">
      <c r="A3741" s="1">
        <v>44651.65347222222</v>
      </c>
      <c r="B3741">
        <v>617189</v>
      </c>
      <c r="C3741" t="s">
        <v>7706</v>
      </c>
      <c r="D3741" t="s">
        <v>497</v>
      </c>
      <c r="E3741" s="2">
        <v>40549</v>
      </c>
      <c r="F3741" t="str">
        <f>"9781441139481"</f>
        <v>9781441139481</v>
      </c>
      <c r="G3741" t="str">
        <f>"9781847065902"</f>
        <v>9781847065902</v>
      </c>
      <c r="H3741" t="s">
        <v>498</v>
      </c>
      <c r="I3741">
        <v>193</v>
      </c>
      <c r="J3741" t="s">
        <v>7707</v>
      </c>
      <c r="K3741" t="s">
        <v>44</v>
      </c>
      <c r="N3741" t="s">
        <v>45</v>
      </c>
      <c r="O3741" t="s">
        <v>46</v>
      </c>
      <c r="P3741" t="s">
        <v>45</v>
      </c>
      <c r="Q3741" t="s">
        <v>47</v>
      </c>
      <c r="R3741" t="s">
        <v>44</v>
      </c>
      <c r="S3741">
        <v>0</v>
      </c>
      <c r="W3741" s="3">
        <v>1.0567129629629629E-2</v>
      </c>
      <c r="X3741" t="s">
        <v>7708</v>
      </c>
      <c r="Y3741">
        <v>18</v>
      </c>
      <c r="Z3741">
        <v>0</v>
      </c>
      <c r="AA3741" t="s">
        <v>49</v>
      </c>
      <c r="AB3741">
        <v>0</v>
      </c>
      <c r="AC3741" t="s">
        <v>49</v>
      </c>
      <c r="AD3741">
        <v>0</v>
      </c>
      <c r="AE3741">
        <v>10432545</v>
      </c>
      <c r="AF3741" t="s">
        <v>50</v>
      </c>
      <c r="AG3741" t="s">
        <v>7605</v>
      </c>
    </row>
    <row r="3742" spans="1:33" x14ac:dyDescent="0.35">
      <c r="A3742" s="1">
        <v>44651.522916666669</v>
      </c>
      <c r="B3742">
        <v>259878</v>
      </c>
      <c r="C3742" t="s">
        <v>7709</v>
      </c>
      <c r="D3742" t="s">
        <v>502</v>
      </c>
      <c r="E3742" s="2">
        <v>38078</v>
      </c>
      <c r="F3742" t="str">
        <f>"9780511193743"</f>
        <v>9780511193743</v>
      </c>
      <c r="G3742" t="str">
        <f>"9780521825689"</f>
        <v>9780521825689</v>
      </c>
      <c r="H3742" t="s">
        <v>72</v>
      </c>
      <c r="I3742" t="s">
        <v>7710</v>
      </c>
      <c r="J3742" t="s">
        <v>7711</v>
      </c>
      <c r="K3742" t="s">
        <v>44</v>
      </c>
      <c r="N3742" t="s">
        <v>45</v>
      </c>
      <c r="O3742" t="s">
        <v>46</v>
      </c>
      <c r="P3742" t="s">
        <v>45</v>
      </c>
      <c r="Q3742" t="s">
        <v>47</v>
      </c>
      <c r="R3742" t="s">
        <v>44</v>
      </c>
      <c r="S3742">
        <v>1</v>
      </c>
      <c r="W3742" s="3">
        <v>1.1574074074074073E-5</v>
      </c>
      <c r="X3742" t="s">
        <v>49</v>
      </c>
      <c r="Y3742">
        <v>0</v>
      </c>
      <c r="Z3742">
        <v>0</v>
      </c>
      <c r="AA3742" t="s">
        <v>49</v>
      </c>
      <c r="AB3742">
        <v>0</v>
      </c>
      <c r="AC3742" t="s">
        <v>49</v>
      </c>
      <c r="AD3742">
        <v>0</v>
      </c>
      <c r="AE3742">
        <v>10130393</v>
      </c>
      <c r="AF3742" t="s">
        <v>63</v>
      </c>
      <c r="AG3742" t="s">
        <v>7605</v>
      </c>
    </row>
    <row r="3743" spans="1:33" x14ac:dyDescent="0.35">
      <c r="A3743" s="1">
        <v>44651.174305555556</v>
      </c>
      <c r="B3743">
        <v>5157376</v>
      </c>
      <c r="C3743" t="s">
        <v>7712</v>
      </c>
      <c r="D3743" t="s">
        <v>115</v>
      </c>
      <c r="E3743" s="2">
        <v>43136</v>
      </c>
      <c r="F3743" t="str">
        <f>"9783110470734"</f>
        <v>9783110470734</v>
      </c>
      <c r="G3743" t="str">
        <f>"9783110469844"</f>
        <v>9783110469844</v>
      </c>
      <c r="H3743" t="s">
        <v>1220</v>
      </c>
      <c r="I3743" t="s">
        <v>7713</v>
      </c>
      <c r="J3743" t="s">
        <v>7714</v>
      </c>
      <c r="K3743" t="s">
        <v>44</v>
      </c>
      <c r="N3743" t="s">
        <v>45</v>
      </c>
      <c r="O3743" t="s">
        <v>46</v>
      </c>
      <c r="P3743" t="s">
        <v>45</v>
      </c>
      <c r="Q3743" t="s">
        <v>47</v>
      </c>
      <c r="R3743" t="s">
        <v>44</v>
      </c>
      <c r="S3743">
        <v>0</v>
      </c>
      <c r="W3743" s="3">
        <v>0</v>
      </c>
      <c r="X3743" t="s">
        <v>49</v>
      </c>
      <c r="Y3743">
        <v>0</v>
      </c>
      <c r="Z3743">
        <v>2</v>
      </c>
      <c r="AA3743" t="s">
        <v>7715</v>
      </c>
      <c r="AB3743">
        <v>78</v>
      </c>
      <c r="AC3743" t="s">
        <v>49</v>
      </c>
      <c r="AD3743">
        <v>0</v>
      </c>
      <c r="AE3743">
        <v>11508854</v>
      </c>
      <c r="AF3743" t="s">
        <v>50</v>
      </c>
      <c r="AG3743" t="s">
        <v>7605</v>
      </c>
    </row>
    <row r="3744" spans="1:33" x14ac:dyDescent="0.35">
      <c r="A3744" s="1">
        <v>44651.030555555553</v>
      </c>
      <c r="B3744">
        <v>3053587</v>
      </c>
      <c r="C3744" t="s">
        <v>7716</v>
      </c>
      <c r="D3744" t="s">
        <v>125</v>
      </c>
      <c r="E3744" s="2">
        <v>40287</v>
      </c>
      <c r="F3744" t="str">
        <f>"9780191523465"</f>
        <v>9780191523465</v>
      </c>
      <c r="G3744" t="str">
        <f>"9780198525264"</f>
        <v>9780198525264</v>
      </c>
      <c r="H3744" t="s">
        <v>585</v>
      </c>
      <c r="I3744">
        <v>530.13</v>
      </c>
      <c r="J3744" t="s">
        <v>7717</v>
      </c>
      <c r="K3744" t="s">
        <v>44</v>
      </c>
      <c r="N3744" t="s">
        <v>45</v>
      </c>
      <c r="O3744" t="s">
        <v>46</v>
      </c>
      <c r="P3744" t="s">
        <v>45</v>
      </c>
      <c r="Q3744" t="s">
        <v>47</v>
      </c>
      <c r="R3744" t="s">
        <v>44</v>
      </c>
      <c r="S3744">
        <v>1</v>
      </c>
      <c r="W3744" s="3">
        <v>0</v>
      </c>
      <c r="X3744" t="s">
        <v>49</v>
      </c>
      <c r="Y3744">
        <v>0</v>
      </c>
      <c r="Z3744">
        <v>0</v>
      </c>
      <c r="AA3744" t="s">
        <v>49</v>
      </c>
      <c r="AB3744">
        <v>0</v>
      </c>
      <c r="AC3744" t="s">
        <v>49</v>
      </c>
      <c r="AD3744">
        <v>0</v>
      </c>
      <c r="AE3744">
        <v>10370327</v>
      </c>
      <c r="AF3744" t="s">
        <v>63</v>
      </c>
      <c r="AG3744" t="s">
        <v>7605</v>
      </c>
    </row>
    <row r="3745" spans="1:33" x14ac:dyDescent="0.35">
      <c r="A3745" s="1">
        <v>44651.026388888888</v>
      </c>
      <c r="B3745">
        <v>307221</v>
      </c>
      <c r="C3745" t="s">
        <v>7718</v>
      </c>
      <c r="D3745" t="s">
        <v>65</v>
      </c>
      <c r="E3745" s="2">
        <v>37183</v>
      </c>
      <c r="F3745" t="str">
        <f>"9780080519982"</f>
        <v>9780080519982</v>
      </c>
      <c r="G3745" t="str">
        <f>"9780122673511"</f>
        <v>9780122673511</v>
      </c>
      <c r="H3745" t="s">
        <v>7719</v>
      </c>
      <c r="I3745">
        <v>539.60113000000001</v>
      </c>
      <c r="J3745" t="s">
        <v>7720</v>
      </c>
      <c r="K3745" t="s">
        <v>55</v>
      </c>
      <c r="N3745" t="s">
        <v>79</v>
      </c>
      <c r="P3745" t="s">
        <v>80</v>
      </c>
      <c r="Q3745" t="s">
        <v>47</v>
      </c>
      <c r="R3745" t="s">
        <v>44</v>
      </c>
      <c r="S3745">
        <v>1</v>
      </c>
      <c r="T3745">
        <v>90</v>
      </c>
      <c r="U3745" s="1">
        <v>44651.026388888888</v>
      </c>
      <c r="V3745" s="1">
        <v>44741.026388888888</v>
      </c>
      <c r="W3745" s="3">
        <v>0</v>
      </c>
      <c r="X3745" t="s">
        <v>49</v>
      </c>
      <c r="Y3745">
        <v>0</v>
      </c>
      <c r="Z3745">
        <v>0</v>
      </c>
      <c r="AA3745" t="s">
        <v>49</v>
      </c>
      <c r="AB3745">
        <v>0</v>
      </c>
      <c r="AC3745" t="s">
        <v>49</v>
      </c>
      <c r="AD3745">
        <v>0</v>
      </c>
      <c r="AE3745">
        <v>10186686</v>
      </c>
      <c r="AF3745" t="s">
        <v>63</v>
      </c>
      <c r="AG3745" t="s">
        <v>7605</v>
      </c>
    </row>
    <row r="3746" spans="1:33" x14ac:dyDescent="0.35">
      <c r="A3746" s="1">
        <v>44650.748611111114</v>
      </c>
      <c r="B3746">
        <v>3338641</v>
      </c>
      <c r="C3746" t="s">
        <v>302</v>
      </c>
      <c r="D3746" t="s">
        <v>303</v>
      </c>
      <c r="E3746" s="2">
        <v>39143</v>
      </c>
      <c r="F3746" t="str">
        <f>"9780262282888"</f>
        <v>9780262282888</v>
      </c>
      <c r="G3746" t="str">
        <f>"9780262195577"</f>
        <v>9780262195577</v>
      </c>
      <c r="H3746" t="s">
        <v>304</v>
      </c>
      <c r="I3746" t="s">
        <v>305</v>
      </c>
      <c r="K3746" t="s">
        <v>44</v>
      </c>
      <c r="N3746" t="s">
        <v>45</v>
      </c>
      <c r="O3746" t="s">
        <v>46</v>
      </c>
      <c r="P3746" t="s">
        <v>45</v>
      </c>
      <c r="Q3746" t="s">
        <v>47</v>
      </c>
      <c r="R3746" t="s">
        <v>44</v>
      </c>
      <c r="S3746">
        <v>0</v>
      </c>
      <c r="W3746" s="3">
        <v>8.1944444444444452E-3</v>
      </c>
      <c r="X3746" t="s">
        <v>7721</v>
      </c>
      <c r="Y3746">
        <v>17</v>
      </c>
      <c r="Z3746">
        <v>0</v>
      </c>
      <c r="AA3746" t="s">
        <v>49</v>
      </c>
      <c r="AB3746">
        <v>0</v>
      </c>
      <c r="AC3746" t="s">
        <v>49</v>
      </c>
      <c r="AD3746">
        <v>0</v>
      </c>
      <c r="AE3746">
        <v>10173702</v>
      </c>
      <c r="AF3746" t="s">
        <v>50</v>
      </c>
      <c r="AG3746" t="s">
        <v>7722</v>
      </c>
    </row>
    <row r="3747" spans="1:33" x14ac:dyDescent="0.35">
      <c r="A3747" s="1">
        <v>44650.316666666666</v>
      </c>
      <c r="B3747">
        <v>4742536</v>
      </c>
      <c r="C3747" t="s">
        <v>7455</v>
      </c>
      <c r="D3747" t="s">
        <v>1403</v>
      </c>
      <c r="E3747" s="2">
        <v>42275</v>
      </c>
      <c r="F3747" t="str">
        <f>"9781606498712"</f>
        <v>9781606498712</v>
      </c>
      <c r="G3747" t="str">
        <f>"9781606498705"</f>
        <v>9781606498705</v>
      </c>
      <c r="H3747" t="s">
        <v>60</v>
      </c>
      <c r="I3747">
        <v>658.40355</v>
      </c>
      <c r="J3747" t="s">
        <v>7456</v>
      </c>
      <c r="K3747" t="s">
        <v>44</v>
      </c>
      <c r="N3747" t="s">
        <v>45</v>
      </c>
      <c r="O3747" t="s">
        <v>46</v>
      </c>
      <c r="P3747" t="s">
        <v>45</v>
      </c>
      <c r="Q3747" t="s">
        <v>47</v>
      </c>
      <c r="R3747" t="s">
        <v>44</v>
      </c>
      <c r="S3747">
        <v>0</v>
      </c>
      <c r="W3747" s="3">
        <v>9.2592592592592585E-4</v>
      </c>
      <c r="X3747" t="s">
        <v>7723</v>
      </c>
      <c r="Y3747">
        <v>6</v>
      </c>
      <c r="Z3747">
        <v>0</v>
      </c>
      <c r="AA3747" t="s">
        <v>49</v>
      </c>
      <c r="AB3747">
        <v>0</v>
      </c>
      <c r="AC3747" t="s">
        <v>49</v>
      </c>
      <c r="AD3747">
        <v>0</v>
      </c>
      <c r="AE3747">
        <v>11298172</v>
      </c>
      <c r="AF3747" t="s">
        <v>50</v>
      </c>
      <c r="AG3747" t="s">
        <v>7493</v>
      </c>
    </row>
    <row r="3748" spans="1:33" x14ac:dyDescent="0.35">
      <c r="A3748" s="1">
        <v>44649.5</v>
      </c>
      <c r="B3748">
        <v>4742536</v>
      </c>
      <c r="C3748" t="s">
        <v>7455</v>
      </c>
      <c r="D3748" t="s">
        <v>1403</v>
      </c>
      <c r="E3748" s="2">
        <v>42275</v>
      </c>
      <c r="F3748" t="str">
        <f>"9781606498712"</f>
        <v>9781606498712</v>
      </c>
      <c r="G3748" t="str">
        <f>"9781606498705"</f>
        <v>9781606498705</v>
      </c>
      <c r="H3748" t="s">
        <v>60</v>
      </c>
      <c r="I3748">
        <v>658.40355</v>
      </c>
      <c r="J3748" t="s">
        <v>7456</v>
      </c>
      <c r="K3748" t="s">
        <v>44</v>
      </c>
      <c r="N3748" t="s">
        <v>45</v>
      </c>
      <c r="O3748" t="s">
        <v>46</v>
      </c>
      <c r="P3748" t="s">
        <v>45</v>
      </c>
      <c r="Q3748" t="s">
        <v>47</v>
      </c>
      <c r="R3748" t="s">
        <v>44</v>
      </c>
      <c r="S3748">
        <v>0</v>
      </c>
      <c r="W3748" s="3">
        <v>5.5555555555555556E-4</v>
      </c>
      <c r="X3748" t="s">
        <v>7724</v>
      </c>
      <c r="Y3748">
        <v>10</v>
      </c>
      <c r="Z3748">
        <v>0</v>
      </c>
      <c r="AA3748" t="s">
        <v>49</v>
      </c>
      <c r="AB3748">
        <v>0</v>
      </c>
      <c r="AC3748" t="s">
        <v>49</v>
      </c>
      <c r="AD3748">
        <v>0</v>
      </c>
      <c r="AE3748">
        <v>11298172</v>
      </c>
      <c r="AF3748" t="s">
        <v>50</v>
      </c>
      <c r="AG3748" t="s">
        <v>7493</v>
      </c>
    </row>
    <row r="3749" spans="1:33" x14ac:dyDescent="0.35">
      <c r="A3749" s="1">
        <v>44649.436111111114</v>
      </c>
      <c r="B3749">
        <v>4851879</v>
      </c>
      <c r="C3749" t="s">
        <v>7725</v>
      </c>
      <c r="D3749" t="s">
        <v>115</v>
      </c>
      <c r="E3749" s="2">
        <v>42863</v>
      </c>
      <c r="F3749" t="str">
        <f>"9783110493016"</f>
        <v>9783110493016</v>
      </c>
      <c r="G3749" t="str">
        <f>"9783110478662"</f>
        <v>9783110478662</v>
      </c>
      <c r="H3749" t="s">
        <v>498</v>
      </c>
      <c r="I3749">
        <v>142.78</v>
      </c>
      <c r="J3749" t="s">
        <v>7726</v>
      </c>
      <c r="K3749" t="s">
        <v>44</v>
      </c>
      <c r="N3749" t="s">
        <v>45</v>
      </c>
      <c r="O3749" t="s">
        <v>46</v>
      </c>
      <c r="P3749" t="s">
        <v>45</v>
      </c>
      <c r="Q3749" t="s">
        <v>47</v>
      </c>
      <c r="R3749" t="s">
        <v>44</v>
      </c>
      <c r="S3749">
        <v>0</v>
      </c>
      <c r="W3749" s="3">
        <v>3.8310185185185183E-2</v>
      </c>
      <c r="X3749" t="s">
        <v>7727</v>
      </c>
      <c r="Y3749">
        <v>20</v>
      </c>
      <c r="Z3749">
        <v>0</v>
      </c>
      <c r="AA3749" t="s">
        <v>49</v>
      </c>
      <c r="AB3749">
        <v>0</v>
      </c>
      <c r="AC3749" t="s">
        <v>7728</v>
      </c>
      <c r="AD3749">
        <v>1</v>
      </c>
      <c r="AE3749">
        <v>11380724</v>
      </c>
      <c r="AF3749" t="s">
        <v>50</v>
      </c>
      <c r="AG3749" t="s">
        <v>7493</v>
      </c>
    </row>
    <row r="3750" spans="1:33" x14ac:dyDescent="0.35">
      <c r="A3750" s="1">
        <v>44648.946527777778</v>
      </c>
      <c r="B3750">
        <v>3138969</v>
      </c>
      <c r="C3750" t="s">
        <v>7729</v>
      </c>
      <c r="D3750" t="s">
        <v>7730</v>
      </c>
      <c r="E3750" s="2">
        <v>38899</v>
      </c>
      <c r="F3750" t="str">
        <f>"9781935790730"</f>
        <v>9781935790730</v>
      </c>
      <c r="G3750" t="str">
        <f>"9781888570892"</f>
        <v>9781888570892</v>
      </c>
      <c r="H3750" t="s">
        <v>667</v>
      </c>
      <c r="I3750" t="s">
        <v>3366</v>
      </c>
      <c r="J3750" t="s">
        <v>7731</v>
      </c>
      <c r="K3750" t="s">
        <v>44</v>
      </c>
      <c r="N3750" t="s">
        <v>45</v>
      </c>
      <c r="O3750" t="s">
        <v>46</v>
      </c>
      <c r="P3750" t="s">
        <v>45</v>
      </c>
      <c r="Q3750" t="s">
        <v>47</v>
      </c>
      <c r="R3750" t="s">
        <v>44</v>
      </c>
      <c r="S3750">
        <v>0</v>
      </c>
      <c r="W3750" s="3">
        <v>7.2569444444444443E-3</v>
      </c>
      <c r="X3750" t="s">
        <v>7732</v>
      </c>
      <c r="Y3750">
        <v>18</v>
      </c>
      <c r="Z3750">
        <v>0</v>
      </c>
      <c r="AA3750" t="s">
        <v>49</v>
      </c>
      <c r="AB3750">
        <v>0</v>
      </c>
      <c r="AC3750" t="s">
        <v>49</v>
      </c>
      <c r="AD3750">
        <v>0</v>
      </c>
      <c r="AE3750">
        <v>10172598</v>
      </c>
      <c r="AF3750" t="s">
        <v>50</v>
      </c>
      <c r="AG3750" t="s">
        <v>7733</v>
      </c>
    </row>
    <row r="3751" spans="1:33" x14ac:dyDescent="0.35">
      <c r="A3751" s="1">
        <v>44648.845833333333</v>
      </c>
      <c r="B3751">
        <v>689633</v>
      </c>
      <c r="C3751" t="s">
        <v>7734</v>
      </c>
      <c r="D3751" t="s">
        <v>1224</v>
      </c>
      <c r="E3751" s="2">
        <v>40527</v>
      </c>
      <c r="F3751" t="str">
        <f>"9783110222203"</f>
        <v>9783110222203</v>
      </c>
      <c r="G3751" t="str">
        <f>"9783110222197"</f>
        <v>9783110222197</v>
      </c>
      <c r="H3751" t="s">
        <v>1984</v>
      </c>
      <c r="I3751" t="s">
        <v>7735</v>
      </c>
      <c r="J3751" t="s">
        <v>7736</v>
      </c>
      <c r="K3751" t="s">
        <v>44</v>
      </c>
      <c r="N3751" t="s">
        <v>45</v>
      </c>
      <c r="O3751" t="s">
        <v>46</v>
      </c>
      <c r="P3751" t="s">
        <v>45</v>
      </c>
      <c r="Q3751" t="s">
        <v>47</v>
      </c>
      <c r="R3751" t="s">
        <v>44</v>
      </c>
      <c r="S3751">
        <v>0</v>
      </c>
      <c r="W3751" s="3">
        <v>2.4305555555555552E-4</v>
      </c>
      <c r="X3751" t="s">
        <v>121</v>
      </c>
      <c r="Y3751">
        <v>1</v>
      </c>
      <c r="Z3751">
        <v>0</v>
      </c>
      <c r="AA3751" t="s">
        <v>49</v>
      </c>
      <c r="AB3751">
        <v>0</v>
      </c>
      <c r="AC3751" t="s">
        <v>49</v>
      </c>
      <c r="AD3751">
        <v>0</v>
      </c>
      <c r="AE3751">
        <v>10468314</v>
      </c>
      <c r="AF3751" t="s">
        <v>50</v>
      </c>
      <c r="AG3751" t="s">
        <v>7733</v>
      </c>
    </row>
    <row r="3752" spans="1:33" x14ac:dyDescent="0.35">
      <c r="A3752" s="1">
        <v>44648.834722222222</v>
      </c>
      <c r="B3752">
        <v>3562387</v>
      </c>
      <c r="C3752" t="s">
        <v>7737</v>
      </c>
      <c r="D3752" t="s">
        <v>1202</v>
      </c>
      <c r="E3752" s="2">
        <v>39584</v>
      </c>
      <c r="F3752" t="str">
        <f>"9780674037724"</f>
        <v>9780674037724</v>
      </c>
      <c r="G3752" t="str">
        <f>"9780674034686"</f>
        <v>9780674034686</v>
      </c>
      <c r="H3752" t="s">
        <v>667</v>
      </c>
      <c r="I3752" t="s">
        <v>7738</v>
      </c>
      <c r="J3752" t="s">
        <v>7739</v>
      </c>
      <c r="K3752" t="s">
        <v>44</v>
      </c>
      <c r="N3752" t="s">
        <v>45</v>
      </c>
      <c r="O3752" t="s">
        <v>46</v>
      </c>
      <c r="P3752" t="s">
        <v>177</v>
      </c>
      <c r="Q3752" t="s">
        <v>47</v>
      </c>
      <c r="R3752" t="s">
        <v>55</v>
      </c>
      <c r="S3752">
        <v>0</v>
      </c>
      <c r="W3752" s="3">
        <v>2.2094907407407407E-2</v>
      </c>
      <c r="X3752" t="s">
        <v>7740</v>
      </c>
      <c r="Y3752">
        <v>14</v>
      </c>
      <c r="Z3752">
        <v>0</v>
      </c>
      <c r="AA3752" t="s">
        <v>49</v>
      </c>
      <c r="AB3752">
        <v>0</v>
      </c>
      <c r="AC3752" t="s">
        <v>49</v>
      </c>
      <c r="AD3752">
        <v>0</v>
      </c>
      <c r="AE3752">
        <v>10309082</v>
      </c>
      <c r="AF3752" t="s">
        <v>50</v>
      </c>
      <c r="AG3752" t="s">
        <v>7733</v>
      </c>
    </row>
    <row r="3753" spans="1:33" x14ac:dyDescent="0.35">
      <c r="A3753" s="1">
        <v>44648.768750000003</v>
      </c>
      <c r="B3753">
        <v>4851879</v>
      </c>
      <c r="C3753" t="s">
        <v>7725</v>
      </c>
      <c r="D3753" t="s">
        <v>115</v>
      </c>
      <c r="E3753" s="2">
        <v>42863</v>
      </c>
      <c r="F3753" t="str">
        <f>"9783110493016"</f>
        <v>9783110493016</v>
      </c>
      <c r="G3753" t="str">
        <f>"9783110478662"</f>
        <v>9783110478662</v>
      </c>
      <c r="H3753" t="s">
        <v>498</v>
      </c>
      <c r="I3753">
        <v>142.78</v>
      </c>
      <c r="J3753" t="s">
        <v>7726</v>
      </c>
      <c r="K3753" t="s">
        <v>44</v>
      </c>
      <c r="N3753" t="s">
        <v>45</v>
      </c>
      <c r="O3753" t="s">
        <v>46</v>
      </c>
      <c r="P3753" t="s">
        <v>45</v>
      </c>
      <c r="Q3753" t="s">
        <v>47</v>
      </c>
      <c r="R3753" t="s">
        <v>44</v>
      </c>
      <c r="S3753">
        <v>0</v>
      </c>
      <c r="W3753" s="3">
        <v>2.9803240740740741E-2</v>
      </c>
      <c r="X3753" t="s">
        <v>7741</v>
      </c>
      <c r="Y3753">
        <v>21</v>
      </c>
      <c r="Z3753">
        <v>0</v>
      </c>
      <c r="AA3753" t="s">
        <v>49</v>
      </c>
      <c r="AB3753">
        <v>0</v>
      </c>
      <c r="AC3753" t="s">
        <v>7742</v>
      </c>
      <c r="AD3753">
        <v>1</v>
      </c>
      <c r="AE3753">
        <v>11380724</v>
      </c>
      <c r="AF3753" t="s">
        <v>50</v>
      </c>
      <c r="AG3753" t="s">
        <v>7493</v>
      </c>
    </row>
    <row r="3754" spans="1:33" x14ac:dyDescent="0.35">
      <c r="A3754" s="1">
        <v>44648.743750000001</v>
      </c>
      <c r="B3754">
        <v>437502</v>
      </c>
      <c r="C3754" t="s">
        <v>7743</v>
      </c>
      <c r="D3754" t="s">
        <v>59</v>
      </c>
      <c r="E3754" s="2">
        <v>39762</v>
      </c>
      <c r="F3754" t="str">
        <f>"9781444304664"</f>
        <v>9781444304664</v>
      </c>
      <c r="G3754" t="str">
        <f>"9781405142786"</f>
        <v>9781405142786</v>
      </c>
      <c r="H3754" t="s">
        <v>498</v>
      </c>
      <c r="I3754">
        <v>198.9</v>
      </c>
      <c r="J3754" t="s">
        <v>7744</v>
      </c>
      <c r="K3754" t="s">
        <v>44</v>
      </c>
      <c r="N3754" t="s">
        <v>45</v>
      </c>
      <c r="O3754" t="s">
        <v>46</v>
      </c>
      <c r="P3754" t="s">
        <v>45</v>
      </c>
      <c r="Q3754" t="s">
        <v>47</v>
      </c>
      <c r="R3754" t="s">
        <v>44</v>
      </c>
      <c r="S3754">
        <v>0</v>
      </c>
      <c r="W3754" s="3">
        <v>2.0775462962962964E-2</v>
      </c>
      <c r="X3754" t="s">
        <v>7745</v>
      </c>
      <c r="Y3754">
        <v>36</v>
      </c>
      <c r="Z3754">
        <v>0</v>
      </c>
      <c r="AA3754" t="s">
        <v>49</v>
      </c>
      <c r="AB3754">
        <v>0</v>
      </c>
      <c r="AC3754" t="s">
        <v>49</v>
      </c>
      <c r="AD3754">
        <v>0</v>
      </c>
      <c r="AE3754">
        <v>10301010</v>
      </c>
      <c r="AF3754" t="s">
        <v>50</v>
      </c>
      <c r="AG3754" t="s">
        <v>7493</v>
      </c>
    </row>
    <row r="3755" spans="1:33" x14ac:dyDescent="0.35">
      <c r="A3755" s="1">
        <v>44648.727777777778</v>
      </c>
      <c r="B3755">
        <v>743242</v>
      </c>
      <c r="C3755" t="s">
        <v>7743</v>
      </c>
      <c r="D3755" t="s">
        <v>497</v>
      </c>
      <c r="E3755" s="2">
        <v>36999</v>
      </c>
      <c r="F3755" t="str">
        <f>"9781441175892"</f>
        <v>9781441175892</v>
      </c>
      <c r="G3755" t="str">
        <f>"9780826450869"</f>
        <v>9780826450869</v>
      </c>
      <c r="H3755" t="s">
        <v>157</v>
      </c>
      <c r="I3755" t="s">
        <v>7746</v>
      </c>
      <c r="J3755" t="s">
        <v>7747</v>
      </c>
      <c r="K3755" t="s">
        <v>44</v>
      </c>
      <c r="N3755" t="s">
        <v>45</v>
      </c>
      <c r="O3755" t="s">
        <v>46</v>
      </c>
      <c r="P3755" t="s">
        <v>45</v>
      </c>
      <c r="Q3755" t="s">
        <v>47</v>
      </c>
      <c r="R3755" t="s">
        <v>44</v>
      </c>
      <c r="S3755">
        <v>0</v>
      </c>
      <c r="W3755" s="3">
        <v>5.2893518518518515E-3</v>
      </c>
      <c r="X3755" t="s">
        <v>7748</v>
      </c>
      <c r="Y3755">
        <v>13</v>
      </c>
      <c r="Z3755">
        <v>0</v>
      </c>
      <c r="AA3755" t="s">
        <v>49</v>
      </c>
      <c r="AB3755">
        <v>0</v>
      </c>
      <c r="AC3755" t="s">
        <v>49</v>
      </c>
      <c r="AD3755">
        <v>0</v>
      </c>
      <c r="AE3755">
        <v>10487999</v>
      </c>
      <c r="AF3755" t="s">
        <v>50</v>
      </c>
      <c r="AG3755" t="s">
        <v>7493</v>
      </c>
    </row>
    <row r="3756" spans="1:33" x14ac:dyDescent="0.35">
      <c r="A3756" s="1">
        <v>44648.497916666667</v>
      </c>
      <c r="B3756">
        <v>1679324</v>
      </c>
      <c r="C3756" t="s">
        <v>7749</v>
      </c>
      <c r="D3756" t="s">
        <v>71</v>
      </c>
      <c r="E3756" s="2">
        <v>39521</v>
      </c>
      <c r="F3756" t="str">
        <f>"9789812791696"</f>
        <v>9789812791696</v>
      </c>
      <c r="G3756" t="str">
        <f>"9789812791689"</f>
        <v>9789812791689</v>
      </c>
      <c r="H3756" t="s">
        <v>133</v>
      </c>
      <c r="I3756">
        <v>332.01</v>
      </c>
      <c r="J3756" t="s">
        <v>7750</v>
      </c>
      <c r="K3756" t="s">
        <v>44</v>
      </c>
      <c r="N3756" t="s">
        <v>45</v>
      </c>
      <c r="O3756" t="s">
        <v>46</v>
      </c>
      <c r="P3756" t="s">
        <v>45</v>
      </c>
      <c r="Q3756" t="s">
        <v>47</v>
      </c>
      <c r="R3756" t="s">
        <v>44</v>
      </c>
      <c r="S3756">
        <v>1</v>
      </c>
      <c r="W3756" s="3">
        <v>0</v>
      </c>
      <c r="X3756" t="s">
        <v>49</v>
      </c>
      <c r="Y3756">
        <v>0</v>
      </c>
      <c r="Z3756">
        <v>0</v>
      </c>
      <c r="AA3756" t="s">
        <v>49</v>
      </c>
      <c r="AB3756">
        <v>0</v>
      </c>
      <c r="AC3756" t="s">
        <v>49</v>
      </c>
      <c r="AD3756">
        <v>0</v>
      </c>
      <c r="AE3756">
        <v>10255376</v>
      </c>
      <c r="AF3756" t="s">
        <v>63</v>
      </c>
      <c r="AG3756" t="s">
        <v>7751</v>
      </c>
    </row>
    <row r="3757" spans="1:33" x14ac:dyDescent="0.35">
      <c r="A3757" s="1">
        <v>44647.648611111108</v>
      </c>
      <c r="B3757">
        <v>534171</v>
      </c>
      <c r="C3757" t="s">
        <v>7752</v>
      </c>
      <c r="D3757" t="s">
        <v>132</v>
      </c>
      <c r="E3757" s="2">
        <v>40079</v>
      </c>
      <c r="F3757" t="str">
        <f>"9780804772990"</f>
        <v>9780804772990</v>
      </c>
      <c r="G3757" t="str">
        <f>"9780804761253"</f>
        <v>9780804761253</v>
      </c>
      <c r="H3757" t="s">
        <v>658</v>
      </c>
      <c r="I3757">
        <v>760.09199999999998</v>
      </c>
      <c r="J3757" t="s">
        <v>7753</v>
      </c>
      <c r="K3757" t="s">
        <v>44</v>
      </c>
      <c r="N3757" t="s">
        <v>45</v>
      </c>
      <c r="O3757" t="s">
        <v>46</v>
      </c>
      <c r="P3757" t="s">
        <v>45</v>
      </c>
      <c r="Q3757" t="s">
        <v>47</v>
      </c>
      <c r="R3757" t="s">
        <v>44</v>
      </c>
      <c r="S3757">
        <v>0</v>
      </c>
      <c r="W3757" s="3">
        <v>4.1898148148148146E-3</v>
      </c>
      <c r="X3757" t="s">
        <v>7754</v>
      </c>
      <c r="Y3757">
        <v>24</v>
      </c>
      <c r="Z3757">
        <v>0</v>
      </c>
      <c r="AA3757" t="s">
        <v>49</v>
      </c>
      <c r="AB3757">
        <v>0</v>
      </c>
      <c r="AC3757" t="s">
        <v>49</v>
      </c>
      <c r="AD3757">
        <v>0</v>
      </c>
      <c r="AE3757">
        <v>10387233</v>
      </c>
      <c r="AF3757" t="s">
        <v>50</v>
      </c>
      <c r="AG3757" t="s">
        <v>7493</v>
      </c>
    </row>
    <row r="3758" spans="1:33" x14ac:dyDescent="0.35">
      <c r="A3758" s="1">
        <v>44647.645833333336</v>
      </c>
      <c r="B3758">
        <v>4357203</v>
      </c>
      <c r="C3758" t="s">
        <v>7755</v>
      </c>
      <c r="D3758" t="s">
        <v>3894</v>
      </c>
      <c r="E3758" s="2">
        <v>41334</v>
      </c>
      <c r="F3758" t="str">
        <f>"9781783107537"</f>
        <v>9781783107537</v>
      </c>
      <c r="G3758" t="str">
        <f>"9781844848836"</f>
        <v>9781844848836</v>
      </c>
      <c r="H3758" t="s">
        <v>658</v>
      </c>
      <c r="I3758">
        <v>759.94939999999997</v>
      </c>
      <c r="K3758" t="s">
        <v>44</v>
      </c>
      <c r="N3758" t="s">
        <v>45</v>
      </c>
      <c r="O3758" t="s">
        <v>46</v>
      </c>
      <c r="P3758" t="s">
        <v>177</v>
      </c>
      <c r="Q3758" t="s">
        <v>47</v>
      </c>
      <c r="R3758" t="s">
        <v>55</v>
      </c>
      <c r="S3758">
        <v>0</v>
      </c>
      <c r="W3758" s="3">
        <v>1.7824074074074072E-3</v>
      </c>
      <c r="X3758" t="s">
        <v>7756</v>
      </c>
      <c r="Y3758">
        <v>22</v>
      </c>
      <c r="Z3758">
        <v>0</v>
      </c>
      <c r="AA3758" t="s">
        <v>49</v>
      </c>
      <c r="AB3758">
        <v>0</v>
      </c>
      <c r="AC3758" t="s">
        <v>49</v>
      </c>
      <c r="AD3758">
        <v>0</v>
      </c>
      <c r="AE3758">
        <v>11168534</v>
      </c>
      <c r="AF3758" t="s">
        <v>50</v>
      </c>
      <c r="AG3758" t="s">
        <v>7493</v>
      </c>
    </row>
    <row r="3759" spans="1:33" x14ac:dyDescent="0.35">
      <c r="A3759" s="1">
        <v>44647.609027777777</v>
      </c>
      <c r="B3759">
        <v>6237605</v>
      </c>
      <c r="C3759" t="s">
        <v>7757</v>
      </c>
      <c r="D3759" t="s">
        <v>257</v>
      </c>
      <c r="E3759" s="2">
        <v>44008</v>
      </c>
      <c r="F3759" t="str">
        <f>"9781484250709"</f>
        <v>9781484250709</v>
      </c>
      <c r="G3759" t="str">
        <f>"9781484250693"</f>
        <v>9781484250693</v>
      </c>
      <c r="H3759" t="s">
        <v>138</v>
      </c>
      <c r="I3759">
        <v>4.6779999999999902</v>
      </c>
      <c r="J3759" t="s">
        <v>7758</v>
      </c>
      <c r="K3759" t="s">
        <v>55</v>
      </c>
      <c r="Q3759" t="s">
        <v>47</v>
      </c>
      <c r="R3759" t="s">
        <v>44</v>
      </c>
      <c r="S3759">
        <v>0</v>
      </c>
      <c r="W3759" s="3">
        <v>2.5115740740740741E-3</v>
      </c>
      <c r="X3759" t="s">
        <v>7759</v>
      </c>
      <c r="Y3759">
        <v>8</v>
      </c>
      <c r="Z3759">
        <v>0</v>
      </c>
      <c r="AA3759" t="s">
        <v>49</v>
      </c>
      <c r="AB3759">
        <v>0</v>
      </c>
      <c r="AC3759" t="s">
        <v>49</v>
      </c>
      <c r="AD3759">
        <v>0</v>
      </c>
      <c r="AE3759">
        <v>-1</v>
      </c>
      <c r="AF3759" t="s">
        <v>50</v>
      </c>
      <c r="AG3759" t="s">
        <v>7760</v>
      </c>
    </row>
    <row r="3760" spans="1:33" x14ac:dyDescent="0.35">
      <c r="A3760" s="1">
        <v>44647.581250000003</v>
      </c>
      <c r="B3760">
        <v>3378373</v>
      </c>
      <c r="C3760" t="s">
        <v>7761</v>
      </c>
      <c r="D3760" t="s">
        <v>175</v>
      </c>
      <c r="E3760" s="2">
        <v>39628</v>
      </c>
      <c r="F3760" t="str">
        <f>"9780309113847"</f>
        <v>9780309113847</v>
      </c>
      <c r="G3760" t="str">
        <f>"9780309113830"</f>
        <v>9780309113830</v>
      </c>
      <c r="H3760" t="s">
        <v>3034</v>
      </c>
      <c r="K3760" t="s">
        <v>44</v>
      </c>
      <c r="N3760" t="s">
        <v>45</v>
      </c>
      <c r="O3760" t="s">
        <v>46</v>
      </c>
      <c r="P3760" t="s">
        <v>177</v>
      </c>
      <c r="Q3760" t="s">
        <v>47</v>
      </c>
      <c r="R3760" t="s">
        <v>55</v>
      </c>
      <c r="S3760">
        <v>0</v>
      </c>
      <c r="W3760" s="3">
        <v>2.3055555555555555E-2</v>
      </c>
      <c r="X3760" t="s">
        <v>7762</v>
      </c>
      <c r="Y3760">
        <v>29</v>
      </c>
      <c r="Z3760">
        <v>0</v>
      </c>
      <c r="AA3760" t="s">
        <v>49</v>
      </c>
      <c r="AB3760">
        <v>0</v>
      </c>
      <c r="AC3760" t="s">
        <v>49</v>
      </c>
      <c r="AD3760">
        <v>0</v>
      </c>
      <c r="AE3760">
        <v>10237093</v>
      </c>
      <c r="AF3760" t="s">
        <v>50</v>
      </c>
      <c r="AG3760" t="s">
        <v>7605</v>
      </c>
    </row>
    <row r="3761" spans="1:33" x14ac:dyDescent="0.35">
      <c r="A3761" s="1">
        <v>44647.357638888891</v>
      </c>
      <c r="B3761">
        <v>987041</v>
      </c>
      <c r="C3761" t="s">
        <v>7763</v>
      </c>
      <c r="D3761" t="s">
        <v>7030</v>
      </c>
      <c r="E3761" s="2">
        <v>40840</v>
      </c>
      <c r="F3761" t="str">
        <f>"9781579227449"</f>
        <v>9781579227449</v>
      </c>
      <c r="G3761" t="str">
        <f>"9781579227425"</f>
        <v>9781579227425</v>
      </c>
      <c r="H3761" t="s">
        <v>90</v>
      </c>
      <c r="I3761">
        <v>370.154</v>
      </c>
      <c r="J3761" t="s">
        <v>7764</v>
      </c>
      <c r="K3761" t="s">
        <v>44</v>
      </c>
      <c r="N3761" t="s">
        <v>45</v>
      </c>
      <c r="O3761" t="s">
        <v>46</v>
      </c>
      <c r="P3761" t="s">
        <v>45</v>
      </c>
      <c r="Q3761" t="s">
        <v>47</v>
      </c>
      <c r="R3761" t="s">
        <v>44</v>
      </c>
      <c r="S3761">
        <v>0</v>
      </c>
      <c r="W3761" s="3">
        <v>5.3240740740740744E-4</v>
      </c>
      <c r="X3761" t="s">
        <v>7765</v>
      </c>
      <c r="Y3761">
        <v>17</v>
      </c>
      <c r="Z3761">
        <v>0</v>
      </c>
      <c r="AA3761" t="s">
        <v>49</v>
      </c>
      <c r="AB3761">
        <v>0</v>
      </c>
      <c r="AC3761" t="s">
        <v>49</v>
      </c>
      <c r="AD3761">
        <v>0</v>
      </c>
      <c r="AE3761">
        <v>10583861</v>
      </c>
      <c r="AF3761" t="s">
        <v>50</v>
      </c>
      <c r="AG3761" t="s">
        <v>7493</v>
      </c>
    </row>
    <row r="3762" spans="1:33" x14ac:dyDescent="0.35">
      <c r="A3762" s="1">
        <v>44647.355555555558</v>
      </c>
      <c r="B3762">
        <v>1119448</v>
      </c>
      <c r="C3762" t="s">
        <v>7766</v>
      </c>
      <c r="D3762" t="s">
        <v>59</v>
      </c>
      <c r="E3762" s="2">
        <v>41331</v>
      </c>
      <c r="F3762" t="str">
        <f>"9781118416167"</f>
        <v>9781118416167</v>
      </c>
      <c r="G3762" t="str">
        <f>"9781118119280"</f>
        <v>9781118119280</v>
      </c>
      <c r="H3762" t="s">
        <v>90</v>
      </c>
      <c r="I3762" t="s">
        <v>7767</v>
      </c>
      <c r="J3762" t="s">
        <v>7768</v>
      </c>
      <c r="K3762" t="s">
        <v>44</v>
      </c>
      <c r="N3762" t="s">
        <v>45</v>
      </c>
      <c r="O3762" t="s">
        <v>46</v>
      </c>
      <c r="P3762" t="s">
        <v>45</v>
      </c>
      <c r="Q3762" t="s">
        <v>47</v>
      </c>
      <c r="R3762" t="s">
        <v>44</v>
      </c>
      <c r="S3762">
        <v>0</v>
      </c>
      <c r="W3762" s="3">
        <v>1.7708333333333332E-3</v>
      </c>
      <c r="X3762" t="s">
        <v>7769</v>
      </c>
      <c r="Y3762">
        <v>18</v>
      </c>
      <c r="Z3762">
        <v>0</v>
      </c>
      <c r="AA3762" t="s">
        <v>49</v>
      </c>
      <c r="AB3762">
        <v>0</v>
      </c>
      <c r="AC3762" t="s">
        <v>49</v>
      </c>
      <c r="AD3762">
        <v>0</v>
      </c>
      <c r="AE3762">
        <v>10653948</v>
      </c>
      <c r="AF3762" t="s">
        <v>50</v>
      </c>
      <c r="AG3762" t="s">
        <v>7493</v>
      </c>
    </row>
    <row r="3763" spans="1:33" x14ac:dyDescent="0.35">
      <c r="A3763" s="1">
        <v>44647.341666666667</v>
      </c>
      <c r="B3763">
        <v>3040226</v>
      </c>
      <c r="C3763" t="s">
        <v>7770</v>
      </c>
      <c r="D3763" t="s">
        <v>1224</v>
      </c>
      <c r="E3763" s="2">
        <v>36237</v>
      </c>
      <c r="F3763" t="str">
        <f>"9783110803488"</f>
        <v>9783110803488</v>
      </c>
      <c r="G3763" t="str">
        <f>"9783110161335"</f>
        <v>9783110161335</v>
      </c>
      <c r="H3763" t="s">
        <v>7771</v>
      </c>
      <c r="I3763">
        <v>156.31</v>
      </c>
      <c r="J3763" t="s">
        <v>7772</v>
      </c>
      <c r="K3763" t="s">
        <v>44</v>
      </c>
      <c r="N3763" t="s">
        <v>45</v>
      </c>
      <c r="O3763" t="s">
        <v>46</v>
      </c>
      <c r="P3763" t="s">
        <v>45</v>
      </c>
      <c r="Q3763" t="s">
        <v>47</v>
      </c>
      <c r="R3763" t="s">
        <v>44</v>
      </c>
      <c r="S3763">
        <v>0</v>
      </c>
      <c r="W3763" s="3">
        <v>1.423611111111111E-3</v>
      </c>
      <c r="X3763" t="s">
        <v>7773</v>
      </c>
      <c r="Y3763">
        <v>9</v>
      </c>
      <c r="Z3763">
        <v>0</v>
      </c>
      <c r="AA3763" t="s">
        <v>49</v>
      </c>
      <c r="AB3763">
        <v>0</v>
      </c>
      <c r="AC3763" t="s">
        <v>49</v>
      </c>
      <c r="AD3763">
        <v>0</v>
      </c>
      <c r="AE3763">
        <v>10585221</v>
      </c>
      <c r="AF3763" t="s">
        <v>50</v>
      </c>
      <c r="AG3763" t="s">
        <v>7493</v>
      </c>
    </row>
    <row r="3764" spans="1:33" x14ac:dyDescent="0.35">
      <c r="A3764" s="1">
        <v>44646.885416666664</v>
      </c>
      <c r="B3764">
        <v>818484</v>
      </c>
      <c r="C3764" t="s">
        <v>7774</v>
      </c>
      <c r="D3764" t="s">
        <v>59</v>
      </c>
      <c r="E3764" s="2">
        <v>40940</v>
      </c>
      <c r="F3764" t="str">
        <f>"9781118153796"</f>
        <v>9781118153796</v>
      </c>
      <c r="G3764" t="str">
        <f>"9781118153772"</f>
        <v>9781118153772</v>
      </c>
      <c r="H3764" t="s">
        <v>667</v>
      </c>
      <c r="I3764" t="s">
        <v>7775</v>
      </c>
      <c r="J3764" t="s">
        <v>7776</v>
      </c>
      <c r="K3764" t="s">
        <v>44</v>
      </c>
      <c r="N3764" t="s">
        <v>45</v>
      </c>
      <c r="O3764" t="s">
        <v>46</v>
      </c>
      <c r="P3764" t="s">
        <v>45</v>
      </c>
      <c r="Q3764" t="s">
        <v>47</v>
      </c>
      <c r="R3764" t="s">
        <v>44</v>
      </c>
      <c r="S3764">
        <v>0</v>
      </c>
      <c r="W3764" s="3">
        <v>0</v>
      </c>
      <c r="X3764" t="s">
        <v>3489</v>
      </c>
      <c r="Y3764">
        <v>1</v>
      </c>
      <c r="Z3764">
        <v>0</v>
      </c>
      <c r="AA3764" t="s">
        <v>49</v>
      </c>
      <c r="AB3764">
        <v>0</v>
      </c>
      <c r="AC3764" t="s">
        <v>49</v>
      </c>
      <c r="AD3764">
        <v>0</v>
      </c>
      <c r="AE3764">
        <v>10517312</v>
      </c>
      <c r="AF3764" t="s">
        <v>50</v>
      </c>
      <c r="AG3764" t="s">
        <v>7777</v>
      </c>
    </row>
    <row r="3765" spans="1:33" x14ac:dyDescent="0.35">
      <c r="A3765" s="1">
        <v>44646.818055555559</v>
      </c>
      <c r="B3765">
        <v>818484</v>
      </c>
      <c r="C3765" t="s">
        <v>7774</v>
      </c>
      <c r="D3765" t="s">
        <v>59</v>
      </c>
      <c r="E3765" s="2">
        <v>40940</v>
      </c>
      <c r="F3765" t="str">
        <f>"9781118153796"</f>
        <v>9781118153796</v>
      </c>
      <c r="G3765" t="str">
        <f>"9781118153772"</f>
        <v>9781118153772</v>
      </c>
      <c r="H3765" t="s">
        <v>667</v>
      </c>
      <c r="I3765" t="s">
        <v>7775</v>
      </c>
      <c r="J3765" t="s">
        <v>7776</v>
      </c>
      <c r="K3765" t="s">
        <v>44</v>
      </c>
      <c r="N3765" t="s">
        <v>45</v>
      </c>
      <c r="O3765" t="s">
        <v>46</v>
      </c>
      <c r="P3765" t="s">
        <v>45</v>
      </c>
      <c r="Q3765" t="s">
        <v>47</v>
      </c>
      <c r="R3765" t="s">
        <v>44</v>
      </c>
      <c r="S3765">
        <v>0</v>
      </c>
      <c r="W3765" s="3">
        <v>1.6203703703703703E-4</v>
      </c>
      <c r="X3765" t="s">
        <v>7778</v>
      </c>
      <c r="Y3765">
        <v>3</v>
      </c>
      <c r="Z3765">
        <v>0</v>
      </c>
      <c r="AA3765" t="s">
        <v>49</v>
      </c>
      <c r="AB3765">
        <v>0</v>
      </c>
      <c r="AC3765" t="s">
        <v>49</v>
      </c>
      <c r="AD3765">
        <v>0</v>
      </c>
      <c r="AE3765">
        <v>10517312</v>
      </c>
      <c r="AF3765" t="s">
        <v>50</v>
      </c>
      <c r="AG3765" t="s">
        <v>7777</v>
      </c>
    </row>
    <row r="3766" spans="1:33" x14ac:dyDescent="0.35">
      <c r="A3766" s="1">
        <v>44646.651388888888</v>
      </c>
      <c r="B3766">
        <v>1693631</v>
      </c>
      <c r="C3766" t="s">
        <v>7779</v>
      </c>
      <c r="D3766" t="s">
        <v>7257</v>
      </c>
      <c r="E3766" s="2">
        <v>41713</v>
      </c>
      <c r="F3766" t="str">
        <f>"9781780233253"</f>
        <v>9781780233253</v>
      </c>
      <c r="G3766" t="str">
        <f>"9781780232850"</f>
        <v>9781780232850</v>
      </c>
      <c r="H3766" t="s">
        <v>157</v>
      </c>
      <c r="I3766">
        <v>111.5</v>
      </c>
      <c r="J3766" t="s">
        <v>7780</v>
      </c>
      <c r="K3766" t="s">
        <v>44</v>
      </c>
      <c r="N3766" t="s">
        <v>45</v>
      </c>
      <c r="O3766" t="s">
        <v>46</v>
      </c>
      <c r="P3766" t="s">
        <v>177</v>
      </c>
      <c r="Q3766" t="s">
        <v>47</v>
      </c>
      <c r="R3766" t="s">
        <v>55</v>
      </c>
      <c r="S3766">
        <v>0</v>
      </c>
      <c r="W3766" s="3">
        <v>4.3981481481481481E-4</v>
      </c>
      <c r="X3766" t="s">
        <v>7781</v>
      </c>
      <c r="Y3766">
        <v>4</v>
      </c>
      <c r="Z3766">
        <v>0</v>
      </c>
      <c r="AA3766" t="s">
        <v>49</v>
      </c>
      <c r="AB3766">
        <v>0</v>
      </c>
      <c r="AC3766" t="s">
        <v>49</v>
      </c>
      <c r="AD3766">
        <v>0</v>
      </c>
      <c r="AE3766">
        <v>10875747</v>
      </c>
      <c r="AF3766" t="s">
        <v>50</v>
      </c>
      <c r="AG3766" t="s">
        <v>7493</v>
      </c>
    </row>
    <row r="3767" spans="1:33" x14ac:dyDescent="0.35">
      <c r="A3767" s="1">
        <v>44646.521527777775</v>
      </c>
      <c r="B3767">
        <v>674681</v>
      </c>
      <c r="C3767" t="s">
        <v>2496</v>
      </c>
      <c r="D3767" t="s">
        <v>502</v>
      </c>
      <c r="E3767" s="2">
        <v>40612</v>
      </c>
      <c r="F3767" t="str">
        <f>"9781139045032"</f>
        <v>9781139045032</v>
      </c>
      <c r="G3767" t="str">
        <f>"9780521865012"</f>
        <v>9780521865012</v>
      </c>
      <c r="H3767" t="s">
        <v>2497</v>
      </c>
      <c r="I3767" t="s">
        <v>2498</v>
      </c>
      <c r="J3767" t="s">
        <v>2499</v>
      </c>
      <c r="K3767" t="s">
        <v>55</v>
      </c>
      <c r="N3767" t="s">
        <v>45</v>
      </c>
      <c r="O3767" t="s">
        <v>46</v>
      </c>
      <c r="P3767" t="s">
        <v>45</v>
      </c>
      <c r="Q3767" t="s">
        <v>47</v>
      </c>
      <c r="R3767" t="s">
        <v>44</v>
      </c>
      <c r="S3767">
        <v>0</v>
      </c>
      <c r="W3767" s="3">
        <v>1.1226851851851851E-3</v>
      </c>
      <c r="X3767" t="s">
        <v>7782</v>
      </c>
      <c r="Y3767">
        <v>6</v>
      </c>
      <c r="Z3767">
        <v>0</v>
      </c>
      <c r="AA3767" t="s">
        <v>49</v>
      </c>
      <c r="AB3767">
        <v>0</v>
      </c>
      <c r="AC3767" t="s">
        <v>49</v>
      </c>
      <c r="AD3767">
        <v>0</v>
      </c>
      <c r="AE3767">
        <v>10460494</v>
      </c>
      <c r="AF3767" t="s">
        <v>50</v>
      </c>
      <c r="AG3767" t="s">
        <v>7493</v>
      </c>
    </row>
    <row r="3768" spans="1:33" x14ac:dyDescent="0.35">
      <c r="A3768" s="1">
        <v>44646.293055555558</v>
      </c>
      <c r="B3768">
        <v>4509475</v>
      </c>
      <c r="C3768" t="s">
        <v>7783</v>
      </c>
      <c r="D3768" t="s">
        <v>5521</v>
      </c>
      <c r="E3768" s="2">
        <v>42144</v>
      </c>
      <c r="F3768" t="str">
        <f>"9788793237049"</f>
        <v>9788793237049</v>
      </c>
      <c r="G3768" t="str">
        <f>"9788793237032"</f>
        <v>9788793237032</v>
      </c>
      <c r="H3768" t="s">
        <v>535</v>
      </c>
      <c r="K3768" t="s">
        <v>44</v>
      </c>
      <c r="N3768" t="s">
        <v>45</v>
      </c>
      <c r="O3768" t="s">
        <v>46</v>
      </c>
      <c r="P3768" t="s">
        <v>177</v>
      </c>
      <c r="Q3768" t="s">
        <v>47</v>
      </c>
      <c r="R3768" t="s">
        <v>55</v>
      </c>
      <c r="S3768">
        <v>0</v>
      </c>
      <c r="W3768" s="3">
        <v>3.2638888888888891E-3</v>
      </c>
      <c r="X3768" t="s">
        <v>7784</v>
      </c>
      <c r="Y3768">
        <v>16</v>
      </c>
      <c r="Z3768">
        <v>0</v>
      </c>
      <c r="AA3768" t="s">
        <v>49</v>
      </c>
      <c r="AB3768">
        <v>0</v>
      </c>
      <c r="AC3768" t="s">
        <v>49</v>
      </c>
      <c r="AD3768">
        <v>0</v>
      </c>
      <c r="AE3768">
        <v>11247332</v>
      </c>
      <c r="AF3768" t="s">
        <v>63</v>
      </c>
      <c r="AG3768" t="s">
        <v>7760</v>
      </c>
    </row>
    <row r="3769" spans="1:33" x14ac:dyDescent="0.35">
      <c r="A3769" s="1">
        <v>44646.056944444441</v>
      </c>
      <c r="B3769">
        <v>280599</v>
      </c>
      <c r="C3769" t="s">
        <v>7785</v>
      </c>
      <c r="D3769" t="s">
        <v>473</v>
      </c>
      <c r="E3769" s="2">
        <v>38265</v>
      </c>
      <c r="F3769" t="str">
        <f>"9781433705762"</f>
        <v>9781433705762</v>
      </c>
      <c r="G3769" t="str">
        <f>"9789004142336"</f>
        <v>9789004142336</v>
      </c>
      <c r="H3769" t="s">
        <v>712</v>
      </c>
      <c r="K3769" t="s">
        <v>44</v>
      </c>
      <c r="N3769" t="s">
        <v>45</v>
      </c>
      <c r="O3769" t="s">
        <v>46</v>
      </c>
      <c r="P3769" t="s">
        <v>45</v>
      </c>
      <c r="Q3769" t="s">
        <v>47</v>
      </c>
      <c r="R3769" t="s">
        <v>44</v>
      </c>
      <c r="S3769">
        <v>0</v>
      </c>
      <c r="W3769" s="3">
        <v>4.9768518518518521E-4</v>
      </c>
      <c r="X3769" t="s">
        <v>7786</v>
      </c>
      <c r="Y3769">
        <v>5</v>
      </c>
      <c r="Z3769">
        <v>0</v>
      </c>
      <c r="AA3769" t="s">
        <v>49</v>
      </c>
      <c r="AB3769">
        <v>0</v>
      </c>
      <c r="AC3769" t="s">
        <v>49</v>
      </c>
      <c r="AD3769">
        <v>0</v>
      </c>
      <c r="AE3769">
        <v>10171750</v>
      </c>
      <c r="AF3769" t="s">
        <v>50</v>
      </c>
      <c r="AG3769" t="s">
        <v>7642</v>
      </c>
    </row>
    <row r="3770" spans="1:33" x14ac:dyDescent="0.35">
      <c r="A3770" s="1">
        <v>44646.046527777777</v>
      </c>
      <c r="B3770">
        <v>345467</v>
      </c>
      <c r="C3770" t="s">
        <v>7787</v>
      </c>
      <c r="D3770" t="s">
        <v>2754</v>
      </c>
      <c r="E3770" s="2">
        <v>28491</v>
      </c>
      <c r="F3770" t="str">
        <f>"9780816663668"</f>
        <v>9780816663668</v>
      </c>
      <c r="G3770" t="str">
        <f>"9780816608317"</f>
        <v>9780816608317</v>
      </c>
      <c r="H3770" t="s">
        <v>7788</v>
      </c>
      <c r="I3770" t="s">
        <v>7789</v>
      </c>
      <c r="J3770" t="s">
        <v>7790</v>
      </c>
      <c r="K3770" t="s">
        <v>44</v>
      </c>
      <c r="N3770" t="s">
        <v>45</v>
      </c>
      <c r="O3770" t="s">
        <v>46</v>
      </c>
      <c r="P3770" t="s">
        <v>45</v>
      </c>
      <c r="Q3770" t="s">
        <v>47</v>
      </c>
      <c r="R3770" t="s">
        <v>44</v>
      </c>
      <c r="S3770">
        <v>0</v>
      </c>
      <c r="W3770" s="3">
        <v>9.525462962962963E-3</v>
      </c>
      <c r="X3770" t="s">
        <v>7791</v>
      </c>
      <c r="Y3770">
        <v>12</v>
      </c>
      <c r="Z3770">
        <v>0</v>
      </c>
      <c r="AA3770" t="s">
        <v>49</v>
      </c>
      <c r="AB3770">
        <v>0</v>
      </c>
      <c r="AC3770" t="s">
        <v>49</v>
      </c>
      <c r="AD3770">
        <v>0</v>
      </c>
      <c r="AE3770">
        <v>10231166</v>
      </c>
      <c r="AF3770" t="s">
        <v>50</v>
      </c>
      <c r="AG3770" t="s">
        <v>7642</v>
      </c>
    </row>
    <row r="3771" spans="1:33" x14ac:dyDescent="0.35">
      <c r="A3771" s="1">
        <v>44645.994444444441</v>
      </c>
      <c r="B3771">
        <v>345467</v>
      </c>
      <c r="C3771" t="s">
        <v>7787</v>
      </c>
      <c r="D3771" t="s">
        <v>2754</v>
      </c>
      <c r="E3771" s="2">
        <v>28491</v>
      </c>
      <c r="F3771" t="str">
        <f>"9780816663668"</f>
        <v>9780816663668</v>
      </c>
      <c r="G3771" t="str">
        <f>"9780816608317"</f>
        <v>9780816608317</v>
      </c>
      <c r="H3771" t="s">
        <v>7788</v>
      </c>
      <c r="I3771" t="s">
        <v>7789</v>
      </c>
      <c r="J3771" t="s">
        <v>7790</v>
      </c>
      <c r="K3771" t="s">
        <v>44</v>
      </c>
      <c r="N3771" t="s">
        <v>45</v>
      </c>
      <c r="O3771" t="s">
        <v>46</v>
      </c>
      <c r="P3771" t="s">
        <v>45</v>
      </c>
      <c r="Q3771" t="s">
        <v>47</v>
      </c>
      <c r="R3771" t="s">
        <v>44</v>
      </c>
      <c r="S3771">
        <v>0</v>
      </c>
      <c r="W3771" s="3">
        <v>4.6296296296296294E-5</v>
      </c>
      <c r="X3771" t="s">
        <v>121</v>
      </c>
      <c r="Y3771">
        <v>1</v>
      </c>
      <c r="Z3771">
        <v>0</v>
      </c>
      <c r="AA3771" t="s">
        <v>49</v>
      </c>
      <c r="AB3771">
        <v>0</v>
      </c>
      <c r="AC3771" t="s">
        <v>49</v>
      </c>
      <c r="AD3771">
        <v>0</v>
      </c>
      <c r="AE3771">
        <v>10231166</v>
      </c>
      <c r="AF3771" t="s">
        <v>50</v>
      </c>
      <c r="AG3771" t="s">
        <v>7642</v>
      </c>
    </row>
    <row r="3772" spans="1:33" x14ac:dyDescent="0.35">
      <c r="A3772" s="1">
        <v>44645.952777777777</v>
      </c>
      <c r="B3772">
        <v>876800</v>
      </c>
      <c r="C3772" t="s">
        <v>7668</v>
      </c>
      <c r="D3772" t="s">
        <v>819</v>
      </c>
      <c r="E3772" s="2">
        <v>40996</v>
      </c>
      <c r="F3772" t="str">
        <f>"9780814431610"</f>
        <v>9780814431610</v>
      </c>
      <c r="G3772" t="str">
        <f>"9780814431948"</f>
        <v>9780814431948</v>
      </c>
      <c r="H3772" t="s">
        <v>60</v>
      </c>
      <c r="I3772" t="s">
        <v>1652</v>
      </c>
      <c r="K3772" t="s">
        <v>44</v>
      </c>
      <c r="N3772" t="s">
        <v>45</v>
      </c>
      <c r="O3772" t="s">
        <v>46</v>
      </c>
      <c r="P3772" t="s">
        <v>45</v>
      </c>
      <c r="Q3772" t="s">
        <v>47</v>
      </c>
      <c r="R3772" t="s">
        <v>44</v>
      </c>
      <c r="S3772">
        <v>0</v>
      </c>
      <c r="W3772" s="3">
        <v>3.9259259259259258E-2</v>
      </c>
      <c r="X3772" t="s">
        <v>7792</v>
      </c>
      <c r="Y3772">
        <v>20</v>
      </c>
      <c r="Z3772">
        <v>0</v>
      </c>
      <c r="AA3772" t="s">
        <v>49</v>
      </c>
      <c r="AB3772">
        <v>0</v>
      </c>
      <c r="AC3772" t="s">
        <v>7793</v>
      </c>
      <c r="AD3772">
        <v>9</v>
      </c>
      <c r="AE3772">
        <v>10537998</v>
      </c>
      <c r="AF3772" t="s">
        <v>50</v>
      </c>
      <c r="AG3772" t="s">
        <v>7493</v>
      </c>
    </row>
    <row r="3773" spans="1:33" x14ac:dyDescent="0.35">
      <c r="A3773" s="1">
        <v>44645.872916666667</v>
      </c>
      <c r="B3773">
        <v>876800</v>
      </c>
      <c r="C3773" t="s">
        <v>7668</v>
      </c>
      <c r="D3773" t="s">
        <v>819</v>
      </c>
      <c r="E3773" s="2">
        <v>40996</v>
      </c>
      <c r="F3773" t="str">
        <f>"9780814431610"</f>
        <v>9780814431610</v>
      </c>
      <c r="G3773" t="str">
        <f>"9780814431948"</f>
        <v>9780814431948</v>
      </c>
      <c r="H3773" t="s">
        <v>60</v>
      </c>
      <c r="I3773" t="s">
        <v>1652</v>
      </c>
      <c r="K3773" t="s">
        <v>44</v>
      </c>
      <c r="N3773" t="s">
        <v>45</v>
      </c>
      <c r="O3773" t="s">
        <v>46</v>
      </c>
      <c r="P3773" t="s">
        <v>45</v>
      </c>
      <c r="Q3773" t="s">
        <v>47</v>
      </c>
      <c r="R3773" t="s">
        <v>44</v>
      </c>
      <c r="S3773">
        <v>0</v>
      </c>
      <c r="W3773" s="3">
        <v>1.0578703703703703E-2</v>
      </c>
      <c r="X3773" t="s">
        <v>7794</v>
      </c>
      <c r="Y3773">
        <v>9</v>
      </c>
      <c r="Z3773">
        <v>0</v>
      </c>
      <c r="AA3773" t="s">
        <v>49</v>
      </c>
      <c r="AB3773">
        <v>0</v>
      </c>
      <c r="AC3773" t="s">
        <v>7795</v>
      </c>
      <c r="AD3773">
        <v>1</v>
      </c>
      <c r="AE3773">
        <v>10537998</v>
      </c>
      <c r="AF3773" t="s">
        <v>50</v>
      </c>
      <c r="AG3773" t="s">
        <v>7493</v>
      </c>
    </row>
    <row r="3774" spans="1:33" x14ac:dyDescent="0.35">
      <c r="A3774" s="1">
        <v>44645.854861111111</v>
      </c>
      <c r="B3774">
        <v>818484</v>
      </c>
      <c r="C3774" t="s">
        <v>7774</v>
      </c>
      <c r="D3774" t="s">
        <v>59</v>
      </c>
      <c r="E3774" s="2">
        <v>40940</v>
      </c>
      <c r="F3774" t="str">
        <f>"9781118153796"</f>
        <v>9781118153796</v>
      </c>
      <c r="G3774" t="str">
        <f>"9781118153772"</f>
        <v>9781118153772</v>
      </c>
      <c r="H3774" t="s">
        <v>667</v>
      </c>
      <c r="I3774" t="s">
        <v>7775</v>
      </c>
      <c r="J3774" t="s">
        <v>7776</v>
      </c>
      <c r="K3774" t="s">
        <v>44</v>
      </c>
      <c r="N3774" t="s">
        <v>45</v>
      </c>
      <c r="O3774" t="s">
        <v>46</v>
      </c>
      <c r="P3774" t="s">
        <v>45</v>
      </c>
      <c r="Q3774" t="s">
        <v>47</v>
      </c>
      <c r="R3774" t="s">
        <v>44</v>
      </c>
      <c r="S3774">
        <v>0</v>
      </c>
      <c r="W3774" s="3">
        <v>2.199074074074074E-4</v>
      </c>
      <c r="X3774" t="s">
        <v>7796</v>
      </c>
      <c r="Y3774">
        <v>4</v>
      </c>
      <c r="Z3774">
        <v>0</v>
      </c>
      <c r="AA3774" t="s">
        <v>49</v>
      </c>
      <c r="AB3774">
        <v>0</v>
      </c>
      <c r="AC3774" t="s">
        <v>49</v>
      </c>
      <c r="AD3774">
        <v>0</v>
      </c>
      <c r="AE3774">
        <v>10517312</v>
      </c>
      <c r="AF3774" t="s">
        <v>50</v>
      </c>
      <c r="AG3774" t="s">
        <v>7777</v>
      </c>
    </row>
    <row r="3775" spans="1:33" x14ac:dyDescent="0.35">
      <c r="A3775" s="1">
        <v>44645.740972222222</v>
      </c>
      <c r="B3775">
        <v>1057557</v>
      </c>
      <c r="C3775" t="s">
        <v>7797</v>
      </c>
      <c r="D3775" t="s">
        <v>502</v>
      </c>
      <c r="E3775" s="2">
        <v>41211</v>
      </c>
      <c r="F3775" t="str">
        <f>"9781139845380"</f>
        <v>9781139845380</v>
      </c>
      <c r="G3775" t="str">
        <f>"9781107031852"</f>
        <v>9781107031852</v>
      </c>
      <c r="H3775" t="s">
        <v>7798</v>
      </c>
      <c r="I3775" t="s">
        <v>7799</v>
      </c>
      <c r="J3775" t="s">
        <v>7800</v>
      </c>
      <c r="K3775" t="s">
        <v>44</v>
      </c>
      <c r="N3775" t="s">
        <v>45</v>
      </c>
      <c r="O3775" t="s">
        <v>46</v>
      </c>
      <c r="P3775" t="s">
        <v>45</v>
      </c>
      <c r="Q3775" t="s">
        <v>47</v>
      </c>
      <c r="R3775" t="s">
        <v>44</v>
      </c>
      <c r="S3775">
        <v>0</v>
      </c>
      <c r="W3775" s="3">
        <v>2.6469907407407411E-2</v>
      </c>
      <c r="X3775" t="s">
        <v>7801</v>
      </c>
      <c r="Y3775">
        <v>27</v>
      </c>
      <c r="Z3775">
        <v>0</v>
      </c>
      <c r="AA3775" t="s">
        <v>49</v>
      </c>
      <c r="AB3775">
        <v>0</v>
      </c>
      <c r="AC3775" t="s">
        <v>49</v>
      </c>
      <c r="AD3775">
        <v>0</v>
      </c>
      <c r="AE3775">
        <v>10628050</v>
      </c>
      <c r="AF3775" t="s">
        <v>50</v>
      </c>
      <c r="AG3775" t="s">
        <v>7642</v>
      </c>
    </row>
    <row r="3776" spans="1:33" x14ac:dyDescent="0.35">
      <c r="A3776" s="1">
        <v>44645.71875</v>
      </c>
      <c r="B3776">
        <v>876800</v>
      </c>
      <c r="C3776" t="s">
        <v>7668</v>
      </c>
      <c r="D3776" t="s">
        <v>819</v>
      </c>
      <c r="E3776" s="2">
        <v>40996</v>
      </c>
      <c r="F3776" t="str">
        <f>"9780814431610"</f>
        <v>9780814431610</v>
      </c>
      <c r="G3776" t="str">
        <f>"9780814431948"</f>
        <v>9780814431948</v>
      </c>
      <c r="H3776" t="s">
        <v>60</v>
      </c>
      <c r="I3776" t="s">
        <v>1652</v>
      </c>
      <c r="K3776" t="s">
        <v>44</v>
      </c>
      <c r="N3776" t="s">
        <v>45</v>
      </c>
      <c r="O3776" t="s">
        <v>46</v>
      </c>
      <c r="P3776" t="s">
        <v>45</v>
      </c>
      <c r="Q3776" t="s">
        <v>47</v>
      </c>
      <c r="R3776" t="s">
        <v>44</v>
      </c>
      <c r="S3776">
        <v>0</v>
      </c>
      <c r="W3776" s="3">
        <v>2.1817129629629631E-2</v>
      </c>
      <c r="X3776" t="s">
        <v>7802</v>
      </c>
      <c r="Y3776">
        <v>23</v>
      </c>
      <c r="Z3776">
        <v>0</v>
      </c>
      <c r="AA3776" t="s">
        <v>49</v>
      </c>
      <c r="AB3776">
        <v>0</v>
      </c>
      <c r="AC3776" t="s">
        <v>7803</v>
      </c>
      <c r="AD3776">
        <v>12</v>
      </c>
      <c r="AE3776">
        <v>10537998</v>
      </c>
      <c r="AF3776" t="s">
        <v>50</v>
      </c>
      <c r="AG3776" t="s">
        <v>7493</v>
      </c>
    </row>
    <row r="3777" spans="1:33" x14ac:dyDescent="0.35">
      <c r="A3777" s="1">
        <v>44645.717361111114</v>
      </c>
      <c r="B3777">
        <v>818484</v>
      </c>
      <c r="C3777" t="s">
        <v>7774</v>
      </c>
      <c r="D3777" t="s">
        <v>59</v>
      </c>
      <c r="E3777" s="2">
        <v>40940</v>
      </c>
      <c r="F3777" t="str">
        <f>"9781118153796"</f>
        <v>9781118153796</v>
      </c>
      <c r="G3777" t="str">
        <f>"9781118153772"</f>
        <v>9781118153772</v>
      </c>
      <c r="H3777" t="s">
        <v>667</v>
      </c>
      <c r="I3777" t="s">
        <v>7775</v>
      </c>
      <c r="J3777" t="s">
        <v>7776</v>
      </c>
      <c r="K3777" t="s">
        <v>44</v>
      </c>
      <c r="N3777" t="s">
        <v>45</v>
      </c>
      <c r="O3777" t="s">
        <v>46</v>
      </c>
      <c r="P3777" t="s">
        <v>45</v>
      </c>
      <c r="Q3777" t="s">
        <v>47</v>
      </c>
      <c r="R3777" t="s">
        <v>44</v>
      </c>
      <c r="S3777">
        <v>1</v>
      </c>
      <c r="W3777" s="3">
        <v>6.4583333333333333E-3</v>
      </c>
      <c r="X3777" t="s">
        <v>7804</v>
      </c>
      <c r="Y3777">
        <v>16</v>
      </c>
      <c r="Z3777">
        <v>0</v>
      </c>
      <c r="AA3777" t="s">
        <v>49</v>
      </c>
      <c r="AB3777">
        <v>0</v>
      </c>
      <c r="AC3777" t="s">
        <v>49</v>
      </c>
      <c r="AD3777">
        <v>0</v>
      </c>
      <c r="AE3777">
        <v>10517312</v>
      </c>
      <c r="AF3777" t="s">
        <v>63</v>
      </c>
      <c r="AG3777" t="s">
        <v>7777</v>
      </c>
    </row>
    <row r="3778" spans="1:33" x14ac:dyDescent="0.35">
      <c r="A3778" s="1">
        <v>44645.71597222222</v>
      </c>
      <c r="B3778">
        <v>818484</v>
      </c>
      <c r="C3778" t="s">
        <v>7774</v>
      </c>
      <c r="D3778" t="s">
        <v>59</v>
      </c>
      <c r="E3778" s="2">
        <v>40940</v>
      </c>
      <c r="F3778" t="str">
        <f>"9781118153796"</f>
        <v>9781118153796</v>
      </c>
      <c r="G3778" t="str">
        <f>"9781118153772"</f>
        <v>9781118153772</v>
      </c>
      <c r="H3778" t="s">
        <v>667</v>
      </c>
      <c r="I3778" t="s">
        <v>7775</v>
      </c>
      <c r="J3778" t="s">
        <v>7776</v>
      </c>
      <c r="K3778" t="s">
        <v>44</v>
      </c>
      <c r="N3778" t="s">
        <v>45</v>
      </c>
      <c r="O3778" t="s">
        <v>46</v>
      </c>
      <c r="P3778" t="s">
        <v>45</v>
      </c>
      <c r="Q3778" t="s">
        <v>47</v>
      </c>
      <c r="R3778" t="s">
        <v>44</v>
      </c>
      <c r="S3778">
        <v>0</v>
      </c>
      <c r="W3778" s="3">
        <v>1.4467592592592594E-3</v>
      </c>
      <c r="X3778" t="s">
        <v>7805</v>
      </c>
      <c r="Y3778">
        <v>9</v>
      </c>
      <c r="Z3778">
        <v>0</v>
      </c>
      <c r="AA3778" t="s">
        <v>49</v>
      </c>
      <c r="AB3778">
        <v>0</v>
      </c>
      <c r="AC3778" t="s">
        <v>49</v>
      </c>
      <c r="AD3778">
        <v>0</v>
      </c>
      <c r="AE3778">
        <v>10517312</v>
      </c>
      <c r="AF3778" t="s">
        <v>63</v>
      </c>
      <c r="AG3778" t="s">
        <v>7777</v>
      </c>
    </row>
    <row r="3779" spans="1:33" x14ac:dyDescent="0.35">
      <c r="A3779" s="1">
        <v>44645.659722222219</v>
      </c>
      <c r="B3779">
        <v>876800</v>
      </c>
      <c r="C3779" t="s">
        <v>7668</v>
      </c>
      <c r="D3779" t="s">
        <v>819</v>
      </c>
      <c r="E3779" s="2">
        <v>40996</v>
      </c>
      <c r="F3779" t="str">
        <f>"9780814431610"</f>
        <v>9780814431610</v>
      </c>
      <c r="G3779" t="str">
        <f>"9780814431948"</f>
        <v>9780814431948</v>
      </c>
      <c r="H3779" t="s">
        <v>60</v>
      </c>
      <c r="I3779" t="s">
        <v>1652</v>
      </c>
      <c r="K3779" t="s">
        <v>44</v>
      </c>
      <c r="N3779" t="s">
        <v>45</v>
      </c>
      <c r="O3779" t="s">
        <v>46</v>
      </c>
      <c r="P3779" t="s">
        <v>45</v>
      </c>
      <c r="Q3779" t="s">
        <v>47</v>
      </c>
      <c r="R3779" t="s">
        <v>44</v>
      </c>
      <c r="S3779">
        <v>0</v>
      </c>
      <c r="W3779" s="3">
        <v>2.9513888888888888E-3</v>
      </c>
      <c r="X3779" t="s">
        <v>7806</v>
      </c>
      <c r="Y3779">
        <v>12</v>
      </c>
      <c r="Z3779">
        <v>0</v>
      </c>
      <c r="AA3779" t="s">
        <v>49</v>
      </c>
      <c r="AB3779">
        <v>0</v>
      </c>
      <c r="AC3779" t="s">
        <v>49</v>
      </c>
      <c r="AD3779">
        <v>0</v>
      </c>
      <c r="AE3779">
        <v>10537998</v>
      </c>
      <c r="AF3779" t="s">
        <v>50</v>
      </c>
      <c r="AG3779" t="s">
        <v>7493</v>
      </c>
    </row>
    <row r="3780" spans="1:33" x14ac:dyDescent="0.35">
      <c r="A3780" s="1">
        <v>44645.64166666667</v>
      </c>
      <c r="B3780">
        <v>284778</v>
      </c>
      <c r="C3780" t="s">
        <v>7807</v>
      </c>
      <c r="D3780" t="s">
        <v>7808</v>
      </c>
      <c r="E3780" s="2">
        <v>38353</v>
      </c>
      <c r="F3780" t="str">
        <f>"9781280268670"</f>
        <v>9781280268670</v>
      </c>
      <c r="G3780" t="str">
        <f>"9789289013772"</f>
        <v>9789289013772</v>
      </c>
      <c r="H3780" t="s">
        <v>525</v>
      </c>
      <c r="I3780">
        <v>362.20940000000002</v>
      </c>
      <c r="J3780" t="s">
        <v>7809</v>
      </c>
      <c r="K3780" t="s">
        <v>44</v>
      </c>
      <c r="N3780" t="s">
        <v>45</v>
      </c>
      <c r="O3780" t="s">
        <v>46</v>
      </c>
      <c r="P3780" t="s">
        <v>45</v>
      </c>
      <c r="Q3780" t="s">
        <v>47</v>
      </c>
      <c r="R3780" t="s">
        <v>44</v>
      </c>
      <c r="S3780">
        <v>0</v>
      </c>
      <c r="W3780" s="3">
        <v>5.6249999999999989E-3</v>
      </c>
      <c r="X3780" t="s">
        <v>7810</v>
      </c>
      <c r="Y3780">
        <v>9</v>
      </c>
      <c r="Z3780">
        <v>0</v>
      </c>
      <c r="AA3780" t="s">
        <v>49</v>
      </c>
      <c r="AB3780">
        <v>0</v>
      </c>
      <c r="AC3780" t="s">
        <v>49</v>
      </c>
      <c r="AD3780">
        <v>0</v>
      </c>
      <c r="AE3780">
        <v>10104339</v>
      </c>
      <c r="AF3780" t="s">
        <v>50</v>
      </c>
      <c r="AG3780" t="s">
        <v>835</v>
      </c>
    </row>
    <row r="3781" spans="1:33" x14ac:dyDescent="0.35">
      <c r="A3781" s="1">
        <v>44645.481249999997</v>
      </c>
      <c r="B3781">
        <v>4557226</v>
      </c>
      <c r="C3781" t="s">
        <v>7811</v>
      </c>
      <c r="D3781" t="s">
        <v>59</v>
      </c>
      <c r="E3781" s="2">
        <v>42590</v>
      </c>
      <c r="F3781" t="str">
        <f>"9781118999349"</f>
        <v>9781118999349</v>
      </c>
      <c r="G3781" t="str">
        <f>"9781118999325"</f>
        <v>9781118999325</v>
      </c>
      <c r="H3781" t="s">
        <v>4591</v>
      </c>
      <c r="I3781">
        <v>614.4</v>
      </c>
      <c r="J3781" t="s">
        <v>7812</v>
      </c>
      <c r="K3781" t="s">
        <v>44</v>
      </c>
      <c r="N3781" t="s">
        <v>45</v>
      </c>
      <c r="O3781" t="s">
        <v>46</v>
      </c>
      <c r="P3781" t="s">
        <v>45</v>
      </c>
      <c r="Q3781" t="s">
        <v>47</v>
      </c>
      <c r="R3781" t="s">
        <v>44</v>
      </c>
      <c r="S3781">
        <v>0</v>
      </c>
      <c r="W3781" s="3">
        <v>2.3148148148148147E-5</v>
      </c>
      <c r="X3781" t="s">
        <v>49</v>
      </c>
      <c r="Y3781">
        <v>0</v>
      </c>
      <c r="Z3781">
        <v>1</v>
      </c>
      <c r="AA3781" t="s">
        <v>7813</v>
      </c>
      <c r="AB3781">
        <v>52</v>
      </c>
      <c r="AC3781" t="s">
        <v>49</v>
      </c>
      <c r="AD3781">
        <v>0</v>
      </c>
      <c r="AE3781">
        <v>11223483</v>
      </c>
      <c r="AF3781" t="s">
        <v>50</v>
      </c>
      <c r="AG3781" t="s">
        <v>7733</v>
      </c>
    </row>
    <row r="3782" spans="1:33" x14ac:dyDescent="0.35">
      <c r="A3782" s="1">
        <v>44645.477777777778</v>
      </c>
      <c r="B3782">
        <v>4043002</v>
      </c>
      <c r="C3782" t="s">
        <v>7814</v>
      </c>
      <c r="D3782" t="s">
        <v>59</v>
      </c>
      <c r="E3782" s="2">
        <v>42388</v>
      </c>
      <c r="F3782" t="str">
        <f>"9781119045076"</f>
        <v>9781119045076</v>
      </c>
      <c r="G3782" t="str">
        <f>"9781119045069"</f>
        <v>9781119045069</v>
      </c>
      <c r="H3782" t="s">
        <v>1046</v>
      </c>
      <c r="I3782" t="s">
        <v>3427</v>
      </c>
      <c r="J3782" t="s">
        <v>7815</v>
      </c>
      <c r="K3782" t="s">
        <v>44</v>
      </c>
      <c r="N3782" t="s">
        <v>45</v>
      </c>
      <c r="O3782" t="s">
        <v>46</v>
      </c>
      <c r="P3782" t="s">
        <v>45</v>
      </c>
      <c r="Q3782" t="s">
        <v>47</v>
      </c>
      <c r="R3782" t="s">
        <v>44</v>
      </c>
      <c r="S3782">
        <v>0</v>
      </c>
      <c r="W3782" s="3">
        <v>3.472222222222222E-3</v>
      </c>
      <c r="X3782" t="s">
        <v>7816</v>
      </c>
      <c r="Y3782">
        <v>24</v>
      </c>
      <c r="Z3782">
        <v>2</v>
      </c>
      <c r="AA3782" t="s">
        <v>7817</v>
      </c>
      <c r="AB3782">
        <v>116</v>
      </c>
      <c r="AC3782" t="s">
        <v>49</v>
      </c>
      <c r="AD3782">
        <v>0</v>
      </c>
      <c r="AE3782">
        <v>11115179</v>
      </c>
      <c r="AF3782" t="s">
        <v>50</v>
      </c>
      <c r="AG3782" t="s">
        <v>7818</v>
      </c>
    </row>
    <row r="3783" spans="1:33" x14ac:dyDescent="0.35">
      <c r="A3783" s="1">
        <v>44644.931250000001</v>
      </c>
      <c r="B3783">
        <v>877584</v>
      </c>
      <c r="C3783" t="s">
        <v>7819</v>
      </c>
      <c r="D3783" t="s">
        <v>2193</v>
      </c>
      <c r="E3783" s="2">
        <v>40218</v>
      </c>
      <c r="F3783" t="str">
        <f>"9780313372124"</f>
        <v>9780313372124</v>
      </c>
      <c r="G3783" t="str">
        <f>"9780313372117"</f>
        <v>9780313372117</v>
      </c>
      <c r="H3783" t="s">
        <v>7820</v>
      </c>
      <c r="I3783" t="s">
        <v>7821</v>
      </c>
      <c r="J3783" t="s">
        <v>7822</v>
      </c>
      <c r="K3783" t="s">
        <v>44</v>
      </c>
      <c r="N3783" t="s">
        <v>45</v>
      </c>
      <c r="O3783" t="s">
        <v>46</v>
      </c>
      <c r="P3783" t="s">
        <v>45</v>
      </c>
      <c r="Q3783" t="s">
        <v>47</v>
      </c>
      <c r="R3783" t="s">
        <v>44</v>
      </c>
      <c r="S3783">
        <v>0</v>
      </c>
      <c r="W3783" s="3">
        <v>2.3958333333333336E-3</v>
      </c>
      <c r="X3783" t="s">
        <v>7823</v>
      </c>
      <c r="Y3783">
        <v>16</v>
      </c>
      <c r="Z3783">
        <v>0</v>
      </c>
      <c r="AA3783" t="s">
        <v>49</v>
      </c>
      <c r="AB3783">
        <v>0</v>
      </c>
      <c r="AC3783" t="s">
        <v>49</v>
      </c>
      <c r="AD3783">
        <v>0</v>
      </c>
      <c r="AE3783">
        <v>10545292</v>
      </c>
      <c r="AF3783" t="s">
        <v>63</v>
      </c>
      <c r="AG3783" t="s">
        <v>7654</v>
      </c>
    </row>
    <row r="3784" spans="1:33" x14ac:dyDescent="0.35">
      <c r="A3784" s="1">
        <v>44644.930555555555</v>
      </c>
      <c r="B3784">
        <v>269898</v>
      </c>
      <c r="C3784" t="s">
        <v>7824</v>
      </c>
      <c r="D3784" t="s">
        <v>65</v>
      </c>
      <c r="E3784" s="2">
        <v>38700</v>
      </c>
      <c r="F3784" t="str">
        <f>"9780080454818"</f>
        <v>9780080454818</v>
      </c>
      <c r="G3784" t="str">
        <f>"9780124060616"</f>
        <v>9780124060616</v>
      </c>
      <c r="H3784" t="s">
        <v>77</v>
      </c>
      <c r="I3784" t="s">
        <v>7825</v>
      </c>
      <c r="J3784" t="s">
        <v>7826</v>
      </c>
      <c r="K3784" t="s">
        <v>44</v>
      </c>
      <c r="N3784" t="s">
        <v>45</v>
      </c>
      <c r="O3784" t="s">
        <v>46</v>
      </c>
      <c r="P3784" t="s">
        <v>45</v>
      </c>
      <c r="Q3784" t="s">
        <v>47</v>
      </c>
      <c r="R3784" t="s">
        <v>44</v>
      </c>
      <c r="S3784">
        <v>0</v>
      </c>
      <c r="W3784" s="3">
        <v>2.7777777777777778E-4</v>
      </c>
      <c r="X3784" t="s">
        <v>7827</v>
      </c>
      <c r="Y3784">
        <v>5</v>
      </c>
      <c r="Z3784">
        <v>0</v>
      </c>
      <c r="AA3784" t="s">
        <v>49</v>
      </c>
      <c r="AB3784">
        <v>0</v>
      </c>
      <c r="AC3784" t="s">
        <v>49</v>
      </c>
      <c r="AD3784">
        <v>0</v>
      </c>
      <c r="AE3784">
        <v>10138408</v>
      </c>
      <c r="AF3784" t="s">
        <v>63</v>
      </c>
      <c r="AG3784" t="s">
        <v>7654</v>
      </c>
    </row>
    <row r="3785" spans="1:33" x14ac:dyDescent="0.35">
      <c r="A3785" s="1">
        <v>44644.929166666669</v>
      </c>
      <c r="B3785">
        <v>1318205</v>
      </c>
      <c r="C3785" t="s">
        <v>7828</v>
      </c>
      <c r="D3785" t="s">
        <v>59</v>
      </c>
      <c r="E3785" s="2">
        <v>41561</v>
      </c>
      <c r="F3785" t="str">
        <f>"9781118316320"</f>
        <v>9781118316320</v>
      </c>
      <c r="G3785" t="str">
        <f>"9781118316290"</f>
        <v>9781118316290</v>
      </c>
      <c r="H3785" t="s">
        <v>77</v>
      </c>
      <c r="I3785">
        <v>616.71600000000001</v>
      </c>
      <c r="J3785" t="s">
        <v>7829</v>
      </c>
      <c r="K3785" t="s">
        <v>44</v>
      </c>
      <c r="N3785" t="s">
        <v>45</v>
      </c>
      <c r="O3785" t="s">
        <v>46</v>
      </c>
      <c r="P3785" t="s">
        <v>45</v>
      </c>
      <c r="Q3785" t="s">
        <v>47</v>
      </c>
      <c r="R3785" t="s">
        <v>44</v>
      </c>
      <c r="S3785">
        <v>0</v>
      </c>
      <c r="W3785" s="3">
        <v>9.6064814814814808E-4</v>
      </c>
      <c r="X3785" t="s">
        <v>7830</v>
      </c>
      <c r="Y3785">
        <v>9</v>
      </c>
      <c r="Z3785">
        <v>0</v>
      </c>
      <c r="AA3785" t="s">
        <v>49</v>
      </c>
      <c r="AB3785">
        <v>0</v>
      </c>
      <c r="AC3785" t="s">
        <v>49</v>
      </c>
      <c r="AD3785">
        <v>0</v>
      </c>
      <c r="AE3785">
        <v>10734306</v>
      </c>
      <c r="AF3785" t="s">
        <v>63</v>
      </c>
      <c r="AG3785" t="s">
        <v>7654</v>
      </c>
    </row>
    <row r="3786" spans="1:33" x14ac:dyDescent="0.35">
      <c r="A3786" s="1">
        <v>44644.914583333331</v>
      </c>
      <c r="B3786">
        <v>5896889</v>
      </c>
      <c r="C3786" t="s">
        <v>7831</v>
      </c>
      <c r="D3786" t="s">
        <v>497</v>
      </c>
      <c r="E3786" s="2">
        <v>43797</v>
      </c>
      <c r="F3786" t="str">
        <f>"9781786736604"</f>
        <v>9781786736604</v>
      </c>
      <c r="G3786" t="str">
        <f>"9781788318075"</f>
        <v>9781788318075</v>
      </c>
      <c r="H3786" t="s">
        <v>7832</v>
      </c>
      <c r="I3786">
        <v>362.20820940999999</v>
      </c>
      <c r="J3786" t="s">
        <v>7833</v>
      </c>
      <c r="K3786" t="s">
        <v>55</v>
      </c>
      <c r="Q3786" t="s">
        <v>47</v>
      </c>
      <c r="R3786" t="s">
        <v>44</v>
      </c>
      <c r="S3786">
        <v>0</v>
      </c>
      <c r="W3786" s="3">
        <v>1.3310185185185187E-2</v>
      </c>
      <c r="X3786" t="s">
        <v>7834</v>
      </c>
      <c r="Y3786">
        <v>15</v>
      </c>
      <c r="Z3786">
        <v>0</v>
      </c>
      <c r="AA3786" t="s">
        <v>49</v>
      </c>
      <c r="AB3786">
        <v>0</v>
      </c>
      <c r="AC3786" t="s">
        <v>49</v>
      </c>
      <c r="AD3786">
        <v>0</v>
      </c>
      <c r="AE3786">
        <v>-1</v>
      </c>
      <c r="AF3786" t="s">
        <v>63</v>
      </c>
      <c r="AG3786" t="s">
        <v>7654</v>
      </c>
    </row>
    <row r="3787" spans="1:33" x14ac:dyDescent="0.35">
      <c r="A3787" s="1">
        <v>44644.908333333333</v>
      </c>
      <c r="B3787">
        <v>4749315</v>
      </c>
      <c r="C3787" t="s">
        <v>7835</v>
      </c>
      <c r="D3787" t="s">
        <v>773</v>
      </c>
      <c r="E3787" s="2">
        <v>36708</v>
      </c>
      <c r="F3787" t="str">
        <f>"9781504022545"</f>
        <v>9781504022545</v>
      </c>
      <c r="G3787" t="str">
        <f>""</f>
        <v/>
      </c>
      <c r="H3787" t="s">
        <v>1046</v>
      </c>
      <c r="I3787">
        <v>363.92</v>
      </c>
      <c r="J3787" t="s">
        <v>7836</v>
      </c>
      <c r="K3787" t="s">
        <v>44</v>
      </c>
      <c r="N3787" t="s">
        <v>45</v>
      </c>
      <c r="O3787" t="s">
        <v>46</v>
      </c>
      <c r="P3787" t="s">
        <v>45</v>
      </c>
      <c r="Q3787" t="s">
        <v>47</v>
      </c>
      <c r="R3787" t="s">
        <v>44</v>
      </c>
      <c r="S3787">
        <v>0</v>
      </c>
      <c r="W3787" s="3">
        <v>7.175925925925927E-4</v>
      </c>
      <c r="X3787" t="s">
        <v>7837</v>
      </c>
      <c r="Y3787">
        <v>5</v>
      </c>
      <c r="Z3787">
        <v>1</v>
      </c>
      <c r="AA3787" t="s">
        <v>7838</v>
      </c>
      <c r="AB3787">
        <v>7</v>
      </c>
      <c r="AC3787" t="s">
        <v>49</v>
      </c>
      <c r="AD3787">
        <v>0</v>
      </c>
      <c r="AE3787">
        <v>11306671</v>
      </c>
      <c r="AF3787" t="s">
        <v>50</v>
      </c>
      <c r="AG3787" t="s">
        <v>7493</v>
      </c>
    </row>
    <row r="3788" spans="1:33" x14ac:dyDescent="0.35">
      <c r="A3788" s="1">
        <v>44644.882638888892</v>
      </c>
      <c r="B3788">
        <v>1318205</v>
      </c>
      <c r="C3788" t="s">
        <v>7828</v>
      </c>
      <c r="D3788" t="s">
        <v>59</v>
      </c>
      <c r="E3788" s="2">
        <v>41561</v>
      </c>
      <c r="F3788" t="str">
        <f>"9781118316320"</f>
        <v>9781118316320</v>
      </c>
      <c r="G3788" t="str">
        <f>"9781118316290"</f>
        <v>9781118316290</v>
      </c>
      <c r="H3788" t="s">
        <v>77</v>
      </c>
      <c r="I3788">
        <v>616.71600000000001</v>
      </c>
      <c r="J3788" t="s">
        <v>7829</v>
      </c>
      <c r="K3788" t="s">
        <v>44</v>
      </c>
      <c r="N3788" t="s">
        <v>45</v>
      </c>
      <c r="O3788" t="s">
        <v>46</v>
      </c>
      <c r="P3788" t="s">
        <v>45</v>
      </c>
      <c r="Q3788" t="s">
        <v>47</v>
      </c>
      <c r="R3788" t="s">
        <v>44</v>
      </c>
      <c r="S3788">
        <v>0</v>
      </c>
      <c r="W3788" s="3">
        <v>1.273148148148148E-4</v>
      </c>
      <c r="X3788" t="s">
        <v>7839</v>
      </c>
      <c r="Y3788">
        <v>3</v>
      </c>
      <c r="Z3788">
        <v>0</v>
      </c>
      <c r="AA3788" t="s">
        <v>49</v>
      </c>
      <c r="AB3788">
        <v>0</v>
      </c>
      <c r="AC3788" t="s">
        <v>49</v>
      </c>
      <c r="AD3788">
        <v>0</v>
      </c>
      <c r="AE3788">
        <v>10734306</v>
      </c>
      <c r="AF3788" t="s">
        <v>63</v>
      </c>
      <c r="AG3788" t="s">
        <v>7654</v>
      </c>
    </row>
    <row r="3789" spans="1:33" x14ac:dyDescent="0.35">
      <c r="A3789" s="1">
        <v>44644.881944444445</v>
      </c>
      <c r="B3789">
        <v>877584</v>
      </c>
      <c r="C3789" t="s">
        <v>7819</v>
      </c>
      <c r="D3789" t="s">
        <v>2193</v>
      </c>
      <c r="E3789" s="2">
        <v>40218</v>
      </c>
      <c r="F3789" t="str">
        <f>"9780313372124"</f>
        <v>9780313372124</v>
      </c>
      <c r="G3789" t="str">
        <f>"9780313372117"</f>
        <v>9780313372117</v>
      </c>
      <c r="H3789" t="s">
        <v>7820</v>
      </c>
      <c r="I3789" t="s">
        <v>7821</v>
      </c>
      <c r="J3789" t="s">
        <v>7822</v>
      </c>
      <c r="K3789" t="s">
        <v>44</v>
      </c>
      <c r="N3789" t="s">
        <v>45</v>
      </c>
      <c r="O3789" t="s">
        <v>46</v>
      </c>
      <c r="P3789" t="s">
        <v>45</v>
      </c>
      <c r="Q3789" t="s">
        <v>47</v>
      </c>
      <c r="R3789" t="s">
        <v>44</v>
      </c>
      <c r="S3789">
        <v>0</v>
      </c>
      <c r="W3789" s="3">
        <v>6.9444444444444447E-4</v>
      </c>
      <c r="X3789" t="s">
        <v>7840</v>
      </c>
      <c r="Y3789">
        <v>6</v>
      </c>
      <c r="Z3789">
        <v>0</v>
      </c>
      <c r="AA3789" t="s">
        <v>49</v>
      </c>
      <c r="AB3789">
        <v>0</v>
      </c>
      <c r="AC3789" t="s">
        <v>49</v>
      </c>
      <c r="AD3789">
        <v>0</v>
      </c>
      <c r="AE3789">
        <v>10545292</v>
      </c>
      <c r="AF3789" t="s">
        <v>63</v>
      </c>
      <c r="AG3789" t="s">
        <v>7654</v>
      </c>
    </row>
    <row r="3790" spans="1:33" x14ac:dyDescent="0.35">
      <c r="A3790" s="1">
        <v>44644.880555555559</v>
      </c>
      <c r="B3790">
        <v>468778</v>
      </c>
      <c r="C3790" t="s">
        <v>7841</v>
      </c>
      <c r="D3790" t="s">
        <v>1315</v>
      </c>
      <c r="E3790" s="2">
        <v>23391</v>
      </c>
      <c r="F3790" t="str">
        <f>"9780470390283"</f>
        <v>9780470390283</v>
      </c>
      <c r="G3790" t="str">
        <f>"9780471751403"</f>
        <v>9780471751403</v>
      </c>
      <c r="H3790" t="s">
        <v>77</v>
      </c>
      <c r="I3790">
        <v>616.04719999999998</v>
      </c>
      <c r="J3790" t="s">
        <v>7842</v>
      </c>
      <c r="K3790" t="s">
        <v>44</v>
      </c>
      <c r="N3790" t="s">
        <v>45</v>
      </c>
      <c r="O3790" t="s">
        <v>46</v>
      </c>
      <c r="P3790" t="s">
        <v>45</v>
      </c>
      <c r="Q3790" t="s">
        <v>47</v>
      </c>
      <c r="R3790" t="s">
        <v>44</v>
      </c>
      <c r="S3790">
        <v>0</v>
      </c>
      <c r="W3790" s="3">
        <v>1.8518518518518518E-4</v>
      </c>
      <c r="X3790" t="s">
        <v>7843</v>
      </c>
      <c r="Y3790">
        <v>5</v>
      </c>
      <c r="Z3790">
        <v>0</v>
      </c>
      <c r="AA3790" t="s">
        <v>49</v>
      </c>
      <c r="AB3790">
        <v>0</v>
      </c>
      <c r="AC3790" t="s">
        <v>49</v>
      </c>
      <c r="AD3790">
        <v>0</v>
      </c>
      <c r="AE3790">
        <v>10296667</v>
      </c>
      <c r="AF3790" t="s">
        <v>50</v>
      </c>
      <c r="AG3790" t="s">
        <v>7654</v>
      </c>
    </row>
    <row r="3791" spans="1:33" x14ac:dyDescent="0.35">
      <c r="A3791" s="1">
        <v>44644.81527777778</v>
      </c>
      <c r="B3791">
        <v>4749315</v>
      </c>
      <c r="C3791" t="s">
        <v>7835</v>
      </c>
      <c r="D3791" t="s">
        <v>773</v>
      </c>
      <c r="E3791" s="2">
        <v>36708</v>
      </c>
      <c r="F3791" t="str">
        <f>"9781504022545"</f>
        <v>9781504022545</v>
      </c>
      <c r="G3791" t="str">
        <f>""</f>
        <v/>
      </c>
      <c r="H3791" t="s">
        <v>1046</v>
      </c>
      <c r="I3791">
        <v>363.92</v>
      </c>
      <c r="J3791" t="s">
        <v>7836</v>
      </c>
      <c r="K3791" t="s">
        <v>44</v>
      </c>
      <c r="N3791" t="s">
        <v>45</v>
      </c>
      <c r="O3791" t="s">
        <v>46</v>
      </c>
      <c r="P3791" t="s">
        <v>45</v>
      </c>
      <c r="Q3791" t="s">
        <v>47</v>
      </c>
      <c r="R3791" t="s">
        <v>44</v>
      </c>
      <c r="S3791">
        <v>0</v>
      </c>
      <c r="W3791" s="3">
        <v>2.0254629629629629E-3</v>
      </c>
      <c r="X3791" t="s">
        <v>7844</v>
      </c>
      <c r="Y3791">
        <v>3</v>
      </c>
      <c r="Z3791">
        <v>0</v>
      </c>
      <c r="AA3791" t="s">
        <v>49</v>
      </c>
      <c r="AB3791">
        <v>0</v>
      </c>
      <c r="AC3791" t="s">
        <v>49</v>
      </c>
      <c r="AD3791">
        <v>0</v>
      </c>
      <c r="AE3791">
        <v>11306671</v>
      </c>
      <c r="AF3791" t="s">
        <v>50</v>
      </c>
      <c r="AG3791" t="s">
        <v>7493</v>
      </c>
    </row>
    <row r="3792" spans="1:33" x14ac:dyDescent="0.35">
      <c r="A3792" s="1">
        <v>44644.751388888886</v>
      </c>
      <c r="B3792">
        <v>1647730</v>
      </c>
      <c r="C3792" t="s">
        <v>7845</v>
      </c>
      <c r="D3792" t="s">
        <v>59</v>
      </c>
      <c r="E3792" s="2">
        <v>41722</v>
      </c>
      <c r="F3792" t="str">
        <f>"9781118354711"</f>
        <v>9781118354711</v>
      </c>
      <c r="G3792" t="str">
        <f>"9780470930588"</f>
        <v>9780470930588</v>
      </c>
      <c r="H3792" t="s">
        <v>1112</v>
      </c>
      <c r="I3792" t="s">
        <v>7846</v>
      </c>
      <c r="J3792" t="s">
        <v>7847</v>
      </c>
      <c r="K3792" t="s">
        <v>44</v>
      </c>
      <c r="N3792" t="s">
        <v>45</v>
      </c>
      <c r="O3792" t="s">
        <v>46</v>
      </c>
      <c r="P3792" t="s">
        <v>45</v>
      </c>
      <c r="Q3792" t="s">
        <v>47</v>
      </c>
      <c r="R3792" t="s">
        <v>44</v>
      </c>
      <c r="S3792">
        <v>0</v>
      </c>
      <c r="W3792" s="3">
        <v>7.5231481481481471E-4</v>
      </c>
      <c r="X3792" t="s">
        <v>7848</v>
      </c>
      <c r="Y3792">
        <v>6</v>
      </c>
      <c r="Z3792">
        <v>0</v>
      </c>
      <c r="AA3792" t="s">
        <v>49</v>
      </c>
      <c r="AB3792">
        <v>0</v>
      </c>
      <c r="AC3792" t="s">
        <v>49</v>
      </c>
      <c r="AD3792">
        <v>0</v>
      </c>
      <c r="AE3792">
        <v>10849262</v>
      </c>
      <c r="AF3792" t="s">
        <v>50</v>
      </c>
      <c r="AG3792" t="s">
        <v>7493</v>
      </c>
    </row>
    <row r="3793" spans="1:33" x14ac:dyDescent="0.35">
      <c r="A3793" s="1">
        <v>44644.633333333331</v>
      </c>
      <c r="B3793">
        <v>3037824</v>
      </c>
      <c r="C3793" t="s">
        <v>7849</v>
      </c>
      <c r="D3793" t="s">
        <v>7326</v>
      </c>
      <c r="E3793" s="2">
        <v>40438</v>
      </c>
      <c r="F3793" t="str">
        <f>"9781603442503"</f>
        <v>9781603442503</v>
      </c>
      <c r="G3793" t="str">
        <f>"9781603442053"</f>
        <v>9781603442053</v>
      </c>
      <c r="H3793" t="s">
        <v>7850</v>
      </c>
      <c r="I3793" t="s">
        <v>7851</v>
      </c>
      <c r="J3793" t="s">
        <v>7852</v>
      </c>
      <c r="K3793" t="s">
        <v>44</v>
      </c>
      <c r="N3793" t="s">
        <v>45</v>
      </c>
      <c r="O3793" t="s">
        <v>46</v>
      </c>
      <c r="P3793" t="s">
        <v>45</v>
      </c>
      <c r="Q3793" t="s">
        <v>47</v>
      </c>
      <c r="R3793" t="s">
        <v>44</v>
      </c>
      <c r="S3793">
        <v>0</v>
      </c>
      <c r="W3793" s="3">
        <v>0</v>
      </c>
      <c r="X3793" t="s">
        <v>49</v>
      </c>
      <c r="Y3793">
        <v>0</v>
      </c>
      <c r="Z3793">
        <v>1</v>
      </c>
      <c r="AA3793" t="s">
        <v>1143</v>
      </c>
      <c r="AB3793">
        <v>7</v>
      </c>
      <c r="AC3793" t="s">
        <v>49</v>
      </c>
      <c r="AD3793">
        <v>0</v>
      </c>
      <c r="AE3793">
        <v>10432085</v>
      </c>
      <c r="AF3793" t="s">
        <v>50</v>
      </c>
      <c r="AG3793" t="s">
        <v>7493</v>
      </c>
    </row>
    <row r="3794" spans="1:33" x14ac:dyDescent="0.35">
      <c r="A3794" s="1">
        <v>44644.560416666667</v>
      </c>
      <c r="B3794">
        <v>3318817</v>
      </c>
      <c r="C3794" t="s">
        <v>7853</v>
      </c>
      <c r="D3794" t="s">
        <v>1390</v>
      </c>
      <c r="E3794" s="2">
        <v>41800</v>
      </c>
      <c r="F3794" t="str">
        <f>"9781421412801"</f>
        <v>9781421412801</v>
      </c>
      <c r="G3794" t="str">
        <f>"9781421412795"</f>
        <v>9781421412795</v>
      </c>
      <c r="H3794" t="s">
        <v>579</v>
      </c>
      <c r="I3794" t="s">
        <v>7854</v>
      </c>
      <c r="J3794" t="s">
        <v>7855</v>
      </c>
      <c r="K3794" t="s">
        <v>44</v>
      </c>
      <c r="N3794" t="s">
        <v>45</v>
      </c>
      <c r="O3794" t="s">
        <v>46</v>
      </c>
      <c r="P3794" t="s">
        <v>45</v>
      </c>
      <c r="Q3794" t="s">
        <v>47</v>
      </c>
      <c r="R3794" t="s">
        <v>44</v>
      </c>
      <c r="S3794">
        <v>0</v>
      </c>
      <c r="W3794" s="3">
        <v>1.329861111111111E-2</v>
      </c>
      <c r="X3794" t="s">
        <v>7856</v>
      </c>
      <c r="Y3794">
        <v>5</v>
      </c>
      <c r="Z3794">
        <v>0</v>
      </c>
      <c r="AA3794" t="s">
        <v>49</v>
      </c>
      <c r="AB3794">
        <v>0</v>
      </c>
      <c r="AC3794" t="s">
        <v>7857</v>
      </c>
      <c r="AD3794">
        <v>2</v>
      </c>
      <c r="AE3794">
        <v>10867289</v>
      </c>
      <c r="AF3794" t="s">
        <v>50</v>
      </c>
      <c r="AG3794" t="s">
        <v>7777</v>
      </c>
    </row>
    <row r="3795" spans="1:33" x14ac:dyDescent="0.35">
      <c r="A3795" s="1">
        <v>44644.518750000003</v>
      </c>
      <c r="B3795">
        <v>877584</v>
      </c>
      <c r="C3795" t="s">
        <v>7819</v>
      </c>
      <c r="D3795" t="s">
        <v>2193</v>
      </c>
      <c r="E3795" s="2">
        <v>40218</v>
      </c>
      <c r="F3795" t="str">
        <f>"9780313372124"</f>
        <v>9780313372124</v>
      </c>
      <c r="G3795" t="str">
        <f>"9780313372117"</f>
        <v>9780313372117</v>
      </c>
      <c r="H3795" t="s">
        <v>7820</v>
      </c>
      <c r="I3795" t="s">
        <v>7821</v>
      </c>
      <c r="J3795" t="s">
        <v>7822</v>
      </c>
      <c r="K3795" t="s">
        <v>44</v>
      </c>
      <c r="N3795" t="s">
        <v>45</v>
      </c>
      <c r="O3795" t="s">
        <v>46</v>
      </c>
      <c r="P3795" t="s">
        <v>45</v>
      </c>
      <c r="Q3795" t="s">
        <v>47</v>
      </c>
      <c r="R3795" t="s">
        <v>44</v>
      </c>
      <c r="S3795">
        <v>0</v>
      </c>
      <c r="W3795" s="3">
        <v>1.3888888888888889E-4</v>
      </c>
      <c r="X3795" t="s">
        <v>7858</v>
      </c>
      <c r="Y3795">
        <v>4</v>
      </c>
      <c r="Z3795">
        <v>0</v>
      </c>
      <c r="AA3795" t="s">
        <v>49</v>
      </c>
      <c r="AB3795">
        <v>0</v>
      </c>
      <c r="AC3795" t="s">
        <v>49</v>
      </c>
      <c r="AD3795">
        <v>0</v>
      </c>
      <c r="AE3795">
        <v>10545292</v>
      </c>
      <c r="AF3795" t="s">
        <v>50</v>
      </c>
      <c r="AG3795" t="s">
        <v>7654</v>
      </c>
    </row>
    <row r="3796" spans="1:33" x14ac:dyDescent="0.35">
      <c r="A3796" s="1">
        <v>44644.509722222225</v>
      </c>
      <c r="B3796">
        <v>739040</v>
      </c>
      <c r="C3796" t="s">
        <v>7859</v>
      </c>
      <c r="D3796" t="s">
        <v>329</v>
      </c>
      <c r="E3796" s="2">
        <v>40744</v>
      </c>
      <c r="F3796" t="str">
        <f>"9781437735154"</f>
        <v>9781437735154</v>
      </c>
      <c r="G3796" t="str">
        <f>"9781437735147"</f>
        <v>9781437735147</v>
      </c>
      <c r="H3796" t="s">
        <v>116</v>
      </c>
      <c r="I3796">
        <v>668.4</v>
      </c>
      <c r="J3796" t="s">
        <v>7860</v>
      </c>
      <c r="K3796" t="s">
        <v>44</v>
      </c>
      <c r="N3796" t="s">
        <v>45</v>
      </c>
      <c r="O3796" t="s">
        <v>46</v>
      </c>
      <c r="P3796" t="s">
        <v>45</v>
      </c>
      <c r="Q3796" t="s">
        <v>47</v>
      </c>
      <c r="R3796" t="s">
        <v>44</v>
      </c>
      <c r="S3796">
        <v>0</v>
      </c>
      <c r="W3796" s="3">
        <v>1.1805555555555556E-3</v>
      </c>
      <c r="X3796" t="s">
        <v>7861</v>
      </c>
      <c r="Y3796">
        <v>5</v>
      </c>
      <c r="Z3796">
        <v>0</v>
      </c>
      <c r="AA3796" t="s">
        <v>49</v>
      </c>
      <c r="AB3796">
        <v>0</v>
      </c>
      <c r="AC3796" t="s">
        <v>49</v>
      </c>
      <c r="AD3796">
        <v>0</v>
      </c>
      <c r="AE3796">
        <v>10486768</v>
      </c>
      <c r="AF3796" t="s">
        <v>50</v>
      </c>
      <c r="AG3796" t="s">
        <v>7106</v>
      </c>
    </row>
    <row r="3797" spans="1:33" x14ac:dyDescent="0.35">
      <c r="A3797" s="1">
        <v>44644.395138888889</v>
      </c>
      <c r="B3797">
        <v>269898</v>
      </c>
      <c r="C3797" t="s">
        <v>7824</v>
      </c>
      <c r="D3797" t="s">
        <v>65</v>
      </c>
      <c r="E3797" s="2">
        <v>38700</v>
      </c>
      <c r="F3797" t="str">
        <f>"9780080454818"</f>
        <v>9780080454818</v>
      </c>
      <c r="G3797" t="str">
        <f>"9780124060616"</f>
        <v>9780124060616</v>
      </c>
      <c r="H3797" t="s">
        <v>77</v>
      </c>
      <c r="I3797" t="s">
        <v>7825</v>
      </c>
      <c r="J3797" t="s">
        <v>7826</v>
      </c>
      <c r="K3797" t="s">
        <v>44</v>
      </c>
      <c r="N3797" t="s">
        <v>45</v>
      </c>
      <c r="O3797" t="s">
        <v>46</v>
      </c>
      <c r="P3797" t="s">
        <v>45</v>
      </c>
      <c r="Q3797" t="s">
        <v>47</v>
      </c>
      <c r="R3797" t="s">
        <v>44</v>
      </c>
      <c r="S3797">
        <v>0</v>
      </c>
      <c r="W3797" s="3">
        <v>1.8981481481481482E-3</v>
      </c>
      <c r="X3797" t="s">
        <v>7862</v>
      </c>
      <c r="Y3797">
        <v>6</v>
      </c>
      <c r="Z3797">
        <v>0</v>
      </c>
      <c r="AA3797" t="s">
        <v>49</v>
      </c>
      <c r="AB3797">
        <v>0</v>
      </c>
      <c r="AC3797" t="s">
        <v>49</v>
      </c>
      <c r="AD3797">
        <v>0</v>
      </c>
      <c r="AE3797">
        <v>10138408</v>
      </c>
      <c r="AF3797" t="s">
        <v>63</v>
      </c>
      <c r="AG3797" t="s">
        <v>7654</v>
      </c>
    </row>
    <row r="3798" spans="1:33" x14ac:dyDescent="0.35">
      <c r="A3798" s="1">
        <v>44644.395138888889</v>
      </c>
      <c r="B3798">
        <v>5896889</v>
      </c>
      <c r="C3798" t="s">
        <v>7831</v>
      </c>
      <c r="D3798" t="s">
        <v>497</v>
      </c>
      <c r="E3798" s="2">
        <v>43797</v>
      </c>
      <c r="F3798" t="str">
        <f>"9781786736604"</f>
        <v>9781786736604</v>
      </c>
      <c r="G3798" t="str">
        <f>"9781788318075"</f>
        <v>9781788318075</v>
      </c>
      <c r="H3798" t="s">
        <v>7832</v>
      </c>
      <c r="I3798">
        <v>362.20820940999999</v>
      </c>
      <c r="J3798" t="s">
        <v>7833</v>
      </c>
      <c r="K3798" t="s">
        <v>55</v>
      </c>
      <c r="Q3798" t="s">
        <v>47</v>
      </c>
      <c r="R3798" t="s">
        <v>44</v>
      </c>
      <c r="S3798">
        <v>0</v>
      </c>
      <c r="W3798" s="3">
        <v>1.0069444444444444E-3</v>
      </c>
      <c r="X3798" t="s">
        <v>7863</v>
      </c>
      <c r="Y3798">
        <v>11</v>
      </c>
      <c r="Z3798">
        <v>0</v>
      </c>
      <c r="AA3798" t="s">
        <v>49</v>
      </c>
      <c r="AB3798">
        <v>0</v>
      </c>
      <c r="AC3798" t="s">
        <v>49</v>
      </c>
      <c r="AD3798">
        <v>0</v>
      </c>
      <c r="AE3798">
        <v>-1</v>
      </c>
      <c r="AF3798" t="s">
        <v>63</v>
      </c>
      <c r="AG3798" t="s">
        <v>7654</v>
      </c>
    </row>
    <row r="3799" spans="1:33" x14ac:dyDescent="0.35">
      <c r="A3799" s="1">
        <v>44643.820833333331</v>
      </c>
      <c r="B3799">
        <v>3412646</v>
      </c>
      <c r="C3799" t="s">
        <v>7864</v>
      </c>
      <c r="D3799" t="s">
        <v>5197</v>
      </c>
      <c r="E3799" s="2">
        <v>40014</v>
      </c>
      <c r="F3799" t="str">
        <f>"9780774816168"</f>
        <v>9780774816168</v>
      </c>
      <c r="G3799" t="str">
        <f>"9780774816144"</f>
        <v>9780774816144</v>
      </c>
      <c r="H3799" t="s">
        <v>1046</v>
      </c>
      <c r="I3799" t="s">
        <v>7865</v>
      </c>
      <c r="J3799" t="s">
        <v>7866</v>
      </c>
      <c r="K3799" t="s">
        <v>44</v>
      </c>
      <c r="N3799" t="s">
        <v>45</v>
      </c>
      <c r="O3799" t="s">
        <v>46</v>
      </c>
      <c r="P3799" t="s">
        <v>45</v>
      </c>
      <c r="Q3799" t="s">
        <v>47</v>
      </c>
      <c r="R3799" t="s">
        <v>44</v>
      </c>
      <c r="S3799">
        <v>0</v>
      </c>
      <c r="W3799" s="3">
        <v>2.2916666666666667E-3</v>
      </c>
      <c r="X3799" t="s">
        <v>7867</v>
      </c>
      <c r="Y3799">
        <v>11</v>
      </c>
      <c r="Z3799">
        <v>0</v>
      </c>
      <c r="AA3799" t="s">
        <v>49</v>
      </c>
      <c r="AB3799">
        <v>0</v>
      </c>
      <c r="AC3799" t="s">
        <v>49</v>
      </c>
      <c r="AD3799">
        <v>0</v>
      </c>
      <c r="AE3799">
        <v>10378042</v>
      </c>
      <c r="AF3799" t="s">
        <v>50</v>
      </c>
      <c r="AG3799" t="s">
        <v>7818</v>
      </c>
    </row>
    <row r="3800" spans="1:33" x14ac:dyDescent="0.35">
      <c r="A3800" s="1">
        <v>44643.690972222219</v>
      </c>
      <c r="B3800">
        <v>1020533</v>
      </c>
      <c r="C3800" t="s">
        <v>7868</v>
      </c>
      <c r="D3800" t="s">
        <v>115</v>
      </c>
      <c r="E3800" s="2">
        <v>39195</v>
      </c>
      <c r="F3800" t="str">
        <f>"9783034609425"</f>
        <v>9783034609425</v>
      </c>
      <c r="G3800" t="str">
        <f>"9783764377489"</f>
        <v>9783764377489</v>
      </c>
      <c r="H3800" t="s">
        <v>7869</v>
      </c>
      <c r="I3800">
        <v>712.09519999999998</v>
      </c>
      <c r="J3800" t="s">
        <v>7870</v>
      </c>
      <c r="K3800" t="s">
        <v>44</v>
      </c>
      <c r="N3800" t="s">
        <v>45</v>
      </c>
      <c r="O3800" t="s">
        <v>46</v>
      </c>
      <c r="P3800" t="s">
        <v>45</v>
      </c>
      <c r="Q3800" t="s">
        <v>47</v>
      </c>
      <c r="R3800" t="s">
        <v>44</v>
      </c>
      <c r="S3800">
        <v>0</v>
      </c>
      <c r="W3800" s="3">
        <v>6.6087962962962966E-3</v>
      </c>
      <c r="X3800" t="s">
        <v>7871</v>
      </c>
      <c r="Y3800">
        <v>18</v>
      </c>
      <c r="Z3800">
        <v>0</v>
      </c>
      <c r="AA3800" t="s">
        <v>49</v>
      </c>
      <c r="AB3800">
        <v>0</v>
      </c>
      <c r="AC3800" t="s">
        <v>7872</v>
      </c>
      <c r="AD3800">
        <v>2</v>
      </c>
      <c r="AE3800">
        <v>10634567</v>
      </c>
      <c r="AF3800" t="s">
        <v>50</v>
      </c>
      <c r="AG3800" t="s">
        <v>7493</v>
      </c>
    </row>
    <row r="3801" spans="1:33" x14ac:dyDescent="0.35">
      <c r="A3801" s="1">
        <v>44643.625694444447</v>
      </c>
      <c r="B3801">
        <v>4829166</v>
      </c>
      <c r="C3801" t="s">
        <v>7142</v>
      </c>
      <c r="D3801" t="s">
        <v>59</v>
      </c>
      <c r="E3801" s="2">
        <v>42835</v>
      </c>
      <c r="F3801" t="str">
        <f>"9781119219835"</f>
        <v>9781119219835</v>
      </c>
      <c r="G3801" t="str">
        <f>"9781119219811"</f>
        <v>9781119219811</v>
      </c>
      <c r="H3801" t="s">
        <v>525</v>
      </c>
      <c r="I3801" t="s">
        <v>7143</v>
      </c>
      <c r="J3801" t="s">
        <v>7144</v>
      </c>
      <c r="K3801" t="s">
        <v>44</v>
      </c>
      <c r="N3801" t="s">
        <v>45</v>
      </c>
      <c r="O3801" t="s">
        <v>46</v>
      </c>
      <c r="P3801" t="s">
        <v>45</v>
      </c>
      <c r="Q3801" t="s">
        <v>47</v>
      </c>
      <c r="R3801" t="s">
        <v>44</v>
      </c>
      <c r="S3801">
        <v>0</v>
      </c>
      <c r="W3801" s="3">
        <v>4.9652777777777777E-3</v>
      </c>
      <c r="X3801" t="s">
        <v>7873</v>
      </c>
      <c r="Y3801">
        <v>39</v>
      </c>
      <c r="Z3801">
        <v>0</v>
      </c>
      <c r="AA3801" t="s">
        <v>49</v>
      </c>
      <c r="AB3801">
        <v>0</v>
      </c>
      <c r="AC3801" t="s">
        <v>49</v>
      </c>
      <c r="AD3801">
        <v>0</v>
      </c>
      <c r="AE3801">
        <v>11365259</v>
      </c>
      <c r="AF3801" t="s">
        <v>50</v>
      </c>
      <c r="AG3801" t="s">
        <v>7654</v>
      </c>
    </row>
    <row r="3802" spans="1:33" x14ac:dyDescent="0.35">
      <c r="A3802" s="1">
        <v>44643.624305555553</v>
      </c>
      <c r="B3802">
        <v>4557226</v>
      </c>
      <c r="C3802" t="s">
        <v>7811</v>
      </c>
      <c r="D3802" t="s">
        <v>59</v>
      </c>
      <c r="E3802" s="2">
        <v>42590</v>
      </c>
      <c r="F3802" t="str">
        <f>"9781118999349"</f>
        <v>9781118999349</v>
      </c>
      <c r="G3802" t="str">
        <f>"9781118999325"</f>
        <v>9781118999325</v>
      </c>
      <c r="H3802" t="s">
        <v>4591</v>
      </c>
      <c r="I3802">
        <v>614.4</v>
      </c>
      <c r="J3802" t="s">
        <v>7812</v>
      </c>
      <c r="K3802" t="s">
        <v>44</v>
      </c>
      <c r="N3802" t="s">
        <v>45</v>
      </c>
      <c r="O3802" t="s">
        <v>46</v>
      </c>
      <c r="P3802" t="s">
        <v>45</v>
      </c>
      <c r="Q3802" t="s">
        <v>47</v>
      </c>
      <c r="R3802" t="s">
        <v>44</v>
      </c>
      <c r="S3802">
        <v>0</v>
      </c>
      <c r="W3802" s="3">
        <v>3.1250000000000001E-4</v>
      </c>
      <c r="X3802" t="s">
        <v>7874</v>
      </c>
      <c r="Y3802">
        <v>5</v>
      </c>
      <c r="Z3802">
        <v>1</v>
      </c>
      <c r="AA3802" t="s">
        <v>7875</v>
      </c>
      <c r="AB3802">
        <v>51</v>
      </c>
      <c r="AC3802" t="s">
        <v>49</v>
      </c>
      <c r="AD3802">
        <v>0</v>
      </c>
      <c r="AE3802">
        <v>11223483</v>
      </c>
      <c r="AF3802" t="s">
        <v>50</v>
      </c>
      <c r="AG3802" t="s">
        <v>7733</v>
      </c>
    </row>
    <row r="3803" spans="1:33" x14ac:dyDescent="0.35">
      <c r="A3803" s="1">
        <v>44643.481944444444</v>
      </c>
      <c r="B3803">
        <v>269898</v>
      </c>
      <c r="C3803" t="s">
        <v>7824</v>
      </c>
      <c r="D3803" t="s">
        <v>65</v>
      </c>
      <c r="E3803" s="2">
        <v>38700</v>
      </c>
      <c r="F3803" t="str">
        <f>"9780080454818"</f>
        <v>9780080454818</v>
      </c>
      <c r="G3803" t="str">
        <f>"9780124060616"</f>
        <v>9780124060616</v>
      </c>
      <c r="H3803" t="s">
        <v>77</v>
      </c>
      <c r="I3803" t="s">
        <v>7825</v>
      </c>
      <c r="J3803" t="s">
        <v>7826</v>
      </c>
      <c r="K3803" t="s">
        <v>44</v>
      </c>
      <c r="N3803" t="s">
        <v>45</v>
      </c>
      <c r="O3803" t="s">
        <v>46</v>
      </c>
      <c r="P3803" t="s">
        <v>45</v>
      </c>
      <c r="Q3803" t="s">
        <v>47</v>
      </c>
      <c r="R3803" t="s">
        <v>44</v>
      </c>
      <c r="S3803">
        <v>0</v>
      </c>
      <c r="W3803" s="3">
        <v>9.7453703703703713E-3</v>
      </c>
      <c r="X3803" t="s">
        <v>7876</v>
      </c>
      <c r="Y3803">
        <v>13</v>
      </c>
      <c r="Z3803">
        <v>0</v>
      </c>
      <c r="AA3803" t="s">
        <v>49</v>
      </c>
      <c r="AB3803">
        <v>0</v>
      </c>
      <c r="AC3803" t="s">
        <v>49</v>
      </c>
      <c r="AD3803">
        <v>0</v>
      </c>
      <c r="AE3803">
        <v>10138408</v>
      </c>
      <c r="AF3803" t="s">
        <v>50</v>
      </c>
      <c r="AG3803" t="s">
        <v>7654</v>
      </c>
    </row>
    <row r="3804" spans="1:33" x14ac:dyDescent="0.35">
      <c r="A3804" s="1">
        <v>44643.475694444445</v>
      </c>
      <c r="B3804">
        <v>6729563</v>
      </c>
      <c r="C3804" t="s">
        <v>7877</v>
      </c>
      <c r="D3804" t="s">
        <v>443</v>
      </c>
      <c r="E3804" s="2">
        <v>44537</v>
      </c>
      <c r="F3804" t="str">
        <f>"9780520381209"</f>
        <v>9780520381209</v>
      </c>
      <c r="G3804" t="str">
        <f>"9780520381216"</f>
        <v>9780520381216</v>
      </c>
      <c r="H3804" t="s">
        <v>1046</v>
      </c>
      <c r="I3804">
        <v>307.1216</v>
      </c>
      <c r="K3804" t="s">
        <v>55</v>
      </c>
      <c r="N3804" t="s">
        <v>79</v>
      </c>
      <c r="P3804" t="s">
        <v>950</v>
      </c>
      <c r="Q3804" t="s">
        <v>47</v>
      </c>
      <c r="R3804" t="s">
        <v>55</v>
      </c>
      <c r="S3804">
        <v>0</v>
      </c>
      <c r="W3804" s="3">
        <v>1.3194444444444443E-3</v>
      </c>
      <c r="X3804" t="s">
        <v>7878</v>
      </c>
      <c r="Y3804">
        <v>11</v>
      </c>
      <c r="Z3804">
        <v>0</v>
      </c>
      <c r="AA3804" t="s">
        <v>49</v>
      </c>
      <c r="AB3804">
        <v>0</v>
      </c>
      <c r="AC3804" t="s">
        <v>49</v>
      </c>
      <c r="AD3804">
        <v>0</v>
      </c>
      <c r="AE3804">
        <v>-1</v>
      </c>
      <c r="AF3804" t="s">
        <v>50</v>
      </c>
      <c r="AG3804" t="s">
        <v>7879</v>
      </c>
    </row>
    <row r="3805" spans="1:33" x14ac:dyDescent="0.35">
      <c r="A3805" s="1">
        <v>44643.47152777778</v>
      </c>
      <c r="B3805">
        <v>5896889</v>
      </c>
      <c r="C3805" t="s">
        <v>7831</v>
      </c>
      <c r="D3805" t="s">
        <v>497</v>
      </c>
      <c r="E3805" s="2">
        <v>43797</v>
      </c>
      <c r="F3805" t="str">
        <f>"9781786736604"</f>
        <v>9781786736604</v>
      </c>
      <c r="G3805" t="str">
        <f>"9781788318075"</f>
        <v>9781788318075</v>
      </c>
      <c r="H3805" t="s">
        <v>7832</v>
      </c>
      <c r="I3805">
        <v>362.20820940999999</v>
      </c>
      <c r="J3805" t="s">
        <v>7833</v>
      </c>
      <c r="K3805" t="s">
        <v>55</v>
      </c>
      <c r="Q3805" t="s">
        <v>47</v>
      </c>
      <c r="R3805" t="s">
        <v>44</v>
      </c>
      <c r="S3805">
        <v>0</v>
      </c>
      <c r="W3805" s="3">
        <v>6.5972222222222222E-3</v>
      </c>
      <c r="X3805" t="s">
        <v>7880</v>
      </c>
      <c r="Y3805">
        <v>8</v>
      </c>
      <c r="Z3805">
        <v>0</v>
      </c>
      <c r="AA3805" t="s">
        <v>49</v>
      </c>
      <c r="AB3805">
        <v>0</v>
      </c>
      <c r="AC3805" t="s">
        <v>49</v>
      </c>
      <c r="AD3805">
        <v>0</v>
      </c>
      <c r="AE3805">
        <v>-1</v>
      </c>
      <c r="AF3805" t="s">
        <v>50</v>
      </c>
      <c r="AG3805" t="s">
        <v>7654</v>
      </c>
    </row>
    <row r="3806" spans="1:33" x14ac:dyDescent="0.35">
      <c r="A3806" s="1">
        <v>44643.470138888886</v>
      </c>
      <c r="B3806">
        <v>5988247</v>
      </c>
      <c r="C3806" t="s">
        <v>7881</v>
      </c>
      <c r="D3806" t="s">
        <v>711</v>
      </c>
      <c r="E3806" s="2">
        <v>43795</v>
      </c>
      <c r="F3806" t="str">
        <f>"9781464815119"</f>
        <v>9781464815119</v>
      </c>
      <c r="G3806" t="str">
        <f>"9781464814587"</f>
        <v>9781464814587</v>
      </c>
      <c r="H3806" t="s">
        <v>60</v>
      </c>
      <c r="J3806" t="s">
        <v>7882</v>
      </c>
      <c r="K3806" t="s">
        <v>55</v>
      </c>
      <c r="N3806" t="s">
        <v>45</v>
      </c>
      <c r="O3806" t="s">
        <v>46</v>
      </c>
      <c r="P3806" t="s">
        <v>177</v>
      </c>
      <c r="Q3806" t="s">
        <v>47</v>
      </c>
      <c r="R3806" t="s">
        <v>55</v>
      </c>
      <c r="S3806">
        <v>0</v>
      </c>
      <c r="W3806" s="3">
        <v>2.3148148148148146E-4</v>
      </c>
      <c r="X3806" t="s">
        <v>320</v>
      </c>
      <c r="Y3806">
        <v>3</v>
      </c>
      <c r="Z3806">
        <v>0</v>
      </c>
      <c r="AA3806" t="s">
        <v>49</v>
      </c>
      <c r="AB3806">
        <v>0</v>
      </c>
      <c r="AC3806" t="s">
        <v>49</v>
      </c>
      <c r="AD3806">
        <v>0</v>
      </c>
      <c r="AE3806">
        <v>-1</v>
      </c>
      <c r="AF3806" t="s">
        <v>50</v>
      </c>
      <c r="AG3806" t="s">
        <v>7883</v>
      </c>
    </row>
    <row r="3807" spans="1:33" x14ac:dyDescent="0.35">
      <c r="A3807" s="1">
        <v>44642.876388888886</v>
      </c>
      <c r="B3807">
        <v>1318205</v>
      </c>
      <c r="C3807" t="s">
        <v>7828</v>
      </c>
      <c r="D3807" t="s">
        <v>59</v>
      </c>
      <c r="E3807" s="2">
        <v>41561</v>
      </c>
      <c r="F3807" t="str">
        <f>"9781118316320"</f>
        <v>9781118316320</v>
      </c>
      <c r="G3807" t="str">
        <f>"9781118316290"</f>
        <v>9781118316290</v>
      </c>
      <c r="H3807" t="s">
        <v>77</v>
      </c>
      <c r="I3807">
        <v>616.71600000000001</v>
      </c>
      <c r="J3807" t="s">
        <v>7829</v>
      </c>
      <c r="K3807" t="s">
        <v>44</v>
      </c>
      <c r="N3807" t="s">
        <v>45</v>
      </c>
      <c r="O3807" t="s">
        <v>46</v>
      </c>
      <c r="P3807" t="s">
        <v>45</v>
      </c>
      <c r="Q3807" t="s">
        <v>47</v>
      </c>
      <c r="R3807" t="s">
        <v>44</v>
      </c>
      <c r="S3807">
        <v>0</v>
      </c>
      <c r="W3807" s="3">
        <v>1.6203703703703703E-3</v>
      </c>
      <c r="X3807" t="s">
        <v>7884</v>
      </c>
      <c r="Y3807">
        <v>11</v>
      </c>
      <c r="Z3807">
        <v>0</v>
      </c>
      <c r="AA3807" t="s">
        <v>49</v>
      </c>
      <c r="AB3807">
        <v>0</v>
      </c>
      <c r="AC3807" t="s">
        <v>49</v>
      </c>
      <c r="AD3807">
        <v>0</v>
      </c>
      <c r="AE3807">
        <v>10734306</v>
      </c>
      <c r="AF3807" t="s">
        <v>50</v>
      </c>
      <c r="AG3807" t="s">
        <v>7654</v>
      </c>
    </row>
    <row r="3808" spans="1:33" x14ac:dyDescent="0.35">
      <c r="A3808" s="1">
        <v>44642.873611111114</v>
      </c>
      <c r="B3808">
        <v>1104754</v>
      </c>
      <c r="C3808" t="s">
        <v>7885</v>
      </c>
      <c r="D3808" t="s">
        <v>76</v>
      </c>
      <c r="E3808" s="2">
        <v>41191</v>
      </c>
      <c r="F3808" t="str">
        <f>"9781136239755"</f>
        <v>9781136239755</v>
      </c>
      <c r="G3808" t="str">
        <f>"9780415626910"</f>
        <v>9780415626910</v>
      </c>
      <c r="H3808" t="s">
        <v>1046</v>
      </c>
      <c r="I3808">
        <v>305.42090000000002</v>
      </c>
      <c r="J3808" t="s">
        <v>7886</v>
      </c>
      <c r="K3808" t="s">
        <v>44</v>
      </c>
      <c r="N3808" t="s">
        <v>45</v>
      </c>
      <c r="O3808" t="s">
        <v>46</v>
      </c>
      <c r="P3808" t="s">
        <v>45</v>
      </c>
      <c r="Q3808" t="s">
        <v>47</v>
      </c>
      <c r="R3808" t="s">
        <v>44</v>
      </c>
      <c r="S3808">
        <v>0</v>
      </c>
      <c r="W3808" s="3">
        <v>2.4768518518518516E-3</v>
      </c>
      <c r="X3808" t="s">
        <v>7887</v>
      </c>
      <c r="Y3808">
        <v>6</v>
      </c>
      <c r="Z3808">
        <v>0</v>
      </c>
      <c r="AA3808" t="s">
        <v>49</v>
      </c>
      <c r="AB3808">
        <v>0</v>
      </c>
      <c r="AC3808" t="s">
        <v>49</v>
      </c>
      <c r="AD3808">
        <v>0</v>
      </c>
      <c r="AE3808">
        <v>10641732</v>
      </c>
      <c r="AF3808" t="s">
        <v>50</v>
      </c>
      <c r="AG3808" t="s">
        <v>7654</v>
      </c>
    </row>
    <row r="3809" spans="1:33" x14ac:dyDescent="0.35">
      <c r="A3809" s="1">
        <v>44642.866666666669</v>
      </c>
      <c r="B3809">
        <v>472375</v>
      </c>
      <c r="C3809" t="s">
        <v>7888</v>
      </c>
      <c r="D3809" t="s">
        <v>125</v>
      </c>
      <c r="E3809" s="2">
        <v>40909</v>
      </c>
      <c r="F3809" t="str">
        <f>"9780191571800"</f>
        <v>9780191571800</v>
      </c>
      <c r="G3809" t="str">
        <f>"9780199692989"</f>
        <v>9780199692989</v>
      </c>
      <c r="H3809" t="s">
        <v>151</v>
      </c>
      <c r="I3809">
        <v>616.85239999999999</v>
      </c>
      <c r="J3809" t="s">
        <v>7889</v>
      </c>
      <c r="K3809" t="s">
        <v>44</v>
      </c>
      <c r="N3809" t="s">
        <v>45</v>
      </c>
      <c r="O3809" t="s">
        <v>46</v>
      </c>
      <c r="P3809" t="s">
        <v>45</v>
      </c>
      <c r="Q3809" t="s">
        <v>47</v>
      </c>
      <c r="R3809" t="s">
        <v>44</v>
      </c>
      <c r="S3809">
        <v>0</v>
      </c>
      <c r="W3809" s="3">
        <v>6.6203703703703702E-3</v>
      </c>
      <c r="X3809" t="s">
        <v>7890</v>
      </c>
      <c r="Y3809">
        <v>7</v>
      </c>
      <c r="Z3809">
        <v>0</v>
      </c>
      <c r="AA3809" t="s">
        <v>49</v>
      </c>
      <c r="AB3809">
        <v>0</v>
      </c>
      <c r="AC3809" t="s">
        <v>49</v>
      </c>
      <c r="AD3809">
        <v>0</v>
      </c>
      <c r="AE3809">
        <v>10358298</v>
      </c>
      <c r="AF3809" t="s">
        <v>50</v>
      </c>
      <c r="AG3809" t="s">
        <v>7654</v>
      </c>
    </row>
    <row r="3810" spans="1:33" x14ac:dyDescent="0.35">
      <c r="A3810" s="1">
        <v>44642.865277777775</v>
      </c>
      <c r="B3810">
        <v>6297510</v>
      </c>
      <c r="C3810" t="s">
        <v>7891</v>
      </c>
      <c r="D3810" t="s">
        <v>76</v>
      </c>
      <c r="E3810" s="2">
        <v>44070</v>
      </c>
      <c r="F3810" t="str">
        <f>"9781351249966"</f>
        <v>9781351249966</v>
      </c>
      <c r="G3810" t="str">
        <f>"9780815370239"</f>
        <v>9780815370239</v>
      </c>
      <c r="H3810" t="s">
        <v>77</v>
      </c>
      <c r="I3810">
        <v>616.995</v>
      </c>
      <c r="J3810" t="s">
        <v>7892</v>
      </c>
      <c r="K3810" t="s">
        <v>55</v>
      </c>
      <c r="Q3810" t="s">
        <v>47</v>
      </c>
      <c r="R3810" t="s">
        <v>44</v>
      </c>
      <c r="S3810">
        <v>0</v>
      </c>
      <c r="W3810" s="3">
        <v>1.1226851851851851E-3</v>
      </c>
      <c r="X3810" t="s">
        <v>7893</v>
      </c>
      <c r="Y3810">
        <v>12</v>
      </c>
      <c r="Z3810">
        <v>0</v>
      </c>
      <c r="AA3810" t="s">
        <v>49</v>
      </c>
      <c r="AB3810">
        <v>0</v>
      </c>
      <c r="AC3810" t="s">
        <v>49</v>
      </c>
      <c r="AD3810">
        <v>0</v>
      </c>
      <c r="AE3810">
        <v>-1</v>
      </c>
      <c r="AF3810" t="s">
        <v>50</v>
      </c>
      <c r="AG3810" t="s">
        <v>7654</v>
      </c>
    </row>
    <row r="3811" spans="1:33" x14ac:dyDescent="0.35">
      <c r="A3811" s="1">
        <v>44642.861805555556</v>
      </c>
      <c r="B3811">
        <v>877584</v>
      </c>
      <c r="C3811" t="s">
        <v>7819</v>
      </c>
      <c r="D3811" t="s">
        <v>2193</v>
      </c>
      <c r="E3811" s="2">
        <v>40218</v>
      </c>
      <c r="F3811" t="str">
        <f>"9780313372124"</f>
        <v>9780313372124</v>
      </c>
      <c r="G3811" t="str">
        <f>"9780313372117"</f>
        <v>9780313372117</v>
      </c>
      <c r="H3811" t="s">
        <v>7820</v>
      </c>
      <c r="I3811" t="s">
        <v>7821</v>
      </c>
      <c r="J3811" t="s">
        <v>7822</v>
      </c>
      <c r="K3811" t="s">
        <v>44</v>
      </c>
      <c r="N3811" t="s">
        <v>45</v>
      </c>
      <c r="O3811" t="s">
        <v>46</v>
      </c>
      <c r="P3811" t="s">
        <v>45</v>
      </c>
      <c r="Q3811" t="s">
        <v>47</v>
      </c>
      <c r="R3811" t="s">
        <v>44</v>
      </c>
      <c r="S3811">
        <v>0</v>
      </c>
      <c r="W3811" s="3">
        <v>3.9236111111111112E-3</v>
      </c>
      <c r="X3811" t="s">
        <v>7894</v>
      </c>
      <c r="Y3811">
        <v>20</v>
      </c>
      <c r="Z3811">
        <v>0</v>
      </c>
      <c r="AA3811" t="s">
        <v>49</v>
      </c>
      <c r="AB3811">
        <v>0</v>
      </c>
      <c r="AC3811" t="s">
        <v>49</v>
      </c>
      <c r="AD3811">
        <v>0</v>
      </c>
      <c r="AE3811">
        <v>10545292</v>
      </c>
      <c r="AF3811" t="s">
        <v>50</v>
      </c>
      <c r="AG3811" t="s">
        <v>7654</v>
      </c>
    </row>
    <row r="3812" spans="1:33" x14ac:dyDescent="0.35">
      <c r="A3812" s="1">
        <v>44642.80972222222</v>
      </c>
      <c r="B3812">
        <v>3118039</v>
      </c>
      <c r="C3812" t="s">
        <v>7895</v>
      </c>
      <c r="D3812" t="s">
        <v>7896</v>
      </c>
      <c r="E3812" s="2">
        <v>40148</v>
      </c>
      <c r="F3812" t="str">
        <f>"9780807096727"</f>
        <v>9780807096727</v>
      </c>
      <c r="G3812" t="str">
        <f>"9780807042298"</f>
        <v>9780807042298</v>
      </c>
      <c r="H3812" t="s">
        <v>90</v>
      </c>
      <c r="I3812">
        <v>378.3</v>
      </c>
      <c r="J3812" t="s">
        <v>7897</v>
      </c>
      <c r="K3812" t="s">
        <v>44</v>
      </c>
      <c r="N3812" t="s">
        <v>45</v>
      </c>
      <c r="O3812" t="s">
        <v>46</v>
      </c>
      <c r="P3812" t="s">
        <v>45</v>
      </c>
      <c r="Q3812" t="s">
        <v>47</v>
      </c>
      <c r="R3812" t="s">
        <v>44</v>
      </c>
      <c r="S3812">
        <v>0</v>
      </c>
      <c r="W3812" s="3">
        <v>2.7662037037037034E-3</v>
      </c>
      <c r="X3812" t="s">
        <v>7898</v>
      </c>
      <c r="Y3812">
        <v>12</v>
      </c>
      <c r="Z3812">
        <v>0</v>
      </c>
      <c r="AA3812" t="s">
        <v>49</v>
      </c>
      <c r="AB3812">
        <v>0</v>
      </c>
      <c r="AC3812" t="s">
        <v>49</v>
      </c>
      <c r="AD3812">
        <v>0</v>
      </c>
      <c r="AE3812">
        <v>10268614</v>
      </c>
      <c r="AF3812" t="s">
        <v>50</v>
      </c>
      <c r="AG3812" t="s">
        <v>7760</v>
      </c>
    </row>
    <row r="3813" spans="1:33" x14ac:dyDescent="0.35">
      <c r="A3813" s="1">
        <v>44642.745833333334</v>
      </c>
      <c r="B3813">
        <v>3011029</v>
      </c>
      <c r="C3813" t="s">
        <v>7899</v>
      </c>
      <c r="D3813" t="s">
        <v>3677</v>
      </c>
      <c r="E3813" s="2">
        <v>39052</v>
      </c>
      <c r="F3813" t="str">
        <f>"9788189940508"</f>
        <v>9788189940508</v>
      </c>
      <c r="G3813" t="str">
        <f>""</f>
        <v/>
      </c>
      <c r="H3813" t="s">
        <v>1069</v>
      </c>
      <c r="J3813" t="s">
        <v>7900</v>
      </c>
      <c r="K3813" t="s">
        <v>44</v>
      </c>
      <c r="N3813" t="s">
        <v>45</v>
      </c>
      <c r="O3813" t="s">
        <v>46</v>
      </c>
      <c r="P3813" t="s">
        <v>45</v>
      </c>
      <c r="Q3813" t="s">
        <v>47</v>
      </c>
      <c r="R3813" t="s">
        <v>44</v>
      </c>
      <c r="S3813">
        <v>0</v>
      </c>
      <c r="W3813" s="3">
        <v>3.7037037037037035E-4</v>
      </c>
      <c r="X3813" t="s">
        <v>942</v>
      </c>
      <c r="Y3813">
        <v>5</v>
      </c>
      <c r="Z3813">
        <v>0</v>
      </c>
      <c r="AA3813" t="s">
        <v>49</v>
      </c>
      <c r="AB3813">
        <v>0</v>
      </c>
      <c r="AC3813" t="s">
        <v>49</v>
      </c>
      <c r="AD3813">
        <v>0</v>
      </c>
      <c r="AE3813">
        <v>10300294</v>
      </c>
      <c r="AF3813" t="s">
        <v>50</v>
      </c>
      <c r="AG3813" t="s">
        <v>2782</v>
      </c>
    </row>
    <row r="3814" spans="1:33" x14ac:dyDescent="0.35">
      <c r="A3814" s="1">
        <v>44642.736805555556</v>
      </c>
      <c r="B3814">
        <v>3440632</v>
      </c>
      <c r="C3814" t="s">
        <v>7901</v>
      </c>
      <c r="D3814" t="s">
        <v>7902</v>
      </c>
      <c r="E3814" s="2">
        <v>42299</v>
      </c>
      <c r="F3814" t="str">
        <f>"9780816532261"</f>
        <v>9780816532261</v>
      </c>
      <c r="G3814" t="str">
        <f>"9780816500383"</f>
        <v>9780816500383</v>
      </c>
      <c r="H3814" t="s">
        <v>1626</v>
      </c>
      <c r="I3814">
        <v>550</v>
      </c>
      <c r="J3814" t="s">
        <v>7903</v>
      </c>
      <c r="K3814" t="s">
        <v>44</v>
      </c>
      <c r="N3814" t="s">
        <v>45</v>
      </c>
      <c r="O3814" t="s">
        <v>46</v>
      </c>
      <c r="P3814" t="s">
        <v>45</v>
      </c>
      <c r="Q3814" t="s">
        <v>47</v>
      </c>
      <c r="R3814" t="s">
        <v>44</v>
      </c>
      <c r="S3814">
        <v>0</v>
      </c>
      <c r="W3814" s="3">
        <v>8.4143518518518517E-3</v>
      </c>
      <c r="X3814" t="s">
        <v>7904</v>
      </c>
      <c r="Y3814">
        <v>28</v>
      </c>
      <c r="Z3814">
        <v>0</v>
      </c>
      <c r="AA3814" t="s">
        <v>49</v>
      </c>
      <c r="AB3814">
        <v>0</v>
      </c>
      <c r="AC3814" t="s">
        <v>49</v>
      </c>
      <c r="AD3814">
        <v>0</v>
      </c>
      <c r="AE3814">
        <v>11078256</v>
      </c>
      <c r="AF3814" t="s">
        <v>50</v>
      </c>
      <c r="AG3814" t="s">
        <v>7777</v>
      </c>
    </row>
    <row r="3815" spans="1:33" x14ac:dyDescent="0.35">
      <c r="A3815" s="1">
        <v>44642.65</v>
      </c>
      <c r="B3815">
        <v>1666495</v>
      </c>
      <c r="C3815" t="s">
        <v>4835</v>
      </c>
      <c r="D3815" t="s">
        <v>59</v>
      </c>
      <c r="E3815" s="2">
        <v>41757</v>
      </c>
      <c r="F3815" t="str">
        <f t="shared" ref="F3815:F3820" si="12">"9781118875179"</f>
        <v>9781118875179</v>
      </c>
      <c r="G3815" t="str">
        <f t="shared" ref="G3815:G3820" si="13">"9781118875193"</f>
        <v>9781118875193</v>
      </c>
      <c r="H3815" t="s">
        <v>1112</v>
      </c>
      <c r="I3815">
        <v>665.81</v>
      </c>
      <c r="J3815" t="s">
        <v>4836</v>
      </c>
      <c r="K3815" t="s">
        <v>44</v>
      </c>
      <c r="N3815" t="s">
        <v>45</v>
      </c>
      <c r="O3815" t="s">
        <v>46</v>
      </c>
      <c r="P3815" t="s">
        <v>45</v>
      </c>
      <c r="Q3815" t="s">
        <v>47</v>
      </c>
      <c r="R3815" t="s">
        <v>44</v>
      </c>
      <c r="S3815">
        <v>0</v>
      </c>
      <c r="W3815" s="3">
        <v>1.1574074074074073E-5</v>
      </c>
      <c r="X3815" t="s">
        <v>49</v>
      </c>
      <c r="Y3815">
        <v>0</v>
      </c>
      <c r="Z3815">
        <v>2</v>
      </c>
      <c r="AA3815" t="s">
        <v>7905</v>
      </c>
      <c r="AB3815">
        <v>40</v>
      </c>
      <c r="AC3815" t="s">
        <v>49</v>
      </c>
      <c r="AD3815">
        <v>0</v>
      </c>
      <c r="AE3815">
        <v>10860970</v>
      </c>
      <c r="AF3815" t="s">
        <v>50</v>
      </c>
      <c r="AG3815" t="s">
        <v>7760</v>
      </c>
    </row>
    <row r="3816" spans="1:33" x14ac:dyDescent="0.35">
      <c r="A3816" s="1">
        <v>44642.645138888889</v>
      </c>
      <c r="B3816">
        <v>1666495</v>
      </c>
      <c r="C3816" t="s">
        <v>4835</v>
      </c>
      <c r="D3816" t="s">
        <v>59</v>
      </c>
      <c r="E3816" s="2">
        <v>41757</v>
      </c>
      <c r="F3816" t="str">
        <f t="shared" si="12"/>
        <v>9781118875179</v>
      </c>
      <c r="G3816" t="str">
        <f t="shared" si="13"/>
        <v>9781118875193</v>
      </c>
      <c r="H3816" t="s">
        <v>1112</v>
      </c>
      <c r="I3816">
        <v>665.81</v>
      </c>
      <c r="J3816" t="s">
        <v>4836</v>
      </c>
      <c r="K3816" t="s">
        <v>44</v>
      </c>
      <c r="N3816" t="s">
        <v>45</v>
      </c>
      <c r="O3816" t="s">
        <v>46</v>
      </c>
      <c r="P3816" t="s">
        <v>45</v>
      </c>
      <c r="Q3816" t="s">
        <v>47</v>
      </c>
      <c r="R3816" t="s">
        <v>44</v>
      </c>
      <c r="S3816">
        <v>0</v>
      </c>
      <c r="W3816" s="3">
        <v>0</v>
      </c>
      <c r="X3816" t="s">
        <v>49</v>
      </c>
      <c r="Y3816">
        <v>0</v>
      </c>
      <c r="Z3816">
        <v>2</v>
      </c>
      <c r="AA3816" t="s">
        <v>7906</v>
      </c>
      <c r="AB3816">
        <v>44</v>
      </c>
      <c r="AC3816" t="s">
        <v>49</v>
      </c>
      <c r="AD3816">
        <v>0</v>
      </c>
      <c r="AE3816">
        <v>10860970</v>
      </c>
      <c r="AF3816" t="s">
        <v>50</v>
      </c>
      <c r="AG3816" t="s">
        <v>7493</v>
      </c>
    </row>
    <row r="3817" spans="1:33" x14ac:dyDescent="0.35">
      <c r="A3817" s="1">
        <v>44642.638888888891</v>
      </c>
      <c r="B3817">
        <v>1666495</v>
      </c>
      <c r="C3817" t="s">
        <v>4835</v>
      </c>
      <c r="D3817" t="s">
        <v>59</v>
      </c>
      <c r="E3817" s="2">
        <v>41757</v>
      </c>
      <c r="F3817" t="str">
        <f t="shared" si="12"/>
        <v>9781118875179</v>
      </c>
      <c r="G3817" t="str">
        <f t="shared" si="13"/>
        <v>9781118875193</v>
      </c>
      <c r="H3817" t="s">
        <v>1112</v>
      </c>
      <c r="I3817">
        <v>665.81</v>
      </c>
      <c r="J3817" t="s">
        <v>4836</v>
      </c>
      <c r="K3817" t="s">
        <v>44</v>
      </c>
      <c r="N3817" t="s">
        <v>45</v>
      </c>
      <c r="O3817" t="s">
        <v>46</v>
      </c>
      <c r="P3817" t="s">
        <v>45</v>
      </c>
      <c r="Q3817" t="s">
        <v>47</v>
      </c>
      <c r="R3817" t="s">
        <v>44</v>
      </c>
      <c r="S3817">
        <v>1</v>
      </c>
      <c r="W3817" s="3">
        <v>0</v>
      </c>
      <c r="X3817" t="s">
        <v>49</v>
      </c>
      <c r="Y3817">
        <v>0</v>
      </c>
      <c r="Z3817">
        <v>2</v>
      </c>
      <c r="AA3817" t="s">
        <v>7907</v>
      </c>
      <c r="AB3817">
        <v>46</v>
      </c>
      <c r="AC3817" t="s">
        <v>49</v>
      </c>
      <c r="AD3817">
        <v>0</v>
      </c>
      <c r="AE3817">
        <v>10860970</v>
      </c>
      <c r="AF3817" t="s">
        <v>63</v>
      </c>
      <c r="AG3817" t="s">
        <v>7654</v>
      </c>
    </row>
    <row r="3818" spans="1:33" x14ac:dyDescent="0.35">
      <c r="A3818" s="1">
        <v>44642.636111111111</v>
      </c>
      <c r="B3818">
        <v>1666495</v>
      </c>
      <c r="C3818" t="s">
        <v>4835</v>
      </c>
      <c r="D3818" t="s">
        <v>59</v>
      </c>
      <c r="E3818" s="2">
        <v>41757</v>
      </c>
      <c r="F3818" t="str">
        <f t="shared" si="12"/>
        <v>9781118875179</v>
      </c>
      <c r="G3818" t="str">
        <f t="shared" si="13"/>
        <v>9781118875193</v>
      </c>
      <c r="H3818" t="s">
        <v>1112</v>
      </c>
      <c r="I3818">
        <v>665.81</v>
      </c>
      <c r="J3818" t="s">
        <v>4836</v>
      </c>
      <c r="K3818" t="s">
        <v>44</v>
      </c>
      <c r="N3818" t="s">
        <v>45</v>
      </c>
      <c r="O3818" t="s">
        <v>46</v>
      </c>
      <c r="P3818" t="s">
        <v>45</v>
      </c>
      <c r="Q3818" t="s">
        <v>47</v>
      </c>
      <c r="R3818" t="s">
        <v>44</v>
      </c>
      <c r="S3818">
        <v>0</v>
      </c>
      <c r="W3818" s="3">
        <v>2.1759259259259258E-3</v>
      </c>
      <c r="X3818" t="s">
        <v>3286</v>
      </c>
      <c r="Y3818">
        <v>1</v>
      </c>
      <c r="Z3818">
        <v>2</v>
      </c>
      <c r="AA3818" t="s">
        <v>7908</v>
      </c>
      <c r="AB3818">
        <v>32</v>
      </c>
      <c r="AC3818" t="s">
        <v>49</v>
      </c>
      <c r="AD3818">
        <v>0</v>
      </c>
      <c r="AE3818">
        <v>10860970</v>
      </c>
      <c r="AF3818" t="s">
        <v>50</v>
      </c>
      <c r="AG3818" t="s">
        <v>7654</v>
      </c>
    </row>
    <row r="3819" spans="1:33" x14ac:dyDescent="0.35">
      <c r="A3819" s="1">
        <v>44642.634027777778</v>
      </c>
      <c r="B3819">
        <v>1666495</v>
      </c>
      <c r="C3819" t="s">
        <v>4835</v>
      </c>
      <c r="D3819" t="s">
        <v>59</v>
      </c>
      <c r="E3819" s="2">
        <v>41757</v>
      </c>
      <c r="F3819" t="str">
        <f t="shared" si="12"/>
        <v>9781118875179</v>
      </c>
      <c r="G3819" t="str">
        <f t="shared" si="13"/>
        <v>9781118875193</v>
      </c>
      <c r="H3819" t="s">
        <v>1112</v>
      </c>
      <c r="I3819">
        <v>665.81</v>
      </c>
      <c r="J3819" t="s">
        <v>4836</v>
      </c>
      <c r="K3819" t="s">
        <v>44</v>
      </c>
      <c r="N3819" t="s">
        <v>45</v>
      </c>
      <c r="O3819" t="s">
        <v>46</v>
      </c>
      <c r="P3819" t="s">
        <v>45</v>
      </c>
      <c r="Q3819" t="s">
        <v>47</v>
      </c>
      <c r="R3819" t="s">
        <v>44</v>
      </c>
      <c r="S3819">
        <v>0</v>
      </c>
      <c r="W3819" s="3">
        <v>1.1574074074074073E-5</v>
      </c>
      <c r="X3819" t="s">
        <v>49</v>
      </c>
      <c r="Y3819">
        <v>0</v>
      </c>
      <c r="Z3819">
        <v>7</v>
      </c>
      <c r="AA3819" t="s">
        <v>7909</v>
      </c>
      <c r="AB3819">
        <v>53</v>
      </c>
      <c r="AC3819" t="s">
        <v>49</v>
      </c>
      <c r="AD3819">
        <v>0</v>
      </c>
      <c r="AE3819">
        <v>10860970</v>
      </c>
      <c r="AF3819" t="s">
        <v>50</v>
      </c>
      <c r="AG3819" t="s">
        <v>7910</v>
      </c>
    </row>
    <row r="3820" spans="1:33" x14ac:dyDescent="0.35">
      <c r="A3820" s="1">
        <v>44642.625694444447</v>
      </c>
      <c r="B3820">
        <v>1666495</v>
      </c>
      <c r="C3820" t="s">
        <v>4835</v>
      </c>
      <c r="D3820" t="s">
        <v>59</v>
      </c>
      <c r="E3820" s="2">
        <v>41757</v>
      </c>
      <c r="F3820" t="str">
        <f t="shared" si="12"/>
        <v>9781118875179</v>
      </c>
      <c r="G3820" t="str">
        <f t="shared" si="13"/>
        <v>9781118875193</v>
      </c>
      <c r="H3820" t="s">
        <v>1112</v>
      </c>
      <c r="I3820">
        <v>665.81</v>
      </c>
      <c r="J3820" t="s">
        <v>4836</v>
      </c>
      <c r="K3820" t="s">
        <v>44</v>
      </c>
      <c r="N3820" t="s">
        <v>45</v>
      </c>
      <c r="O3820" t="s">
        <v>46</v>
      </c>
      <c r="P3820" t="s">
        <v>45</v>
      </c>
      <c r="Q3820" t="s">
        <v>47</v>
      </c>
      <c r="R3820" t="s">
        <v>44</v>
      </c>
      <c r="S3820">
        <v>2</v>
      </c>
      <c r="W3820" s="3">
        <v>5.7870370370370366E-5</v>
      </c>
      <c r="X3820" t="s">
        <v>7911</v>
      </c>
      <c r="Y3820">
        <v>1</v>
      </c>
      <c r="Z3820">
        <v>3</v>
      </c>
      <c r="AA3820" t="s">
        <v>7912</v>
      </c>
      <c r="AB3820">
        <v>44</v>
      </c>
      <c r="AC3820" t="s">
        <v>49</v>
      </c>
      <c r="AD3820">
        <v>0</v>
      </c>
      <c r="AE3820">
        <v>10860970</v>
      </c>
      <c r="AF3820" t="s">
        <v>63</v>
      </c>
      <c r="AG3820" t="s">
        <v>7654</v>
      </c>
    </row>
    <row r="3821" spans="1:33" x14ac:dyDescent="0.35">
      <c r="A3821" s="1">
        <v>44642.56527777778</v>
      </c>
      <c r="B3821">
        <v>1757957</v>
      </c>
      <c r="C3821" t="s">
        <v>7913</v>
      </c>
      <c r="D3821" t="s">
        <v>59</v>
      </c>
      <c r="E3821" s="2">
        <v>41904</v>
      </c>
      <c r="F3821" t="str">
        <f>"9781118624210"</f>
        <v>9781118624210</v>
      </c>
      <c r="G3821" t="str">
        <f>"9781118624227"</f>
        <v>9781118624227</v>
      </c>
      <c r="H3821" t="s">
        <v>147</v>
      </c>
      <c r="I3821" t="s">
        <v>7914</v>
      </c>
      <c r="J3821" t="s">
        <v>7915</v>
      </c>
      <c r="K3821" t="s">
        <v>44</v>
      </c>
      <c r="N3821" t="s">
        <v>45</v>
      </c>
      <c r="O3821" t="s">
        <v>46</v>
      </c>
      <c r="P3821" t="s">
        <v>45</v>
      </c>
      <c r="Q3821" t="s">
        <v>47</v>
      </c>
      <c r="R3821" t="s">
        <v>44</v>
      </c>
      <c r="S3821">
        <v>0</v>
      </c>
      <c r="W3821" s="3">
        <v>1.5162037037037036E-3</v>
      </c>
      <c r="X3821" t="s">
        <v>7916</v>
      </c>
      <c r="Y3821">
        <v>15</v>
      </c>
      <c r="Z3821">
        <v>0</v>
      </c>
      <c r="AA3821" t="s">
        <v>49</v>
      </c>
      <c r="AB3821">
        <v>0</v>
      </c>
      <c r="AC3821" t="s">
        <v>49</v>
      </c>
      <c r="AD3821">
        <v>0</v>
      </c>
      <c r="AE3821">
        <v>10902082</v>
      </c>
      <c r="AF3821" t="s">
        <v>50</v>
      </c>
      <c r="AG3821" t="s">
        <v>7917</v>
      </c>
    </row>
    <row r="3822" spans="1:33" x14ac:dyDescent="0.35">
      <c r="A3822" s="1">
        <v>44642.557638888888</v>
      </c>
      <c r="B3822">
        <v>412813</v>
      </c>
      <c r="C3822" t="s">
        <v>7918</v>
      </c>
      <c r="D3822" t="s">
        <v>502</v>
      </c>
      <c r="E3822" s="2">
        <v>39545</v>
      </c>
      <c r="F3822" t="str">
        <f>"9780511477287"</f>
        <v>9780511477287</v>
      </c>
      <c r="G3822" t="str">
        <f>"9780521884228"</f>
        <v>9780521884228</v>
      </c>
      <c r="H3822" t="s">
        <v>147</v>
      </c>
      <c r="I3822">
        <v>616.85209999999995</v>
      </c>
      <c r="J3822" t="s">
        <v>7919</v>
      </c>
      <c r="K3822" t="s">
        <v>44</v>
      </c>
      <c r="N3822" t="s">
        <v>45</v>
      </c>
      <c r="O3822" t="s">
        <v>46</v>
      </c>
      <c r="P3822" t="s">
        <v>45</v>
      </c>
      <c r="Q3822" t="s">
        <v>47</v>
      </c>
      <c r="R3822" t="s">
        <v>44</v>
      </c>
      <c r="S3822">
        <v>0</v>
      </c>
      <c r="W3822" s="3">
        <v>1.8518518518518518E-4</v>
      </c>
      <c r="X3822" t="s">
        <v>56</v>
      </c>
      <c r="Y3822">
        <v>3</v>
      </c>
      <c r="Z3822">
        <v>0</v>
      </c>
      <c r="AA3822" t="s">
        <v>49</v>
      </c>
      <c r="AB3822">
        <v>0</v>
      </c>
      <c r="AC3822" t="s">
        <v>49</v>
      </c>
      <c r="AD3822">
        <v>0</v>
      </c>
      <c r="AE3822">
        <v>10279724</v>
      </c>
      <c r="AF3822" t="s">
        <v>50</v>
      </c>
      <c r="AG3822" t="s">
        <v>7917</v>
      </c>
    </row>
    <row r="3823" spans="1:33" x14ac:dyDescent="0.35">
      <c r="A3823" s="1">
        <v>44642.556250000001</v>
      </c>
      <c r="B3823">
        <v>1092692</v>
      </c>
      <c r="C3823" t="s">
        <v>7920</v>
      </c>
      <c r="D3823" t="s">
        <v>76</v>
      </c>
      <c r="E3823" s="2">
        <v>41220</v>
      </c>
      <c r="F3823" t="str">
        <f>"9781136209154"</f>
        <v>9781136209154</v>
      </c>
      <c r="G3823" t="str">
        <f>"9780415888912"</f>
        <v>9780415888912</v>
      </c>
      <c r="H3823" t="s">
        <v>147</v>
      </c>
      <c r="I3823" t="s">
        <v>7525</v>
      </c>
      <c r="J3823" t="s">
        <v>7921</v>
      </c>
      <c r="K3823" t="s">
        <v>44</v>
      </c>
      <c r="N3823" t="s">
        <v>45</v>
      </c>
      <c r="O3823" t="s">
        <v>46</v>
      </c>
      <c r="P3823" t="s">
        <v>45</v>
      </c>
      <c r="Q3823" t="s">
        <v>47</v>
      </c>
      <c r="R3823" t="s">
        <v>44</v>
      </c>
      <c r="S3823">
        <v>0</v>
      </c>
      <c r="W3823" s="3">
        <v>1.2268518518518518E-3</v>
      </c>
      <c r="X3823" t="s">
        <v>7922</v>
      </c>
      <c r="Y3823">
        <v>16</v>
      </c>
      <c r="Z3823">
        <v>0</v>
      </c>
      <c r="AA3823" t="s">
        <v>49</v>
      </c>
      <c r="AB3823">
        <v>0</v>
      </c>
      <c r="AC3823" t="s">
        <v>49</v>
      </c>
      <c r="AD3823">
        <v>0</v>
      </c>
      <c r="AE3823">
        <v>10632423</v>
      </c>
      <c r="AF3823" t="s">
        <v>50</v>
      </c>
      <c r="AG3823" t="s">
        <v>7917</v>
      </c>
    </row>
    <row r="3824" spans="1:33" x14ac:dyDescent="0.35">
      <c r="A3824" s="1">
        <v>44642.466666666667</v>
      </c>
      <c r="B3824">
        <v>6639186</v>
      </c>
      <c r="C3824" t="s">
        <v>7923</v>
      </c>
      <c r="D3824" t="s">
        <v>213</v>
      </c>
      <c r="E3824" s="2">
        <v>44361</v>
      </c>
      <c r="F3824" t="str">
        <f>"9780081028391"</f>
        <v>9780081028391</v>
      </c>
      <c r="G3824" t="str">
        <f>"9780081028384"</f>
        <v>9780081028384</v>
      </c>
      <c r="H3824" t="s">
        <v>60</v>
      </c>
      <c r="I3824">
        <v>658.15499999999997</v>
      </c>
      <c r="J3824" t="s">
        <v>7924</v>
      </c>
      <c r="K3824" t="s">
        <v>55</v>
      </c>
      <c r="N3824" t="s">
        <v>79</v>
      </c>
      <c r="P3824" t="s">
        <v>80</v>
      </c>
      <c r="Q3824" t="s">
        <v>47</v>
      </c>
      <c r="R3824" t="s">
        <v>44</v>
      </c>
      <c r="S3824">
        <v>0</v>
      </c>
      <c r="W3824" s="3">
        <v>8.1018518518518516E-5</v>
      </c>
      <c r="X3824" t="s">
        <v>121</v>
      </c>
      <c r="Y3824">
        <v>1</v>
      </c>
      <c r="Z3824">
        <v>0</v>
      </c>
      <c r="AA3824" t="s">
        <v>49</v>
      </c>
      <c r="AB3824">
        <v>0</v>
      </c>
      <c r="AC3824" t="s">
        <v>49</v>
      </c>
      <c r="AD3824">
        <v>0</v>
      </c>
      <c r="AE3824">
        <v>-1</v>
      </c>
      <c r="AF3824" t="s">
        <v>50</v>
      </c>
      <c r="AG3824" t="s">
        <v>7925</v>
      </c>
    </row>
    <row r="3825" spans="1:33" x14ac:dyDescent="0.35">
      <c r="A3825" s="1">
        <v>44642.388194444444</v>
      </c>
      <c r="B3825">
        <v>981523</v>
      </c>
      <c r="C3825" t="s">
        <v>7926</v>
      </c>
      <c r="D3825" t="s">
        <v>76</v>
      </c>
      <c r="E3825" s="2">
        <v>41050</v>
      </c>
      <c r="F3825" t="str">
        <f>"9780203106259"</f>
        <v>9780203106259</v>
      </c>
      <c r="G3825" t="str">
        <f>"9780415621144"</f>
        <v>9780415621144</v>
      </c>
      <c r="H3825" t="s">
        <v>7927</v>
      </c>
      <c r="I3825">
        <v>628.1</v>
      </c>
      <c r="J3825" t="s">
        <v>7928</v>
      </c>
      <c r="K3825" t="s">
        <v>44</v>
      </c>
      <c r="N3825" t="s">
        <v>45</v>
      </c>
      <c r="O3825" t="s">
        <v>46</v>
      </c>
      <c r="P3825" t="s">
        <v>45</v>
      </c>
      <c r="Q3825" t="s">
        <v>47</v>
      </c>
      <c r="R3825" t="s">
        <v>44</v>
      </c>
      <c r="S3825">
        <v>1</v>
      </c>
      <c r="W3825" s="3">
        <v>0</v>
      </c>
      <c r="X3825" t="s">
        <v>49</v>
      </c>
      <c r="Y3825">
        <v>0</v>
      </c>
      <c r="Z3825">
        <v>0</v>
      </c>
      <c r="AA3825" t="s">
        <v>49</v>
      </c>
      <c r="AB3825">
        <v>0</v>
      </c>
      <c r="AC3825" t="s">
        <v>49</v>
      </c>
      <c r="AD3825">
        <v>0</v>
      </c>
      <c r="AE3825">
        <v>10582643</v>
      </c>
      <c r="AF3825" t="s">
        <v>63</v>
      </c>
      <c r="AG3825" t="s">
        <v>7733</v>
      </c>
    </row>
    <row r="3826" spans="1:33" x14ac:dyDescent="0.35">
      <c r="A3826" s="1">
        <v>44642.351388888892</v>
      </c>
      <c r="B3826">
        <v>5379991</v>
      </c>
      <c r="C3826" t="s">
        <v>7929</v>
      </c>
      <c r="D3826" t="s">
        <v>430</v>
      </c>
      <c r="E3826" s="2">
        <v>42487</v>
      </c>
      <c r="F3826" t="str">
        <f>"9781783323272"</f>
        <v>9781783323272</v>
      </c>
      <c r="G3826" t="str">
        <f>"9781783322619"</f>
        <v>9781783322619</v>
      </c>
      <c r="H3826" t="s">
        <v>7930</v>
      </c>
      <c r="I3826">
        <v>670</v>
      </c>
      <c r="J3826" t="s">
        <v>7931</v>
      </c>
      <c r="K3826" t="s">
        <v>44</v>
      </c>
      <c r="N3826" t="s">
        <v>45</v>
      </c>
      <c r="O3826" t="s">
        <v>46</v>
      </c>
      <c r="P3826" t="s">
        <v>45</v>
      </c>
      <c r="Q3826" t="s">
        <v>47</v>
      </c>
      <c r="R3826" t="s">
        <v>44</v>
      </c>
      <c r="S3826">
        <v>0</v>
      </c>
      <c r="W3826" s="3">
        <v>3.4328703703703702E-2</v>
      </c>
      <c r="X3826" t="s">
        <v>7932</v>
      </c>
      <c r="Y3826">
        <v>43</v>
      </c>
      <c r="Z3826">
        <v>0</v>
      </c>
      <c r="AA3826" t="s">
        <v>49</v>
      </c>
      <c r="AB3826">
        <v>0</v>
      </c>
      <c r="AC3826" t="s">
        <v>7933</v>
      </c>
      <c r="AD3826">
        <v>2</v>
      </c>
      <c r="AE3826">
        <v>11555030</v>
      </c>
      <c r="AF3826" t="s">
        <v>50</v>
      </c>
      <c r="AG3826" t="s">
        <v>7654</v>
      </c>
    </row>
    <row r="3827" spans="1:33" x14ac:dyDescent="0.35">
      <c r="A3827" s="1">
        <v>44642.345833333333</v>
      </c>
      <c r="B3827">
        <v>3018088</v>
      </c>
      <c r="C3827" t="s">
        <v>7934</v>
      </c>
      <c r="D3827" t="s">
        <v>137</v>
      </c>
      <c r="E3827" s="2">
        <v>40793</v>
      </c>
      <c r="F3827" t="str">
        <f>"9781611227277"</f>
        <v>9781611227277</v>
      </c>
      <c r="G3827" t="str">
        <f>"9781611223118"</f>
        <v>9781611223118</v>
      </c>
      <c r="H3827" t="s">
        <v>7935</v>
      </c>
      <c r="I3827" t="s">
        <v>7936</v>
      </c>
      <c r="J3827" t="s">
        <v>7937</v>
      </c>
      <c r="K3827" t="s">
        <v>44</v>
      </c>
      <c r="N3827" t="s">
        <v>45</v>
      </c>
      <c r="O3827" t="s">
        <v>46</v>
      </c>
      <c r="P3827" t="s">
        <v>177</v>
      </c>
      <c r="Q3827" t="s">
        <v>47</v>
      </c>
      <c r="R3827" t="s">
        <v>55</v>
      </c>
      <c r="S3827">
        <v>0</v>
      </c>
      <c r="W3827" s="3">
        <v>4.1435185185185186E-3</v>
      </c>
      <c r="X3827" t="s">
        <v>7938</v>
      </c>
      <c r="Y3827">
        <v>16</v>
      </c>
      <c r="Z3827">
        <v>0</v>
      </c>
      <c r="AA3827" t="s">
        <v>49</v>
      </c>
      <c r="AB3827">
        <v>0</v>
      </c>
      <c r="AC3827" t="s">
        <v>7939</v>
      </c>
      <c r="AD3827">
        <v>3</v>
      </c>
      <c r="AE3827">
        <v>10659010</v>
      </c>
      <c r="AF3827" t="s">
        <v>50</v>
      </c>
      <c r="AG3827" t="s">
        <v>7654</v>
      </c>
    </row>
    <row r="3828" spans="1:33" x14ac:dyDescent="0.35">
      <c r="A3828" s="1">
        <v>44641.9375</v>
      </c>
      <c r="B3828">
        <v>6639186</v>
      </c>
      <c r="C3828" t="s">
        <v>7923</v>
      </c>
      <c r="D3828" t="s">
        <v>213</v>
      </c>
      <c r="E3828" s="2">
        <v>44361</v>
      </c>
      <c r="F3828" t="str">
        <f>"9780081028391"</f>
        <v>9780081028391</v>
      </c>
      <c r="G3828" t="str">
        <f>"9780081028384"</f>
        <v>9780081028384</v>
      </c>
      <c r="H3828" t="s">
        <v>60</v>
      </c>
      <c r="I3828">
        <v>658.15499999999997</v>
      </c>
      <c r="J3828" t="s">
        <v>7924</v>
      </c>
      <c r="K3828" t="s">
        <v>55</v>
      </c>
      <c r="N3828" t="s">
        <v>79</v>
      </c>
      <c r="P3828" t="s">
        <v>80</v>
      </c>
      <c r="Q3828" t="s">
        <v>47</v>
      </c>
      <c r="R3828" t="s">
        <v>44</v>
      </c>
      <c r="S3828">
        <v>0</v>
      </c>
      <c r="W3828" s="3">
        <v>2.5462962962962961E-4</v>
      </c>
      <c r="X3828" t="s">
        <v>951</v>
      </c>
      <c r="Y3828">
        <v>3</v>
      </c>
      <c r="Z3828">
        <v>0</v>
      </c>
      <c r="AA3828" t="s">
        <v>49</v>
      </c>
      <c r="AB3828">
        <v>0</v>
      </c>
      <c r="AC3828" t="s">
        <v>49</v>
      </c>
      <c r="AD3828">
        <v>0</v>
      </c>
      <c r="AE3828">
        <v>-1</v>
      </c>
      <c r="AF3828" t="s">
        <v>50</v>
      </c>
      <c r="AG3828" t="s">
        <v>493</v>
      </c>
    </row>
    <row r="3829" spans="1:33" x14ac:dyDescent="0.35">
      <c r="A3829" s="1">
        <v>44641.9375</v>
      </c>
      <c r="B3829">
        <v>6639186</v>
      </c>
      <c r="C3829" t="s">
        <v>7923</v>
      </c>
      <c r="D3829" t="s">
        <v>213</v>
      </c>
      <c r="E3829" s="2">
        <v>44361</v>
      </c>
      <c r="F3829" t="str">
        <f>"9780081028391"</f>
        <v>9780081028391</v>
      </c>
      <c r="G3829" t="str">
        <f>"9780081028384"</f>
        <v>9780081028384</v>
      </c>
      <c r="H3829" t="s">
        <v>60</v>
      </c>
      <c r="I3829">
        <v>658.15499999999997</v>
      </c>
      <c r="J3829" t="s">
        <v>7924</v>
      </c>
      <c r="K3829" t="s">
        <v>55</v>
      </c>
      <c r="N3829" t="s">
        <v>79</v>
      </c>
      <c r="P3829" t="s">
        <v>80</v>
      </c>
      <c r="Q3829" t="s">
        <v>47</v>
      </c>
      <c r="R3829" t="s">
        <v>44</v>
      </c>
      <c r="S3829">
        <v>0</v>
      </c>
      <c r="W3829" s="3">
        <v>1.1898148148148149E-2</v>
      </c>
      <c r="X3829" t="s">
        <v>7940</v>
      </c>
      <c r="Y3829">
        <v>16</v>
      </c>
      <c r="Z3829">
        <v>0</v>
      </c>
      <c r="AA3829" t="s">
        <v>49</v>
      </c>
      <c r="AB3829">
        <v>0</v>
      </c>
      <c r="AC3829" t="s">
        <v>49</v>
      </c>
      <c r="AD3829">
        <v>0</v>
      </c>
      <c r="AE3829">
        <v>-1</v>
      </c>
      <c r="AF3829" t="s">
        <v>50</v>
      </c>
      <c r="AG3829" t="s">
        <v>7941</v>
      </c>
    </row>
    <row r="3830" spans="1:33" x14ac:dyDescent="0.35">
      <c r="A3830" s="1">
        <v>44641.840277777781</v>
      </c>
      <c r="B3830">
        <v>4042987</v>
      </c>
      <c r="C3830" t="s">
        <v>7942</v>
      </c>
      <c r="D3830" t="s">
        <v>59</v>
      </c>
      <c r="E3830" s="2">
        <v>42324</v>
      </c>
      <c r="F3830" t="str">
        <f>"9781119003229"</f>
        <v>9781119003229</v>
      </c>
      <c r="G3830" t="str">
        <f>"9781119003212"</f>
        <v>9781119003212</v>
      </c>
      <c r="H3830" t="s">
        <v>546</v>
      </c>
      <c r="I3830" t="s">
        <v>543</v>
      </c>
      <c r="J3830" t="s">
        <v>7943</v>
      </c>
      <c r="K3830" t="s">
        <v>44</v>
      </c>
      <c r="N3830" t="s">
        <v>45</v>
      </c>
      <c r="O3830" t="s">
        <v>46</v>
      </c>
      <c r="P3830" t="s">
        <v>45</v>
      </c>
      <c r="Q3830" t="s">
        <v>47</v>
      </c>
      <c r="R3830" t="s">
        <v>44</v>
      </c>
      <c r="S3830">
        <v>0</v>
      </c>
      <c r="W3830" s="3">
        <v>8.8657407407407417E-3</v>
      </c>
      <c r="X3830" t="s">
        <v>7944</v>
      </c>
      <c r="Y3830">
        <v>99</v>
      </c>
      <c r="Z3830">
        <v>0</v>
      </c>
      <c r="AA3830" t="s">
        <v>49</v>
      </c>
      <c r="AB3830">
        <v>0</v>
      </c>
      <c r="AC3830" t="s">
        <v>49</v>
      </c>
      <c r="AD3830">
        <v>0</v>
      </c>
      <c r="AE3830">
        <v>11115166</v>
      </c>
      <c r="AF3830" t="s">
        <v>50</v>
      </c>
      <c r="AG3830" t="s">
        <v>7654</v>
      </c>
    </row>
    <row r="3831" spans="1:33" x14ac:dyDescent="0.35">
      <c r="A3831" s="1">
        <v>44641.816666666666</v>
      </c>
      <c r="B3831">
        <v>601862</v>
      </c>
      <c r="C3831" t="s">
        <v>7945</v>
      </c>
      <c r="D3831" t="s">
        <v>497</v>
      </c>
      <c r="E3831" s="2">
        <v>40226</v>
      </c>
      <c r="F3831" t="str">
        <f>"9781441144485"</f>
        <v>9781441144485</v>
      </c>
      <c r="G3831" t="str">
        <f>"9781847062017"</f>
        <v>9781847062017</v>
      </c>
      <c r="H3831" t="s">
        <v>498</v>
      </c>
      <c r="I3831">
        <v>193</v>
      </c>
      <c r="J3831" t="s">
        <v>7946</v>
      </c>
      <c r="K3831" t="s">
        <v>44</v>
      </c>
      <c r="N3831" t="s">
        <v>45</v>
      </c>
      <c r="O3831" t="s">
        <v>46</v>
      </c>
      <c r="P3831" t="s">
        <v>45</v>
      </c>
      <c r="Q3831" t="s">
        <v>47</v>
      </c>
      <c r="R3831" t="s">
        <v>44</v>
      </c>
      <c r="S3831">
        <v>0</v>
      </c>
      <c r="W3831" s="3">
        <v>2.6724537037037036E-2</v>
      </c>
      <c r="X3831" t="s">
        <v>7947</v>
      </c>
      <c r="Y3831">
        <v>30</v>
      </c>
      <c r="Z3831">
        <v>0</v>
      </c>
      <c r="AA3831" t="s">
        <v>49</v>
      </c>
      <c r="AB3831">
        <v>0</v>
      </c>
      <c r="AC3831" t="s">
        <v>49</v>
      </c>
      <c r="AD3831">
        <v>0</v>
      </c>
      <c r="AE3831">
        <v>10427316</v>
      </c>
      <c r="AF3831" t="s">
        <v>50</v>
      </c>
      <c r="AG3831" t="s">
        <v>7760</v>
      </c>
    </row>
    <row r="3832" spans="1:33" x14ac:dyDescent="0.35">
      <c r="A3832" s="1">
        <v>44641.731944444444</v>
      </c>
      <c r="B3832">
        <v>601862</v>
      </c>
      <c r="C3832" t="s">
        <v>7945</v>
      </c>
      <c r="D3832" t="s">
        <v>497</v>
      </c>
      <c r="E3832" s="2">
        <v>40226</v>
      </c>
      <c r="F3832" t="str">
        <f>"9781441144485"</f>
        <v>9781441144485</v>
      </c>
      <c r="G3832" t="str">
        <f>"9781847062017"</f>
        <v>9781847062017</v>
      </c>
      <c r="H3832" t="s">
        <v>498</v>
      </c>
      <c r="I3832">
        <v>193</v>
      </c>
      <c r="J3832" t="s">
        <v>7946</v>
      </c>
      <c r="K3832" t="s">
        <v>44</v>
      </c>
      <c r="N3832" t="s">
        <v>45</v>
      </c>
      <c r="O3832" t="s">
        <v>46</v>
      </c>
      <c r="P3832" t="s">
        <v>45</v>
      </c>
      <c r="Q3832" t="s">
        <v>47</v>
      </c>
      <c r="R3832" t="s">
        <v>44</v>
      </c>
      <c r="S3832">
        <v>0</v>
      </c>
      <c r="W3832" s="3">
        <v>3.5428240740740739E-2</v>
      </c>
      <c r="X3832" t="s">
        <v>7948</v>
      </c>
      <c r="Y3832">
        <v>38</v>
      </c>
      <c r="Z3832">
        <v>0</v>
      </c>
      <c r="AA3832" t="s">
        <v>49</v>
      </c>
      <c r="AB3832">
        <v>0</v>
      </c>
      <c r="AC3832" t="s">
        <v>7911</v>
      </c>
      <c r="AD3832">
        <v>1</v>
      </c>
      <c r="AE3832">
        <v>10427316</v>
      </c>
      <c r="AF3832" t="s">
        <v>50</v>
      </c>
      <c r="AG3832" t="s">
        <v>7760</v>
      </c>
    </row>
    <row r="3833" spans="1:33" x14ac:dyDescent="0.35">
      <c r="A3833" s="1">
        <v>44641.706250000003</v>
      </c>
      <c r="B3833">
        <v>1441795</v>
      </c>
      <c r="C3833" t="s">
        <v>7949</v>
      </c>
      <c r="D3833" t="s">
        <v>59</v>
      </c>
      <c r="E3833" s="2">
        <v>41561</v>
      </c>
      <c r="F3833" t="str">
        <f>"9783527648955"</f>
        <v>9783527648955</v>
      </c>
      <c r="G3833" t="str">
        <f>"9783527410347"</f>
        <v>9783527410347</v>
      </c>
      <c r="H3833" t="s">
        <v>7950</v>
      </c>
      <c r="I3833">
        <v>523.01880000000006</v>
      </c>
      <c r="J3833" t="s">
        <v>7951</v>
      </c>
      <c r="K3833" t="s">
        <v>44</v>
      </c>
      <c r="N3833" t="s">
        <v>45</v>
      </c>
      <c r="O3833" t="s">
        <v>46</v>
      </c>
      <c r="P3833" t="s">
        <v>45</v>
      </c>
      <c r="Q3833" t="s">
        <v>47</v>
      </c>
      <c r="R3833" t="s">
        <v>44</v>
      </c>
      <c r="S3833">
        <v>0</v>
      </c>
      <c r="W3833" s="3">
        <v>8.2060185185185187E-3</v>
      </c>
      <c r="X3833" t="s">
        <v>7952</v>
      </c>
      <c r="Y3833">
        <v>21</v>
      </c>
      <c r="Z3833">
        <v>0</v>
      </c>
      <c r="AA3833" t="s">
        <v>49</v>
      </c>
      <c r="AB3833">
        <v>0</v>
      </c>
      <c r="AC3833" t="s">
        <v>49</v>
      </c>
      <c r="AD3833">
        <v>0</v>
      </c>
      <c r="AE3833">
        <v>10748645</v>
      </c>
      <c r="AF3833" t="s">
        <v>50</v>
      </c>
      <c r="AG3833" t="s">
        <v>7953</v>
      </c>
    </row>
    <row r="3834" spans="1:33" x14ac:dyDescent="0.35">
      <c r="A3834" s="1">
        <v>44641.45</v>
      </c>
      <c r="B3834">
        <v>5491559</v>
      </c>
      <c r="C3834" t="s">
        <v>7954</v>
      </c>
      <c r="D3834" t="s">
        <v>7955</v>
      </c>
      <c r="E3834" s="2">
        <v>41486</v>
      </c>
      <c r="F3834" t="str">
        <f>"9780810166622"</f>
        <v>9780810166622</v>
      </c>
      <c r="G3834" t="str">
        <f>"9780810129122"</f>
        <v>9780810129122</v>
      </c>
      <c r="H3834" t="s">
        <v>498</v>
      </c>
      <c r="I3834">
        <v>146.30000000000001</v>
      </c>
      <c r="J3834" t="s">
        <v>7956</v>
      </c>
      <c r="K3834" t="s">
        <v>44</v>
      </c>
      <c r="N3834" t="s">
        <v>45</v>
      </c>
      <c r="O3834" t="s">
        <v>46</v>
      </c>
      <c r="P3834" t="s">
        <v>45</v>
      </c>
      <c r="Q3834" t="s">
        <v>47</v>
      </c>
      <c r="R3834" t="s">
        <v>44</v>
      </c>
      <c r="S3834">
        <v>0</v>
      </c>
      <c r="W3834" s="3">
        <v>5.7928240740740738E-2</v>
      </c>
      <c r="X3834" t="s">
        <v>7957</v>
      </c>
      <c r="Y3834">
        <v>38</v>
      </c>
      <c r="Z3834">
        <v>0</v>
      </c>
      <c r="AA3834" t="s">
        <v>49</v>
      </c>
      <c r="AB3834">
        <v>0</v>
      </c>
      <c r="AC3834" t="s">
        <v>7958</v>
      </c>
      <c r="AD3834">
        <v>5</v>
      </c>
      <c r="AE3834">
        <v>11600821</v>
      </c>
      <c r="AF3834" t="s">
        <v>50</v>
      </c>
      <c r="AG3834" t="s">
        <v>7760</v>
      </c>
    </row>
    <row r="3835" spans="1:33" x14ac:dyDescent="0.35">
      <c r="A3835" s="1">
        <v>44641.114583333336</v>
      </c>
      <c r="B3835">
        <v>3002409</v>
      </c>
      <c r="C3835" t="s">
        <v>7959</v>
      </c>
      <c r="D3835" t="s">
        <v>810</v>
      </c>
      <c r="E3835" s="2">
        <v>32143</v>
      </c>
      <c r="F3835" t="str">
        <f>"9781615031986"</f>
        <v>9781615031986</v>
      </c>
      <c r="G3835" t="str">
        <f>"9780871703088"</f>
        <v>9780871703088</v>
      </c>
      <c r="H3835" t="s">
        <v>1570</v>
      </c>
      <c r="K3835" t="s">
        <v>44</v>
      </c>
      <c r="N3835" t="s">
        <v>45</v>
      </c>
      <c r="O3835" t="s">
        <v>46</v>
      </c>
      <c r="P3835" t="s">
        <v>45</v>
      </c>
      <c r="Q3835" t="s">
        <v>47</v>
      </c>
      <c r="R3835" t="s">
        <v>44</v>
      </c>
      <c r="S3835">
        <v>0</v>
      </c>
      <c r="W3835" s="3">
        <v>8.2175925925925917E-4</v>
      </c>
      <c r="X3835" t="s">
        <v>205</v>
      </c>
      <c r="Y3835">
        <v>2</v>
      </c>
      <c r="Z3835">
        <v>0</v>
      </c>
      <c r="AA3835" t="s">
        <v>49</v>
      </c>
      <c r="AB3835">
        <v>0</v>
      </c>
      <c r="AC3835" t="s">
        <v>49</v>
      </c>
      <c r="AD3835">
        <v>0</v>
      </c>
      <c r="AE3835">
        <v>10323487</v>
      </c>
      <c r="AF3835" t="s">
        <v>50</v>
      </c>
      <c r="AG3835" t="s">
        <v>7654</v>
      </c>
    </row>
    <row r="3836" spans="1:33" x14ac:dyDescent="0.35">
      <c r="A3836" s="1">
        <v>44640.869444444441</v>
      </c>
      <c r="B3836">
        <v>3037769</v>
      </c>
      <c r="C3836" t="s">
        <v>7960</v>
      </c>
      <c r="D3836" t="s">
        <v>7326</v>
      </c>
      <c r="E3836" s="2">
        <v>40084</v>
      </c>
      <c r="F3836" t="str">
        <f>"9781603443517"</f>
        <v>9781603443517</v>
      </c>
      <c r="G3836" t="str">
        <f>"9781603441124"</f>
        <v>9781603441124</v>
      </c>
      <c r="H3836" t="s">
        <v>667</v>
      </c>
      <c r="I3836">
        <v>973.92809199999999</v>
      </c>
      <c r="J3836" t="s">
        <v>7961</v>
      </c>
      <c r="K3836" t="s">
        <v>44</v>
      </c>
      <c r="N3836" t="s">
        <v>45</v>
      </c>
      <c r="O3836" t="s">
        <v>46</v>
      </c>
      <c r="P3836" t="s">
        <v>45</v>
      </c>
      <c r="Q3836" t="s">
        <v>47</v>
      </c>
      <c r="R3836" t="s">
        <v>44</v>
      </c>
      <c r="S3836">
        <v>0</v>
      </c>
      <c r="W3836" s="3">
        <v>3.9351851851851852E-4</v>
      </c>
      <c r="X3836" t="s">
        <v>7962</v>
      </c>
      <c r="Y3836">
        <v>7</v>
      </c>
      <c r="Z3836">
        <v>0</v>
      </c>
      <c r="AA3836" t="s">
        <v>49</v>
      </c>
      <c r="AB3836">
        <v>0</v>
      </c>
      <c r="AC3836" t="s">
        <v>49</v>
      </c>
      <c r="AD3836">
        <v>0</v>
      </c>
      <c r="AE3836">
        <v>10411783</v>
      </c>
      <c r="AF3836" t="s">
        <v>50</v>
      </c>
      <c r="AG3836" t="s">
        <v>7883</v>
      </c>
    </row>
    <row r="3837" spans="1:33" x14ac:dyDescent="0.35">
      <c r="A3837" s="1">
        <v>44640.736805555556</v>
      </c>
      <c r="B3837">
        <v>3239058</v>
      </c>
      <c r="C3837" t="s">
        <v>7963</v>
      </c>
      <c r="D3837" t="s">
        <v>7964</v>
      </c>
      <c r="E3837" s="2">
        <v>39692</v>
      </c>
      <c r="F3837" t="str">
        <f>"9788817356206"</f>
        <v>9788817356206</v>
      </c>
      <c r="G3837" t="str">
        <f>"9788817356121"</f>
        <v>9788817356121</v>
      </c>
      <c r="H3837" t="s">
        <v>3700</v>
      </c>
      <c r="I3837" t="s">
        <v>7965</v>
      </c>
      <c r="J3837" t="s">
        <v>7966</v>
      </c>
      <c r="K3837" t="s">
        <v>44</v>
      </c>
      <c r="N3837" t="s">
        <v>45</v>
      </c>
      <c r="O3837" t="s">
        <v>46</v>
      </c>
      <c r="P3837" t="s">
        <v>177</v>
      </c>
      <c r="Q3837" t="s">
        <v>47</v>
      </c>
      <c r="R3837" t="s">
        <v>55</v>
      </c>
      <c r="S3837">
        <v>0</v>
      </c>
      <c r="W3837" s="3">
        <v>4.7106481481481478E-3</v>
      </c>
      <c r="X3837" t="s">
        <v>7967</v>
      </c>
      <c r="Y3837">
        <v>15</v>
      </c>
      <c r="Z3837">
        <v>0</v>
      </c>
      <c r="AA3837" t="s">
        <v>49</v>
      </c>
      <c r="AB3837">
        <v>0</v>
      </c>
      <c r="AC3837" t="s">
        <v>49</v>
      </c>
      <c r="AD3837">
        <v>0</v>
      </c>
      <c r="AE3837">
        <v>10849089</v>
      </c>
      <c r="AF3837" t="s">
        <v>50</v>
      </c>
      <c r="AG3837" t="s">
        <v>7642</v>
      </c>
    </row>
    <row r="3838" spans="1:33" x14ac:dyDescent="0.35">
      <c r="A3838" s="1">
        <v>44640.734722222223</v>
      </c>
      <c r="B3838">
        <v>3037769</v>
      </c>
      <c r="C3838" t="s">
        <v>7960</v>
      </c>
      <c r="D3838" t="s">
        <v>7326</v>
      </c>
      <c r="E3838" s="2">
        <v>40084</v>
      </c>
      <c r="F3838" t="str">
        <f>"9781603443517"</f>
        <v>9781603443517</v>
      </c>
      <c r="G3838" t="str">
        <f>"9781603441124"</f>
        <v>9781603441124</v>
      </c>
      <c r="H3838" t="s">
        <v>667</v>
      </c>
      <c r="I3838">
        <v>973.92809199999999</v>
      </c>
      <c r="J3838" t="s">
        <v>7961</v>
      </c>
      <c r="K3838" t="s">
        <v>44</v>
      </c>
      <c r="N3838" t="s">
        <v>45</v>
      </c>
      <c r="O3838" t="s">
        <v>46</v>
      </c>
      <c r="P3838" t="s">
        <v>45</v>
      </c>
      <c r="Q3838" t="s">
        <v>47</v>
      </c>
      <c r="R3838" t="s">
        <v>44</v>
      </c>
      <c r="S3838">
        <v>0</v>
      </c>
      <c r="W3838" s="3">
        <v>2.3148148148148147E-5</v>
      </c>
      <c r="X3838" t="s">
        <v>121</v>
      </c>
      <c r="Y3838">
        <v>1</v>
      </c>
      <c r="Z3838">
        <v>0</v>
      </c>
      <c r="AA3838" t="s">
        <v>49</v>
      </c>
      <c r="AB3838">
        <v>0</v>
      </c>
      <c r="AC3838" t="s">
        <v>49</v>
      </c>
      <c r="AD3838">
        <v>0</v>
      </c>
      <c r="AE3838">
        <v>10411783</v>
      </c>
      <c r="AF3838" t="s">
        <v>50</v>
      </c>
      <c r="AG3838" t="s">
        <v>7883</v>
      </c>
    </row>
    <row r="3839" spans="1:33" x14ac:dyDescent="0.35">
      <c r="A3839" s="1">
        <v>44640.698611111111</v>
      </c>
      <c r="B3839">
        <v>3037769</v>
      </c>
      <c r="C3839" t="s">
        <v>7960</v>
      </c>
      <c r="D3839" t="s">
        <v>7326</v>
      </c>
      <c r="E3839" s="2">
        <v>40084</v>
      </c>
      <c r="F3839" t="str">
        <f>"9781603443517"</f>
        <v>9781603443517</v>
      </c>
      <c r="G3839" t="str">
        <f>"9781603441124"</f>
        <v>9781603441124</v>
      </c>
      <c r="H3839" t="s">
        <v>667</v>
      </c>
      <c r="I3839">
        <v>973.92809199999999</v>
      </c>
      <c r="J3839" t="s">
        <v>7961</v>
      </c>
      <c r="K3839" t="s">
        <v>44</v>
      </c>
      <c r="N3839" t="s">
        <v>45</v>
      </c>
      <c r="O3839" t="s">
        <v>46</v>
      </c>
      <c r="P3839" t="s">
        <v>45</v>
      </c>
      <c r="Q3839" t="s">
        <v>47</v>
      </c>
      <c r="R3839" t="s">
        <v>44</v>
      </c>
      <c r="S3839">
        <v>0</v>
      </c>
      <c r="W3839" s="3">
        <v>4.2824074074074075E-4</v>
      </c>
      <c r="X3839" t="s">
        <v>7968</v>
      </c>
      <c r="Y3839">
        <v>5</v>
      </c>
      <c r="Z3839">
        <v>0</v>
      </c>
      <c r="AA3839" t="s">
        <v>49</v>
      </c>
      <c r="AB3839">
        <v>0</v>
      </c>
      <c r="AC3839" t="s">
        <v>49</v>
      </c>
      <c r="AD3839">
        <v>0</v>
      </c>
      <c r="AE3839">
        <v>10411783</v>
      </c>
      <c r="AF3839" t="s">
        <v>50</v>
      </c>
      <c r="AG3839" t="s">
        <v>7883</v>
      </c>
    </row>
    <row r="3840" spans="1:33" x14ac:dyDescent="0.35">
      <c r="A3840" s="1">
        <v>44640.594444444447</v>
      </c>
      <c r="B3840">
        <v>4749315</v>
      </c>
      <c r="C3840" t="s">
        <v>7835</v>
      </c>
      <c r="D3840" t="s">
        <v>773</v>
      </c>
      <c r="E3840" s="2">
        <v>36708</v>
      </c>
      <c r="F3840" t="str">
        <f>"9781504022545"</f>
        <v>9781504022545</v>
      </c>
      <c r="G3840" t="str">
        <f>""</f>
        <v/>
      </c>
      <c r="H3840" t="s">
        <v>1046</v>
      </c>
      <c r="I3840">
        <v>363.92</v>
      </c>
      <c r="J3840" t="s">
        <v>7836</v>
      </c>
      <c r="K3840" t="s">
        <v>44</v>
      </c>
      <c r="N3840" t="s">
        <v>45</v>
      </c>
      <c r="O3840" t="s">
        <v>46</v>
      </c>
      <c r="P3840" t="s">
        <v>45</v>
      </c>
      <c r="Q3840" t="s">
        <v>47</v>
      </c>
      <c r="R3840" t="s">
        <v>44</v>
      </c>
      <c r="S3840">
        <v>0</v>
      </c>
      <c r="W3840" s="3">
        <v>4.4722222222222219E-2</v>
      </c>
      <c r="X3840" t="s">
        <v>7969</v>
      </c>
      <c r="Y3840">
        <v>18</v>
      </c>
      <c r="Z3840">
        <v>0</v>
      </c>
      <c r="AA3840" t="s">
        <v>49</v>
      </c>
      <c r="AB3840">
        <v>0</v>
      </c>
      <c r="AC3840" t="s">
        <v>49</v>
      </c>
      <c r="AD3840">
        <v>0</v>
      </c>
      <c r="AE3840">
        <v>11306671</v>
      </c>
      <c r="AF3840" t="s">
        <v>50</v>
      </c>
      <c r="AG3840" t="s">
        <v>7654</v>
      </c>
    </row>
    <row r="3841" spans="1:33" x14ac:dyDescent="0.35">
      <c r="A3841" s="1">
        <v>44640.59375</v>
      </c>
      <c r="B3841">
        <v>886690</v>
      </c>
      <c r="C3841" t="s">
        <v>7970</v>
      </c>
      <c r="D3841" t="s">
        <v>125</v>
      </c>
      <c r="E3841" s="2">
        <v>38176</v>
      </c>
      <c r="F3841" t="str">
        <f>"9780191547393"</f>
        <v>9780191547393</v>
      </c>
      <c r="G3841" t="str">
        <f>"9780198613367"</f>
        <v>9780198613367</v>
      </c>
      <c r="H3841" t="s">
        <v>7971</v>
      </c>
      <c r="I3841">
        <v>793.74</v>
      </c>
      <c r="J3841" t="s">
        <v>7972</v>
      </c>
      <c r="K3841" t="s">
        <v>44</v>
      </c>
      <c r="N3841" t="s">
        <v>45</v>
      </c>
      <c r="O3841" t="s">
        <v>46</v>
      </c>
      <c r="P3841" t="s">
        <v>45</v>
      </c>
      <c r="Q3841" t="s">
        <v>47</v>
      </c>
      <c r="R3841" t="s">
        <v>44</v>
      </c>
      <c r="S3841">
        <v>0</v>
      </c>
      <c r="W3841" s="3">
        <v>4.6296296296296294E-5</v>
      </c>
      <c r="X3841" t="s">
        <v>121</v>
      </c>
      <c r="Y3841">
        <v>1</v>
      </c>
      <c r="Z3841">
        <v>0</v>
      </c>
      <c r="AA3841" t="s">
        <v>49</v>
      </c>
      <c r="AB3841">
        <v>0</v>
      </c>
      <c r="AC3841" t="s">
        <v>49</v>
      </c>
      <c r="AD3841">
        <v>0</v>
      </c>
      <c r="AE3841">
        <v>10537846</v>
      </c>
      <c r="AF3841" t="s">
        <v>50</v>
      </c>
      <c r="AG3841" t="s">
        <v>7654</v>
      </c>
    </row>
    <row r="3842" spans="1:33" x14ac:dyDescent="0.35">
      <c r="A3842" s="1">
        <v>44640.454861111109</v>
      </c>
      <c r="B3842">
        <v>1137543</v>
      </c>
      <c r="C3842" t="s">
        <v>7973</v>
      </c>
      <c r="D3842" t="s">
        <v>7974</v>
      </c>
      <c r="E3842" s="2">
        <v>39706</v>
      </c>
      <c r="F3842" t="str">
        <f>"9781593272272"</f>
        <v>9781593272272</v>
      </c>
      <c r="G3842" t="str">
        <f>"9781593271763"</f>
        <v>9781593271763</v>
      </c>
      <c r="H3842" t="s">
        <v>2717</v>
      </c>
      <c r="I3842">
        <v>30.285</v>
      </c>
      <c r="J3842" t="s">
        <v>7975</v>
      </c>
      <c r="K3842" t="s">
        <v>44</v>
      </c>
      <c r="N3842" t="s">
        <v>45</v>
      </c>
      <c r="O3842" t="s">
        <v>46</v>
      </c>
      <c r="P3842" t="s">
        <v>45</v>
      </c>
      <c r="Q3842" t="s">
        <v>47</v>
      </c>
      <c r="R3842" t="s">
        <v>44</v>
      </c>
      <c r="S3842">
        <v>0</v>
      </c>
      <c r="W3842" s="3">
        <v>4.3287037037037035E-3</v>
      </c>
      <c r="X3842" t="s">
        <v>7976</v>
      </c>
      <c r="Y3842">
        <v>15</v>
      </c>
      <c r="Z3842">
        <v>1</v>
      </c>
      <c r="AA3842" t="s">
        <v>1879</v>
      </c>
      <c r="AB3842">
        <v>18</v>
      </c>
      <c r="AC3842" t="s">
        <v>49</v>
      </c>
      <c r="AD3842">
        <v>0</v>
      </c>
      <c r="AE3842">
        <v>10310902</v>
      </c>
      <c r="AF3842" t="s">
        <v>50</v>
      </c>
      <c r="AG3842" t="s">
        <v>7654</v>
      </c>
    </row>
    <row r="3843" spans="1:33" x14ac:dyDescent="0.35">
      <c r="A3843" s="1">
        <v>44640.154166666667</v>
      </c>
      <c r="B3843">
        <v>310690</v>
      </c>
      <c r="C3843" t="s">
        <v>3233</v>
      </c>
      <c r="D3843" t="s">
        <v>2754</v>
      </c>
      <c r="E3843" s="2">
        <v>38412</v>
      </c>
      <c r="F3843" t="str">
        <f>"9780816696321"</f>
        <v>9780816696321</v>
      </c>
      <c r="G3843" t="str">
        <f>"9780816644100"</f>
        <v>9780816644100</v>
      </c>
      <c r="H3843" t="s">
        <v>3234</v>
      </c>
      <c r="I3843">
        <v>322.10956099999999</v>
      </c>
      <c r="J3843" t="s">
        <v>3235</v>
      </c>
      <c r="K3843" t="s">
        <v>44</v>
      </c>
      <c r="N3843" t="s">
        <v>45</v>
      </c>
      <c r="O3843" t="s">
        <v>46</v>
      </c>
      <c r="P3843" t="s">
        <v>45</v>
      </c>
      <c r="Q3843" t="s">
        <v>47</v>
      </c>
      <c r="R3843" t="s">
        <v>44</v>
      </c>
      <c r="S3843">
        <v>0</v>
      </c>
      <c r="W3843" s="3">
        <v>4.6296296296296294E-5</v>
      </c>
      <c r="X3843" t="s">
        <v>121</v>
      </c>
      <c r="Y3843">
        <v>1</v>
      </c>
      <c r="Z3843">
        <v>0</v>
      </c>
      <c r="AA3843" t="s">
        <v>49</v>
      </c>
      <c r="AB3843">
        <v>0</v>
      </c>
      <c r="AC3843" t="s">
        <v>49</v>
      </c>
      <c r="AD3843">
        <v>0</v>
      </c>
      <c r="AE3843">
        <v>10151200</v>
      </c>
      <c r="AF3843" t="s">
        <v>50</v>
      </c>
      <c r="AG3843" t="s">
        <v>7654</v>
      </c>
    </row>
    <row r="3844" spans="1:33" x14ac:dyDescent="0.35">
      <c r="A3844" s="1">
        <v>44639.931944444441</v>
      </c>
      <c r="B3844">
        <v>833441</v>
      </c>
      <c r="C3844" t="s">
        <v>7977</v>
      </c>
      <c r="D3844" t="s">
        <v>502</v>
      </c>
      <c r="E3844" s="2">
        <v>40816</v>
      </c>
      <c r="F3844" t="str">
        <f>"9781139217675"</f>
        <v>9781139217675</v>
      </c>
      <c r="G3844" t="str">
        <f>"9781107004337"</f>
        <v>9781107004337</v>
      </c>
      <c r="H3844" t="s">
        <v>353</v>
      </c>
      <c r="I3844" t="s">
        <v>7978</v>
      </c>
      <c r="J3844" t="s">
        <v>7979</v>
      </c>
      <c r="K3844" t="s">
        <v>44</v>
      </c>
      <c r="N3844" t="s">
        <v>45</v>
      </c>
      <c r="O3844" t="s">
        <v>46</v>
      </c>
      <c r="P3844" t="s">
        <v>45</v>
      </c>
      <c r="Q3844" t="s">
        <v>47</v>
      </c>
      <c r="R3844" t="s">
        <v>44</v>
      </c>
      <c r="S3844">
        <v>0</v>
      </c>
      <c r="W3844" s="3">
        <v>2.8587962962962963E-3</v>
      </c>
      <c r="X3844" t="s">
        <v>7980</v>
      </c>
      <c r="Y3844">
        <v>14</v>
      </c>
      <c r="Z3844">
        <v>0</v>
      </c>
      <c r="AA3844" t="s">
        <v>49</v>
      </c>
      <c r="AB3844">
        <v>0</v>
      </c>
      <c r="AC3844" t="s">
        <v>49</v>
      </c>
      <c r="AD3844">
        <v>0</v>
      </c>
      <c r="AE3844">
        <v>10533297</v>
      </c>
      <c r="AF3844" t="s">
        <v>50</v>
      </c>
      <c r="AG3844" t="s">
        <v>7760</v>
      </c>
    </row>
    <row r="3845" spans="1:33" x14ac:dyDescent="0.35">
      <c r="A3845" s="1">
        <v>44639.888194444444</v>
      </c>
      <c r="B3845">
        <v>4749315</v>
      </c>
      <c r="C3845" t="s">
        <v>7835</v>
      </c>
      <c r="D3845" t="s">
        <v>773</v>
      </c>
      <c r="E3845" s="2">
        <v>36708</v>
      </c>
      <c r="F3845" t="str">
        <f>"9781504022545"</f>
        <v>9781504022545</v>
      </c>
      <c r="G3845" t="str">
        <f>""</f>
        <v/>
      </c>
      <c r="H3845" t="s">
        <v>1046</v>
      </c>
      <c r="I3845">
        <v>363.92</v>
      </c>
      <c r="J3845" t="s">
        <v>7836</v>
      </c>
      <c r="K3845" t="s">
        <v>44</v>
      </c>
      <c r="N3845" t="s">
        <v>45</v>
      </c>
      <c r="O3845" t="s">
        <v>46</v>
      </c>
      <c r="P3845" t="s">
        <v>45</v>
      </c>
      <c r="Q3845" t="s">
        <v>47</v>
      </c>
      <c r="R3845" t="s">
        <v>44</v>
      </c>
      <c r="S3845">
        <v>0</v>
      </c>
      <c r="W3845" s="3">
        <v>5.932870370370371E-2</v>
      </c>
      <c r="X3845" t="s">
        <v>5123</v>
      </c>
      <c r="Y3845">
        <v>19</v>
      </c>
      <c r="Z3845">
        <v>0</v>
      </c>
      <c r="AA3845" t="s">
        <v>49</v>
      </c>
      <c r="AB3845">
        <v>0</v>
      </c>
      <c r="AC3845" t="s">
        <v>678</v>
      </c>
      <c r="AD3845">
        <v>1</v>
      </c>
      <c r="AE3845">
        <v>11306671</v>
      </c>
      <c r="AF3845" t="s">
        <v>50</v>
      </c>
      <c r="AG3845" t="s">
        <v>7654</v>
      </c>
    </row>
    <row r="3846" spans="1:33" x14ac:dyDescent="0.35">
      <c r="A3846" s="1">
        <v>44639.65347222222</v>
      </c>
      <c r="B3846">
        <v>415577</v>
      </c>
      <c r="C3846" t="s">
        <v>7981</v>
      </c>
      <c r="D3846" t="s">
        <v>125</v>
      </c>
      <c r="E3846" s="2">
        <v>39783</v>
      </c>
      <c r="F3846" t="str">
        <f>"9780191539244"</f>
        <v>9780191539244</v>
      </c>
      <c r="G3846" t="str">
        <f>"9780192803016"</f>
        <v>9780192803016</v>
      </c>
      <c r="H3846" t="s">
        <v>667</v>
      </c>
      <c r="I3846">
        <v>968.06092000000001</v>
      </c>
      <c r="J3846" t="s">
        <v>7982</v>
      </c>
      <c r="K3846" t="s">
        <v>44</v>
      </c>
      <c r="N3846" t="s">
        <v>45</v>
      </c>
      <c r="O3846" t="s">
        <v>46</v>
      </c>
      <c r="P3846" t="s">
        <v>45</v>
      </c>
      <c r="Q3846" t="s">
        <v>47</v>
      </c>
      <c r="R3846" t="s">
        <v>44</v>
      </c>
      <c r="S3846">
        <v>0</v>
      </c>
      <c r="W3846" s="3">
        <v>2.6516203703703698E-2</v>
      </c>
      <c r="X3846" t="s">
        <v>7983</v>
      </c>
      <c r="Y3846">
        <v>41</v>
      </c>
      <c r="Z3846">
        <v>0</v>
      </c>
      <c r="AA3846" t="s">
        <v>49</v>
      </c>
      <c r="AB3846">
        <v>0</v>
      </c>
      <c r="AC3846" t="s">
        <v>49</v>
      </c>
      <c r="AD3846">
        <v>0</v>
      </c>
      <c r="AE3846">
        <v>10254382</v>
      </c>
      <c r="AF3846" t="s">
        <v>63</v>
      </c>
      <c r="AG3846" t="s">
        <v>7760</v>
      </c>
    </row>
    <row r="3847" spans="1:33" x14ac:dyDescent="0.35">
      <c r="A3847" s="1">
        <v>44639.602083333331</v>
      </c>
      <c r="B3847">
        <v>415577</v>
      </c>
      <c r="C3847" t="s">
        <v>7981</v>
      </c>
      <c r="D3847" t="s">
        <v>125</v>
      </c>
      <c r="E3847" s="2">
        <v>39783</v>
      </c>
      <c r="F3847" t="str">
        <f>"9780191539244"</f>
        <v>9780191539244</v>
      </c>
      <c r="G3847" t="str">
        <f>"9780192803016"</f>
        <v>9780192803016</v>
      </c>
      <c r="H3847" t="s">
        <v>667</v>
      </c>
      <c r="I3847">
        <v>968.06092000000001</v>
      </c>
      <c r="J3847" t="s">
        <v>7982</v>
      </c>
      <c r="K3847" t="s">
        <v>44</v>
      </c>
      <c r="N3847" t="s">
        <v>45</v>
      </c>
      <c r="O3847" t="s">
        <v>46</v>
      </c>
      <c r="P3847" t="s">
        <v>45</v>
      </c>
      <c r="Q3847" t="s">
        <v>47</v>
      </c>
      <c r="R3847" t="s">
        <v>44</v>
      </c>
      <c r="S3847">
        <v>0</v>
      </c>
      <c r="W3847" s="3">
        <v>1.5046296296296294E-3</v>
      </c>
      <c r="X3847" t="s">
        <v>7984</v>
      </c>
      <c r="Y3847">
        <v>6</v>
      </c>
      <c r="Z3847">
        <v>0</v>
      </c>
      <c r="AA3847" t="s">
        <v>49</v>
      </c>
      <c r="AB3847">
        <v>0</v>
      </c>
      <c r="AC3847" t="s">
        <v>49</v>
      </c>
      <c r="AD3847">
        <v>0</v>
      </c>
      <c r="AE3847">
        <v>10254382</v>
      </c>
      <c r="AF3847" t="s">
        <v>50</v>
      </c>
      <c r="AG3847" t="s">
        <v>7760</v>
      </c>
    </row>
    <row r="3848" spans="1:33" x14ac:dyDescent="0.35">
      <c r="A3848" s="1">
        <v>44639.54791666667</v>
      </c>
      <c r="B3848">
        <v>294338</v>
      </c>
      <c r="C3848" t="s">
        <v>7595</v>
      </c>
      <c r="D3848" t="s">
        <v>65</v>
      </c>
      <c r="E3848" s="2">
        <v>38999</v>
      </c>
      <c r="F3848" t="str">
        <f>"9780080480589"</f>
        <v>9780080480589</v>
      </c>
      <c r="G3848" t="str">
        <f>"9781493300723"</f>
        <v>9781493300723</v>
      </c>
      <c r="H3848" t="s">
        <v>6985</v>
      </c>
      <c r="I3848">
        <v>621.36779999999999</v>
      </c>
      <c r="J3848" t="s">
        <v>7596</v>
      </c>
      <c r="K3848" t="s">
        <v>44</v>
      </c>
      <c r="N3848" t="s">
        <v>45</v>
      </c>
      <c r="O3848" t="s">
        <v>46</v>
      </c>
      <c r="P3848" t="s">
        <v>45</v>
      </c>
      <c r="Q3848" t="s">
        <v>47</v>
      </c>
      <c r="R3848" t="s">
        <v>44</v>
      </c>
      <c r="S3848">
        <v>0</v>
      </c>
      <c r="W3848" s="3">
        <v>0</v>
      </c>
      <c r="X3848" t="s">
        <v>49</v>
      </c>
      <c r="Y3848">
        <v>0</v>
      </c>
      <c r="Z3848">
        <v>1</v>
      </c>
      <c r="AA3848" t="s">
        <v>7985</v>
      </c>
      <c r="AB3848">
        <v>44</v>
      </c>
      <c r="AC3848" t="s">
        <v>49</v>
      </c>
      <c r="AD3848">
        <v>0</v>
      </c>
      <c r="AE3848">
        <v>10186058</v>
      </c>
      <c r="AF3848" t="s">
        <v>50</v>
      </c>
      <c r="AG3848" t="s">
        <v>7654</v>
      </c>
    </row>
    <row r="3849" spans="1:33" x14ac:dyDescent="0.35">
      <c r="A3849" s="1">
        <v>44639.142361111109</v>
      </c>
      <c r="B3849">
        <v>4043002</v>
      </c>
      <c r="C3849" t="s">
        <v>7814</v>
      </c>
      <c r="D3849" t="s">
        <v>59</v>
      </c>
      <c r="E3849" s="2">
        <v>42388</v>
      </c>
      <c r="F3849" t="str">
        <f>"9781119045076"</f>
        <v>9781119045076</v>
      </c>
      <c r="G3849" t="str">
        <f>"9781119045069"</f>
        <v>9781119045069</v>
      </c>
      <c r="H3849" t="s">
        <v>1046</v>
      </c>
      <c r="I3849" t="s">
        <v>3427</v>
      </c>
      <c r="J3849" t="s">
        <v>7815</v>
      </c>
      <c r="K3849" t="s">
        <v>44</v>
      </c>
      <c r="N3849" t="s">
        <v>45</v>
      </c>
      <c r="O3849" t="s">
        <v>46</v>
      </c>
      <c r="P3849" t="s">
        <v>45</v>
      </c>
      <c r="Q3849" t="s">
        <v>47</v>
      </c>
      <c r="R3849" t="s">
        <v>44</v>
      </c>
      <c r="S3849">
        <v>0</v>
      </c>
      <c r="W3849" s="3">
        <v>4.6296296296296294E-5</v>
      </c>
      <c r="X3849" t="s">
        <v>121</v>
      </c>
      <c r="Y3849">
        <v>1</v>
      </c>
      <c r="Z3849">
        <v>0</v>
      </c>
      <c r="AA3849" t="s">
        <v>49</v>
      </c>
      <c r="AB3849">
        <v>0</v>
      </c>
      <c r="AC3849" t="s">
        <v>49</v>
      </c>
      <c r="AD3849">
        <v>0</v>
      </c>
      <c r="AE3849">
        <v>11115179</v>
      </c>
      <c r="AF3849" t="s">
        <v>50</v>
      </c>
      <c r="AG3849" t="s">
        <v>2128</v>
      </c>
    </row>
    <row r="3850" spans="1:33" x14ac:dyDescent="0.35">
      <c r="A3850" s="1">
        <v>44638.461805555555</v>
      </c>
      <c r="B3850">
        <v>254370</v>
      </c>
      <c r="C3850" t="s">
        <v>7986</v>
      </c>
      <c r="D3850" t="s">
        <v>76</v>
      </c>
      <c r="E3850" s="2">
        <v>38708</v>
      </c>
      <c r="F3850" t="str">
        <f>"9780203479469"</f>
        <v>9780203479469</v>
      </c>
      <c r="G3850" t="str">
        <f>"9780415700740"</f>
        <v>9780415700740</v>
      </c>
      <c r="H3850" t="s">
        <v>1046</v>
      </c>
      <c r="I3850" t="s">
        <v>3427</v>
      </c>
      <c r="J3850" t="s">
        <v>7987</v>
      </c>
      <c r="K3850" t="s">
        <v>44</v>
      </c>
      <c r="N3850" t="s">
        <v>45</v>
      </c>
      <c r="O3850" t="s">
        <v>46</v>
      </c>
      <c r="P3850" t="s">
        <v>45</v>
      </c>
      <c r="Q3850" t="s">
        <v>47</v>
      </c>
      <c r="R3850" t="s">
        <v>44</v>
      </c>
      <c r="S3850">
        <v>0</v>
      </c>
      <c r="W3850" s="3">
        <v>1.273148148148148E-4</v>
      </c>
      <c r="X3850" t="s">
        <v>205</v>
      </c>
      <c r="Y3850">
        <v>2</v>
      </c>
      <c r="Z3850">
        <v>0</v>
      </c>
      <c r="AA3850" t="s">
        <v>49</v>
      </c>
      <c r="AB3850">
        <v>0</v>
      </c>
      <c r="AC3850" t="s">
        <v>49</v>
      </c>
      <c r="AD3850">
        <v>0</v>
      </c>
      <c r="AE3850">
        <v>10163367</v>
      </c>
      <c r="AF3850" t="s">
        <v>63</v>
      </c>
      <c r="AG3850" t="s">
        <v>2128</v>
      </c>
    </row>
    <row r="3851" spans="1:33" x14ac:dyDescent="0.35">
      <c r="A3851" s="1">
        <v>44638.452777777777</v>
      </c>
      <c r="B3851">
        <v>4043002</v>
      </c>
      <c r="C3851" t="s">
        <v>7814</v>
      </c>
      <c r="D3851" t="s">
        <v>59</v>
      </c>
      <c r="E3851" s="2">
        <v>42388</v>
      </c>
      <c r="F3851" t="str">
        <f>"9781119045076"</f>
        <v>9781119045076</v>
      </c>
      <c r="G3851" t="str">
        <f>"9781119045069"</f>
        <v>9781119045069</v>
      </c>
      <c r="H3851" t="s">
        <v>1046</v>
      </c>
      <c r="I3851" t="s">
        <v>3427</v>
      </c>
      <c r="J3851" t="s">
        <v>7815</v>
      </c>
      <c r="K3851" t="s">
        <v>44</v>
      </c>
      <c r="N3851" t="s">
        <v>45</v>
      </c>
      <c r="O3851" t="s">
        <v>46</v>
      </c>
      <c r="P3851" t="s">
        <v>45</v>
      </c>
      <c r="Q3851" t="s">
        <v>47</v>
      </c>
      <c r="R3851" t="s">
        <v>44</v>
      </c>
      <c r="S3851">
        <v>1</v>
      </c>
      <c r="W3851" s="3">
        <v>0</v>
      </c>
      <c r="X3851" t="s">
        <v>49</v>
      </c>
      <c r="Y3851">
        <v>0</v>
      </c>
      <c r="Z3851">
        <v>0</v>
      </c>
      <c r="AA3851" t="s">
        <v>49</v>
      </c>
      <c r="AB3851">
        <v>0</v>
      </c>
      <c r="AC3851" t="s">
        <v>49</v>
      </c>
      <c r="AD3851">
        <v>0</v>
      </c>
      <c r="AE3851">
        <v>11115179</v>
      </c>
      <c r="AF3851" t="s">
        <v>63</v>
      </c>
      <c r="AG3851" t="s">
        <v>2128</v>
      </c>
    </row>
    <row r="3852" spans="1:33" x14ac:dyDescent="0.35">
      <c r="A3852" s="1">
        <v>44638.393750000003</v>
      </c>
      <c r="B3852">
        <v>474649</v>
      </c>
      <c r="C3852" t="s">
        <v>7988</v>
      </c>
      <c r="D3852" t="s">
        <v>76</v>
      </c>
      <c r="E3852" s="2">
        <v>37408</v>
      </c>
      <c r="F3852" t="str">
        <f>"9781410606570"</f>
        <v>9781410606570</v>
      </c>
      <c r="G3852" t="str">
        <f>"9780805843231"</f>
        <v>9780805843231</v>
      </c>
      <c r="H3852" t="s">
        <v>244</v>
      </c>
      <c r="I3852">
        <v>150</v>
      </c>
      <c r="J3852" t="s">
        <v>7989</v>
      </c>
      <c r="K3852" t="s">
        <v>44</v>
      </c>
      <c r="N3852" t="s">
        <v>45</v>
      </c>
      <c r="O3852" t="s">
        <v>46</v>
      </c>
      <c r="P3852" t="s">
        <v>45</v>
      </c>
      <c r="Q3852" t="s">
        <v>47</v>
      </c>
      <c r="R3852" t="s">
        <v>44</v>
      </c>
      <c r="S3852">
        <v>0</v>
      </c>
      <c r="W3852" s="3">
        <v>0</v>
      </c>
      <c r="X3852" t="s">
        <v>49</v>
      </c>
      <c r="Y3852">
        <v>0</v>
      </c>
      <c r="Z3852">
        <v>0</v>
      </c>
      <c r="AA3852" t="s">
        <v>49</v>
      </c>
      <c r="AB3852">
        <v>0</v>
      </c>
      <c r="AC3852" t="s">
        <v>49</v>
      </c>
      <c r="AD3852">
        <v>0</v>
      </c>
      <c r="AE3852">
        <v>10358725</v>
      </c>
      <c r="AF3852" t="s">
        <v>63</v>
      </c>
      <c r="AG3852" t="s">
        <v>1451</v>
      </c>
    </row>
    <row r="3853" spans="1:33" x14ac:dyDescent="0.35">
      <c r="A3853" s="1">
        <v>44638.388888888891</v>
      </c>
      <c r="B3853">
        <v>317398</v>
      </c>
      <c r="C3853" t="s">
        <v>7990</v>
      </c>
      <c r="D3853" t="s">
        <v>7991</v>
      </c>
      <c r="E3853" s="2">
        <v>39340</v>
      </c>
      <c r="F3853" t="str">
        <f>"9781603840330"</f>
        <v>9781603840330</v>
      </c>
      <c r="G3853" t="str">
        <f>"9780872208728"</f>
        <v>9780872208728</v>
      </c>
      <c r="H3853" t="s">
        <v>498</v>
      </c>
      <c r="I3853" t="s">
        <v>6739</v>
      </c>
      <c r="J3853" t="s">
        <v>7992</v>
      </c>
      <c r="K3853" t="s">
        <v>55</v>
      </c>
      <c r="N3853" t="s">
        <v>79</v>
      </c>
      <c r="P3853" t="s">
        <v>1169</v>
      </c>
      <c r="Q3853" t="s">
        <v>47</v>
      </c>
      <c r="R3853" t="s">
        <v>44</v>
      </c>
      <c r="S3853">
        <v>0</v>
      </c>
      <c r="W3853" s="3">
        <v>2.4537037037037036E-3</v>
      </c>
      <c r="X3853" t="s">
        <v>7993</v>
      </c>
      <c r="Y3853">
        <v>17</v>
      </c>
      <c r="Z3853">
        <v>0</v>
      </c>
      <c r="AA3853" t="s">
        <v>49</v>
      </c>
      <c r="AB3853">
        <v>0</v>
      </c>
      <c r="AC3853" t="s">
        <v>49</v>
      </c>
      <c r="AD3853">
        <v>0</v>
      </c>
      <c r="AE3853">
        <v>10830152</v>
      </c>
      <c r="AF3853" t="s">
        <v>63</v>
      </c>
      <c r="AG3853" t="s">
        <v>1451</v>
      </c>
    </row>
    <row r="3854" spans="1:33" x14ac:dyDescent="0.35">
      <c r="A3854" s="1">
        <v>44638.357638888891</v>
      </c>
      <c r="B3854">
        <v>6729563</v>
      </c>
      <c r="C3854" t="s">
        <v>7877</v>
      </c>
      <c r="D3854" t="s">
        <v>443</v>
      </c>
      <c r="E3854" s="2">
        <v>44537</v>
      </c>
      <c r="F3854" t="str">
        <f>"9780520381209"</f>
        <v>9780520381209</v>
      </c>
      <c r="G3854" t="str">
        <f>"9780520381216"</f>
        <v>9780520381216</v>
      </c>
      <c r="H3854" t="s">
        <v>1046</v>
      </c>
      <c r="I3854">
        <v>307.1216</v>
      </c>
      <c r="K3854" t="s">
        <v>55</v>
      </c>
      <c r="N3854" t="s">
        <v>79</v>
      </c>
      <c r="P3854" t="s">
        <v>950</v>
      </c>
      <c r="Q3854" t="s">
        <v>47</v>
      </c>
      <c r="R3854" t="s">
        <v>55</v>
      </c>
      <c r="S3854">
        <v>0</v>
      </c>
      <c r="W3854" s="3">
        <v>3.1643518518518522E-2</v>
      </c>
      <c r="X3854" t="s">
        <v>7994</v>
      </c>
      <c r="Y3854">
        <v>35</v>
      </c>
      <c r="Z3854">
        <v>0</v>
      </c>
      <c r="AA3854" t="s">
        <v>49</v>
      </c>
      <c r="AB3854">
        <v>0</v>
      </c>
      <c r="AC3854" t="s">
        <v>7995</v>
      </c>
      <c r="AD3854">
        <v>4</v>
      </c>
      <c r="AE3854">
        <v>-1</v>
      </c>
      <c r="AF3854" t="s">
        <v>50</v>
      </c>
      <c r="AG3854" t="s">
        <v>7879</v>
      </c>
    </row>
    <row r="3855" spans="1:33" x14ac:dyDescent="0.35">
      <c r="A3855" s="1">
        <v>44638.35</v>
      </c>
      <c r="B3855">
        <v>536977</v>
      </c>
      <c r="C3855" t="s">
        <v>1900</v>
      </c>
      <c r="D3855" t="s">
        <v>507</v>
      </c>
      <c r="E3855" s="2">
        <v>40043</v>
      </c>
      <c r="F3855" t="str">
        <f>"9780748637942"</f>
        <v>9780748637942</v>
      </c>
      <c r="G3855" t="str">
        <f>"9780748637928"</f>
        <v>9780748637928</v>
      </c>
      <c r="H3855" t="s">
        <v>162</v>
      </c>
      <c r="I3855">
        <v>297</v>
      </c>
      <c r="J3855" t="s">
        <v>1901</v>
      </c>
      <c r="K3855" t="s">
        <v>44</v>
      </c>
      <c r="N3855" t="s">
        <v>45</v>
      </c>
      <c r="O3855" t="s">
        <v>46</v>
      </c>
      <c r="P3855" t="s">
        <v>45</v>
      </c>
      <c r="Q3855" t="s">
        <v>47</v>
      </c>
      <c r="R3855" t="s">
        <v>44</v>
      </c>
      <c r="S3855">
        <v>0</v>
      </c>
      <c r="W3855" s="3">
        <v>8.1018518518518516E-5</v>
      </c>
      <c r="X3855" t="s">
        <v>121</v>
      </c>
      <c r="Y3855">
        <v>1</v>
      </c>
      <c r="Z3855">
        <v>0</v>
      </c>
      <c r="AA3855" t="s">
        <v>49</v>
      </c>
      <c r="AB3855">
        <v>0</v>
      </c>
      <c r="AC3855" t="s">
        <v>49</v>
      </c>
      <c r="AD3855">
        <v>0</v>
      </c>
      <c r="AE3855">
        <v>10391780</v>
      </c>
      <c r="AF3855" t="s">
        <v>50</v>
      </c>
      <c r="AG3855" t="s">
        <v>7642</v>
      </c>
    </row>
    <row r="3856" spans="1:33" x14ac:dyDescent="0.35">
      <c r="A3856" s="1">
        <v>44638.337500000001</v>
      </c>
      <c r="B3856">
        <v>6145545</v>
      </c>
      <c r="C3856" t="s">
        <v>7647</v>
      </c>
      <c r="D3856" t="s">
        <v>7648</v>
      </c>
      <c r="E3856" s="2">
        <v>44663</v>
      </c>
      <c r="F3856" t="str">
        <f>"9781788737814"</f>
        <v>9781788737814</v>
      </c>
      <c r="G3856" t="str">
        <f>"9781788737807"</f>
        <v>9781788737807</v>
      </c>
      <c r="H3856" t="s">
        <v>1046</v>
      </c>
      <c r="I3856">
        <v>307.1216</v>
      </c>
      <c r="J3856" t="s">
        <v>7649</v>
      </c>
      <c r="K3856" t="s">
        <v>55</v>
      </c>
      <c r="N3856" t="s">
        <v>79</v>
      </c>
      <c r="P3856" t="s">
        <v>97</v>
      </c>
      <c r="Q3856" t="s">
        <v>47</v>
      </c>
      <c r="R3856" t="s">
        <v>44</v>
      </c>
      <c r="S3856">
        <v>0</v>
      </c>
      <c r="W3856" s="3">
        <v>1.3680555555555555E-2</v>
      </c>
      <c r="X3856" t="s">
        <v>7996</v>
      </c>
      <c r="Y3856">
        <v>17</v>
      </c>
      <c r="Z3856">
        <v>0</v>
      </c>
      <c r="AA3856" t="s">
        <v>49</v>
      </c>
      <c r="AB3856">
        <v>0</v>
      </c>
      <c r="AC3856" t="s">
        <v>7997</v>
      </c>
      <c r="AD3856">
        <v>2</v>
      </c>
      <c r="AE3856">
        <v>-1</v>
      </c>
      <c r="AF3856" t="s">
        <v>50</v>
      </c>
      <c r="AG3856" t="s">
        <v>7879</v>
      </c>
    </row>
    <row r="3857" spans="1:33" x14ac:dyDescent="0.35">
      <c r="A3857" s="1">
        <v>44638.21597222222</v>
      </c>
      <c r="B3857">
        <v>536977</v>
      </c>
      <c r="C3857" t="s">
        <v>1900</v>
      </c>
      <c r="D3857" t="s">
        <v>507</v>
      </c>
      <c r="E3857" s="2">
        <v>40043</v>
      </c>
      <c r="F3857" t="str">
        <f>"9780748637942"</f>
        <v>9780748637942</v>
      </c>
      <c r="G3857" t="str">
        <f>"9780748637928"</f>
        <v>9780748637928</v>
      </c>
      <c r="H3857" t="s">
        <v>162</v>
      </c>
      <c r="I3857">
        <v>297</v>
      </c>
      <c r="J3857" t="s">
        <v>1901</v>
      </c>
      <c r="K3857" t="s">
        <v>44</v>
      </c>
      <c r="N3857" t="s">
        <v>45</v>
      </c>
      <c r="O3857" t="s">
        <v>46</v>
      </c>
      <c r="P3857" t="s">
        <v>45</v>
      </c>
      <c r="Q3857" t="s">
        <v>47</v>
      </c>
      <c r="R3857" t="s">
        <v>44</v>
      </c>
      <c r="S3857">
        <v>0</v>
      </c>
      <c r="W3857" s="3">
        <v>9.7002314814814805E-2</v>
      </c>
      <c r="X3857" t="s">
        <v>7998</v>
      </c>
      <c r="Y3857">
        <v>68</v>
      </c>
      <c r="Z3857">
        <v>0</v>
      </c>
      <c r="AA3857" t="s">
        <v>49</v>
      </c>
      <c r="AB3857">
        <v>0</v>
      </c>
      <c r="AC3857" t="s">
        <v>49</v>
      </c>
      <c r="AD3857">
        <v>0</v>
      </c>
      <c r="AE3857">
        <v>10391780</v>
      </c>
      <c r="AF3857" t="s">
        <v>50</v>
      </c>
      <c r="AG3857" t="s">
        <v>7642</v>
      </c>
    </row>
    <row r="3858" spans="1:33" x14ac:dyDescent="0.35">
      <c r="A3858" s="1">
        <v>44638.215277777781</v>
      </c>
      <c r="B3858">
        <v>3420193</v>
      </c>
      <c r="C3858" t="s">
        <v>7244</v>
      </c>
      <c r="D3858" t="s">
        <v>347</v>
      </c>
      <c r="E3858" s="2">
        <v>38118</v>
      </c>
      <c r="F3858" t="str">
        <f>"9780300133684"</f>
        <v>9780300133684</v>
      </c>
      <c r="G3858" t="str">
        <f>"9780300100327"</f>
        <v>9780300100327</v>
      </c>
      <c r="H3858" t="s">
        <v>498</v>
      </c>
      <c r="I3858" t="s">
        <v>6125</v>
      </c>
      <c r="J3858" t="s">
        <v>7245</v>
      </c>
      <c r="K3858" t="s">
        <v>44</v>
      </c>
      <c r="N3858" t="s">
        <v>45</v>
      </c>
      <c r="O3858" t="s">
        <v>46</v>
      </c>
      <c r="P3858" t="s">
        <v>45</v>
      </c>
      <c r="Q3858" t="s">
        <v>47</v>
      </c>
      <c r="R3858" t="s">
        <v>44</v>
      </c>
      <c r="S3858">
        <v>0</v>
      </c>
      <c r="W3858" s="3">
        <v>7.5231481481481477E-3</v>
      </c>
      <c r="X3858" t="s">
        <v>7999</v>
      </c>
      <c r="Y3858">
        <v>23</v>
      </c>
      <c r="Z3858">
        <v>0</v>
      </c>
      <c r="AA3858" t="s">
        <v>49</v>
      </c>
      <c r="AB3858">
        <v>0</v>
      </c>
      <c r="AC3858" t="s">
        <v>49</v>
      </c>
      <c r="AD3858">
        <v>0</v>
      </c>
      <c r="AE3858">
        <v>10170884</v>
      </c>
      <c r="AF3858" t="s">
        <v>50</v>
      </c>
      <c r="AG3858" t="s">
        <v>7642</v>
      </c>
    </row>
    <row r="3859" spans="1:33" x14ac:dyDescent="0.35">
      <c r="A3859" s="1">
        <v>44637.753472222219</v>
      </c>
      <c r="B3859">
        <v>1681450</v>
      </c>
      <c r="C3859" t="s">
        <v>8000</v>
      </c>
      <c r="D3859" t="s">
        <v>71</v>
      </c>
      <c r="E3859" s="2">
        <v>39352</v>
      </c>
      <c r="F3859" t="str">
        <f>"9781860948398"</f>
        <v>9781860948398</v>
      </c>
      <c r="G3859" t="str">
        <f>"9781860948213"</f>
        <v>9781860948213</v>
      </c>
      <c r="H3859" t="s">
        <v>585</v>
      </c>
      <c r="I3859">
        <v>530</v>
      </c>
      <c r="J3859" t="s">
        <v>8001</v>
      </c>
      <c r="K3859" t="s">
        <v>44</v>
      </c>
      <c r="N3859" t="s">
        <v>45</v>
      </c>
      <c r="O3859" t="s">
        <v>46</v>
      </c>
      <c r="P3859" t="s">
        <v>45</v>
      </c>
      <c r="Q3859" t="s">
        <v>47</v>
      </c>
      <c r="R3859" t="s">
        <v>44</v>
      </c>
      <c r="S3859">
        <v>0</v>
      </c>
      <c r="W3859" s="3">
        <v>6.8287037037037025E-4</v>
      </c>
      <c r="X3859" t="s">
        <v>8002</v>
      </c>
      <c r="Y3859">
        <v>7</v>
      </c>
      <c r="Z3859">
        <v>0</v>
      </c>
      <c r="AA3859" t="s">
        <v>49</v>
      </c>
      <c r="AB3859">
        <v>0</v>
      </c>
      <c r="AC3859" t="s">
        <v>49</v>
      </c>
      <c r="AD3859">
        <v>0</v>
      </c>
      <c r="AE3859">
        <v>10255612</v>
      </c>
      <c r="AF3859" t="s">
        <v>50</v>
      </c>
      <c r="AG3859" t="s">
        <v>7760</v>
      </c>
    </row>
    <row r="3860" spans="1:33" x14ac:dyDescent="0.35">
      <c r="A3860" s="1">
        <v>44637.745138888888</v>
      </c>
      <c r="B3860">
        <v>3118039</v>
      </c>
      <c r="C3860" t="s">
        <v>7895</v>
      </c>
      <c r="D3860" t="s">
        <v>7896</v>
      </c>
      <c r="E3860" s="2">
        <v>40148</v>
      </c>
      <c r="F3860" t="str">
        <f>"9780807096727"</f>
        <v>9780807096727</v>
      </c>
      <c r="G3860" t="str">
        <f>"9780807042298"</f>
        <v>9780807042298</v>
      </c>
      <c r="H3860" t="s">
        <v>90</v>
      </c>
      <c r="I3860">
        <v>378.3</v>
      </c>
      <c r="J3860" t="s">
        <v>7897</v>
      </c>
      <c r="K3860" t="s">
        <v>44</v>
      </c>
      <c r="N3860" t="s">
        <v>45</v>
      </c>
      <c r="O3860" t="s">
        <v>46</v>
      </c>
      <c r="P3860" t="s">
        <v>45</v>
      </c>
      <c r="Q3860" t="s">
        <v>47</v>
      </c>
      <c r="R3860" t="s">
        <v>44</v>
      </c>
      <c r="S3860">
        <v>0</v>
      </c>
      <c r="W3860" s="3">
        <v>5.7870370370370366E-5</v>
      </c>
      <c r="X3860" t="s">
        <v>121</v>
      </c>
      <c r="Y3860">
        <v>1</v>
      </c>
      <c r="Z3860">
        <v>0</v>
      </c>
      <c r="AA3860" t="s">
        <v>49</v>
      </c>
      <c r="AB3860">
        <v>0</v>
      </c>
      <c r="AC3860" t="s">
        <v>49</v>
      </c>
      <c r="AD3860">
        <v>0</v>
      </c>
      <c r="AE3860">
        <v>10268614</v>
      </c>
      <c r="AF3860" t="s">
        <v>50</v>
      </c>
      <c r="AG3860" t="s">
        <v>7760</v>
      </c>
    </row>
    <row r="3861" spans="1:33" x14ac:dyDescent="0.35">
      <c r="A3861" s="1">
        <v>44637.73333333333</v>
      </c>
      <c r="B3861">
        <v>980015</v>
      </c>
      <c r="C3861" t="s">
        <v>5792</v>
      </c>
      <c r="D3861" t="s">
        <v>213</v>
      </c>
      <c r="E3861" s="2">
        <v>41143</v>
      </c>
      <c r="F3861" t="str">
        <f>"9780444594488"</f>
        <v>9780444594488</v>
      </c>
      <c r="G3861" t="str">
        <f>"9780444594259"</f>
        <v>9780444594259</v>
      </c>
      <c r="H3861" t="s">
        <v>237</v>
      </c>
      <c r="I3861">
        <v>551.70100000000002</v>
      </c>
      <c r="J3861" t="s">
        <v>5793</v>
      </c>
      <c r="K3861" t="s">
        <v>44</v>
      </c>
      <c r="N3861" t="s">
        <v>45</v>
      </c>
      <c r="O3861" t="s">
        <v>46</v>
      </c>
      <c r="P3861" t="s">
        <v>45</v>
      </c>
      <c r="Q3861" t="s">
        <v>47</v>
      </c>
      <c r="R3861" t="s">
        <v>44</v>
      </c>
      <c r="S3861">
        <v>1</v>
      </c>
      <c r="W3861" s="3">
        <v>0</v>
      </c>
      <c r="X3861" t="s">
        <v>49</v>
      </c>
      <c r="Y3861">
        <v>0</v>
      </c>
      <c r="Z3861">
        <v>0</v>
      </c>
      <c r="AA3861" t="s">
        <v>49</v>
      </c>
      <c r="AB3861">
        <v>0</v>
      </c>
      <c r="AC3861" t="s">
        <v>49</v>
      </c>
      <c r="AD3861">
        <v>0</v>
      </c>
      <c r="AE3861">
        <v>10583672</v>
      </c>
      <c r="AF3861" t="s">
        <v>63</v>
      </c>
      <c r="AG3861" t="s">
        <v>7760</v>
      </c>
    </row>
    <row r="3862" spans="1:33" x14ac:dyDescent="0.35">
      <c r="A3862" s="1">
        <v>44637.706944444442</v>
      </c>
      <c r="B3862">
        <v>3420696</v>
      </c>
      <c r="C3862" t="s">
        <v>8003</v>
      </c>
      <c r="D3862" t="s">
        <v>347</v>
      </c>
      <c r="E3862" s="2">
        <v>40722</v>
      </c>
      <c r="F3862" t="str">
        <f>"9780300170139"</f>
        <v>9780300170139</v>
      </c>
      <c r="G3862" t="str">
        <f>"9780300134414"</f>
        <v>9780300134414</v>
      </c>
      <c r="H3862" t="s">
        <v>667</v>
      </c>
      <c r="I3862" t="s">
        <v>8004</v>
      </c>
      <c r="J3862" t="s">
        <v>8005</v>
      </c>
      <c r="K3862" t="s">
        <v>44</v>
      </c>
      <c r="N3862" t="s">
        <v>45</v>
      </c>
      <c r="O3862" t="s">
        <v>46</v>
      </c>
      <c r="P3862" t="s">
        <v>45</v>
      </c>
      <c r="Q3862" t="s">
        <v>47</v>
      </c>
      <c r="R3862" t="s">
        <v>44</v>
      </c>
      <c r="S3862">
        <v>0</v>
      </c>
      <c r="W3862" s="3">
        <v>1.736111111111111E-3</v>
      </c>
      <c r="X3862" t="s">
        <v>8006</v>
      </c>
      <c r="Y3862">
        <v>13</v>
      </c>
      <c r="Z3862">
        <v>0</v>
      </c>
      <c r="AA3862" t="s">
        <v>49</v>
      </c>
      <c r="AB3862">
        <v>0</v>
      </c>
      <c r="AC3862" t="s">
        <v>49</v>
      </c>
      <c r="AD3862">
        <v>0</v>
      </c>
      <c r="AE3862">
        <v>10480866</v>
      </c>
      <c r="AF3862" t="s">
        <v>50</v>
      </c>
      <c r="AG3862" t="s">
        <v>7733</v>
      </c>
    </row>
    <row r="3863" spans="1:33" x14ac:dyDescent="0.35">
      <c r="A3863" s="1">
        <v>44637.706944444442</v>
      </c>
      <c r="B3863">
        <v>614783</v>
      </c>
      <c r="C3863" t="s">
        <v>8007</v>
      </c>
      <c r="D3863" t="s">
        <v>76</v>
      </c>
      <c r="E3863" s="2">
        <v>40533</v>
      </c>
      <c r="F3863" t="str">
        <f>"9780203839256"</f>
        <v>9780203839256</v>
      </c>
      <c r="G3863" t="str">
        <f>"9780415580465"</f>
        <v>9780415580465</v>
      </c>
      <c r="H3863" t="s">
        <v>1046</v>
      </c>
      <c r="I3863" t="s">
        <v>8008</v>
      </c>
      <c r="J3863" t="s">
        <v>8009</v>
      </c>
      <c r="K3863" t="s">
        <v>44</v>
      </c>
      <c r="N3863" t="s">
        <v>45</v>
      </c>
      <c r="O3863" t="s">
        <v>46</v>
      </c>
      <c r="P3863" t="s">
        <v>45</v>
      </c>
      <c r="Q3863" t="s">
        <v>47</v>
      </c>
      <c r="R3863" t="s">
        <v>44</v>
      </c>
      <c r="S3863">
        <v>0</v>
      </c>
      <c r="W3863" s="3">
        <v>1.1111111111111111E-3</v>
      </c>
      <c r="X3863" t="s">
        <v>6144</v>
      </c>
      <c r="Y3863">
        <v>4</v>
      </c>
      <c r="Z3863">
        <v>0</v>
      </c>
      <c r="AA3863" t="s">
        <v>49</v>
      </c>
      <c r="AB3863">
        <v>0</v>
      </c>
      <c r="AC3863" t="s">
        <v>49</v>
      </c>
      <c r="AD3863">
        <v>0</v>
      </c>
      <c r="AE3863">
        <v>10446849</v>
      </c>
      <c r="AF3863" t="s">
        <v>50</v>
      </c>
      <c r="AG3863" t="s">
        <v>7733</v>
      </c>
    </row>
    <row r="3864" spans="1:33" x14ac:dyDescent="0.35">
      <c r="A3864" s="1">
        <v>44637.704861111109</v>
      </c>
      <c r="B3864">
        <v>5841975</v>
      </c>
      <c r="C3864" t="s">
        <v>3369</v>
      </c>
      <c r="D3864" t="s">
        <v>1486</v>
      </c>
      <c r="E3864" s="2">
        <v>41365</v>
      </c>
      <c r="F3864" t="str">
        <f>"9781626378742"</f>
        <v>9781626378742</v>
      </c>
      <c r="G3864" t="str">
        <f>"9781588268822"</f>
        <v>9781588268822</v>
      </c>
      <c r="H3864" t="s">
        <v>667</v>
      </c>
      <c r="I3864">
        <v>956.00492740000004</v>
      </c>
      <c r="J3864" t="s">
        <v>3370</v>
      </c>
      <c r="K3864" t="s">
        <v>44</v>
      </c>
      <c r="N3864" t="s">
        <v>45</v>
      </c>
      <c r="O3864" t="s">
        <v>46</v>
      </c>
      <c r="P3864" t="s">
        <v>45</v>
      </c>
      <c r="Q3864" t="s">
        <v>47</v>
      </c>
      <c r="R3864" t="s">
        <v>44</v>
      </c>
      <c r="S3864">
        <v>0</v>
      </c>
      <c r="W3864" s="3">
        <v>1.7939814814814815E-3</v>
      </c>
      <c r="X3864" t="s">
        <v>8010</v>
      </c>
      <c r="Y3864">
        <v>7</v>
      </c>
      <c r="Z3864">
        <v>0</v>
      </c>
      <c r="AA3864" t="s">
        <v>49</v>
      </c>
      <c r="AB3864">
        <v>0</v>
      </c>
      <c r="AC3864" t="s">
        <v>49</v>
      </c>
      <c r="AD3864">
        <v>0</v>
      </c>
      <c r="AE3864">
        <v>-1</v>
      </c>
      <c r="AF3864" t="s">
        <v>50</v>
      </c>
      <c r="AG3864" t="s">
        <v>7733</v>
      </c>
    </row>
    <row r="3865" spans="1:33" x14ac:dyDescent="0.35">
      <c r="A3865" s="1">
        <v>44637.638194444444</v>
      </c>
      <c r="B3865">
        <v>348641</v>
      </c>
      <c r="C3865" t="s">
        <v>8011</v>
      </c>
      <c r="D3865" t="s">
        <v>844</v>
      </c>
      <c r="E3865" s="2">
        <v>39466</v>
      </c>
      <c r="F3865" t="str">
        <f>"9781846637513"</f>
        <v>9781846637513</v>
      </c>
      <c r="G3865" t="str">
        <f>"9781846637506"</f>
        <v>9781846637506</v>
      </c>
      <c r="H3865" t="s">
        <v>60</v>
      </c>
      <c r="I3865" t="s">
        <v>1740</v>
      </c>
      <c r="J3865" t="s">
        <v>8012</v>
      </c>
      <c r="K3865" t="s">
        <v>44</v>
      </c>
      <c r="N3865" t="s">
        <v>45</v>
      </c>
      <c r="O3865" t="s">
        <v>46</v>
      </c>
      <c r="P3865" t="s">
        <v>45</v>
      </c>
      <c r="Q3865" t="s">
        <v>47</v>
      </c>
      <c r="R3865" t="s">
        <v>44</v>
      </c>
      <c r="S3865">
        <v>0</v>
      </c>
      <c r="W3865" s="3">
        <v>4.2824074074074075E-4</v>
      </c>
      <c r="X3865" t="s">
        <v>8013</v>
      </c>
      <c r="Y3865">
        <v>3</v>
      </c>
      <c r="Z3865">
        <v>0</v>
      </c>
      <c r="AA3865" t="s">
        <v>49</v>
      </c>
      <c r="AB3865">
        <v>0</v>
      </c>
      <c r="AC3865" t="s">
        <v>49</v>
      </c>
      <c r="AD3865">
        <v>0</v>
      </c>
      <c r="AE3865">
        <v>10229704</v>
      </c>
      <c r="AF3865" t="s">
        <v>50</v>
      </c>
      <c r="AG3865" t="s">
        <v>835</v>
      </c>
    </row>
    <row r="3866" spans="1:33" x14ac:dyDescent="0.35">
      <c r="A3866" s="1">
        <v>44637.629166666666</v>
      </c>
      <c r="B3866">
        <v>2050572</v>
      </c>
      <c r="C3866" t="s">
        <v>7653</v>
      </c>
      <c r="D3866" t="s">
        <v>2116</v>
      </c>
      <c r="E3866" s="2">
        <v>42135</v>
      </c>
      <c r="F3866" t="str">
        <f>"9781606505830"</f>
        <v>9781606505830</v>
      </c>
      <c r="G3866" t="str">
        <f>"9781606505823"</f>
        <v>9781606505823</v>
      </c>
      <c r="H3866" t="s">
        <v>639</v>
      </c>
      <c r="K3866" t="s">
        <v>44</v>
      </c>
      <c r="N3866" t="s">
        <v>45</v>
      </c>
      <c r="O3866" t="s">
        <v>46</v>
      </c>
      <c r="P3866" t="s">
        <v>45</v>
      </c>
      <c r="Q3866" t="s">
        <v>47</v>
      </c>
      <c r="R3866" t="s">
        <v>44</v>
      </c>
      <c r="S3866">
        <v>0</v>
      </c>
      <c r="W3866" s="3">
        <v>1.7013888888888892E-3</v>
      </c>
      <c r="X3866" t="s">
        <v>2249</v>
      </c>
      <c r="Y3866">
        <v>6</v>
      </c>
      <c r="Z3866">
        <v>0</v>
      </c>
      <c r="AA3866" t="s">
        <v>49</v>
      </c>
      <c r="AB3866">
        <v>0</v>
      </c>
      <c r="AC3866" t="s">
        <v>49</v>
      </c>
      <c r="AD3866">
        <v>0</v>
      </c>
      <c r="AE3866">
        <v>11056883</v>
      </c>
      <c r="AF3866" t="s">
        <v>50</v>
      </c>
      <c r="AG3866" t="s">
        <v>7654</v>
      </c>
    </row>
    <row r="3867" spans="1:33" x14ac:dyDescent="0.35">
      <c r="A3867" s="1">
        <v>44637.606249999997</v>
      </c>
      <c r="B3867">
        <v>4829166</v>
      </c>
      <c r="C3867" t="s">
        <v>7142</v>
      </c>
      <c r="D3867" t="s">
        <v>59</v>
      </c>
      <c r="E3867" s="2">
        <v>42835</v>
      </c>
      <c r="F3867" t="str">
        <f>"9781119219835"</f>
        <v>9781119219835</v>
      </c>
      <c r="G3867" t="str">
        <f>"9781119219811"</f>
        <v>9781119219811</v>
      </c>
      <c r="H3867" t="s">
        <v>525</v>
      </c>
      <c r="I3867" t="s">
        <v>7143</v>
      </c>
      <c r="J3867" t="s">
        <v>7144</v>
      </c>
      <c r="K3867" t="s">
        <v>44</v>
      </c>
      <c r="N3867" t="s">
        <v>45</v>
      </c>
      <c r="O3867" t="s">
        <v>46</v>
      </c>
      <c r="P3867" t="s">
        <v>45</v>
      </c>
      <c r="Q3867" t="s">
        <v>47</v>
      </c>
      <c r="R3867" t="s">
        <v>44</v>
      </c>
      <c r="S3867">
        <v>0</v>
      </c>
      <c r="W3867" s="3">
        <v>1.273148148148148E-4</v>
      </c>
      <c r="X3867" t="s">
        <v>121</v>
      </c>
      <c r="Y3867">
        <v>1</v>
      </c>
      <c r="Z3867">
        <v>0</v>
      </c>
      <c r="AA3867" t="s">
        <v>49</v>
      </c>
      <c r="AB3867">
        <v>0</v>
      </c>
      <c r="AC3867" t="s">
        <v>49</v>
      </c>
      <c r="AD3867">
        <v>0</v>
      </c>
      <c r="AE3867">
        <v>11365259</v>
      </c>
      <c r="AF3867" t="s">
        <v>50</v>
      </c>
      <c r="AG3867" t="s">
        <v>7654</v>
      </c>
    </row>
    <row r="3868" spans="1:33" x14ac:dyDescent="0.35">
      <c r="A3868" s="1">
        <v>44637.5</v>
      </c>
      <c r="B3868">
        <v>472381</v>
      </c>
      <c r="C3868" t="s">
        <v>8014</v>
      </c>
      <c r="D3868" t="s">
        <v>125</v>
      </c>
      <c r="E3868" s="2">
        <v>40179</v>
      </c>
      <c r="F3868" t="str">
        <f>"9780191572876"</f>
        <v>9780191572876</v>
      </c>
      <c r="G3868" t="str">
        <f>"9780199545728"</f>
        <v>9780199545728</v>
      </c>
      <c r="H3868" t="s">
        <v>8015</v>
      </c>
      <c r="I3868">
        <v>297.08999999999997</v>
      </c>
      <c r="J3868" t="s">
        <v>8016</v>
      </c>
      <c r="K3868" t="s">
        <v>44</v>
      </c>
      <c r="N3868" t="s">
        <v>45</v>
      </c>
      <c r="O3868" t="s">
        <v>46</v>
      </c>
      <c r="P3868" t="s">
        <v>45</v>
      </c>
      <c r="Q3868" t="s">
        <v>47</v>
      </c>
      <c r="R3868" t="s">
        <v>44</v>
      </c>
      <c r="S3868">
        <v>0</v>
      </c>
      <c r="W3868" s="3">
        <v>9.7222222222222209E-4</v>
      </c>
      <c r="X3868" t="s">
        <v>8017</v>
      </c>
      <c r="Y3868">
        <v>5</v>
      </c>
      <c r="Z3868">
        <v>0</v>
      </c>
      <c r="AA3868" t="s">
        <v>49</v>
      </c>
      <c r="AB3868">
        <v>0</v>
      </c>
      <c r="AC3868" t="s">
        <v>49</v>
      </c>
      <c r="AD3868">
        <v>0</v>
      </c>
      <c r="AE3868">
        <v>10358548</v>
      </c>
      <c r="AF3868" t="s">
        <v>50</v>
      </c>
      <c r="AG3868" t="s">
        <v>7654</v>
      </c>
    </row>
    <row r="3869" spans="1:33" x14ac:dyDescent="0.35">
      <c r="A3869" s="1">
        <v>44637.48541666667</v>
      </c>
      <c r="B3869">
        <v>4983682</v>
      </c>
      <c r="C3869" t="s">
        <v>8018</v>
      </c>
      <c r="D3869" t="s">
        <v>59</v>
      </c>
      <c r="E3869" s="2">
        <v>42983</v>
      </c>
      <c r="F3869" t="str">
        <f>"9781119079538"</f>
        <v>9781119079538</v>
      </c>
      <c r="G3869" t="str">
        <f>"9781118098813"</f>
        <v>9781118098813</v>
      </c>
      <c r="H3869" t="s">
        <v>585</v>
      </c>
      <c r="I3869">
        <v>530.14099999999996</v>
      </c>
      <c r="J3869" t="s">
        <v>8019</v>
      </c>
      <c r="K3869" t="s">
        <v>44</v>
      </c>
      <c r="N3869" t="s">
        <v>45</v>
      </c>
      <c r="O3869" t="s">
        <v>46</v>
      </c>
      <c r="P3869" t="s">
        <v>45</v>
      </c>
      <c r="Q3869" t="s">
        <v>47</v>
      </c>
      <c r="R3869" t="s">
        <v>44</v>
      </c>
      <c r="S3869">
        <v>0</v>
      </c>
      <c r="W3869" s="3">
        <v>4.6296296296296294E-5</v>
      </c>
      <c r="X3869" t="s">
        <v>4613</v>
      </c>
      <c r="Y3869">
        <v>1</v>
      </c>
      <c r="Z3869">
        <v>0</v>
      </c>
      <c r="AA3869" t="s">
        <v>49</v>
      </c>
      <c r="AB3869">
        <v>0</v>
      </c>
      <c r="AC3869" t="s">
        <v>49</v>
      </c>
      <c r="AD3869">
        <v>0</v>
      </c>
      <c r="AE3869">
        <v>11429214</v>
      </c>
      <c r="AF3869" t="s">
        <v>50</v>
      </c>
      <c r="AG3869" t="s">
        <v>7654</v>
      </c>
    </row>
    <row r="3870" spans="1:33" x14ac:dyDescent="0.35">
      <c r="A3870" s="1">
        <v>44637.473611111112</v>
      </c>
      <c r="B3870">
        <v>1495935</v>
      </c>
      <c r="C3870" t="s">
        <v>8020</v>
      </c>
      <c r="D3870" t="s">
        <v>2116</v>
      </c>
      <c r="E3870" s="2">
        <v>41579</v>
      </c>
      <c r="F3870" t="str">
        <f>"9781606506226"</f>
        <v>9781606506226</v>
      </c>
      <c r="G3870" t="str">
        <f>"9781606506219"</f>
        <v>9781606506219</v>
      </c>
      <c r="H3870" t="s">
        <v>639</v>
      </c>
      <c r="K3870" t="s">
        <v>44</v>
      </c>
      <c r="N3870" t="s">
        <v>45</v>
      </c>
      <c r="O3870" t="s">
        <v>46</v>
      </c>
      <c r="P3870" t="s">
        <v>45</v>
      </c>
      <c r="Q3870" t="s">
        <v>47</v>
      </c>
      <c r="R3870" t="s">
        <v>44</v>
      </c>
      <c r="S3870">
        <v>0</v>
      </c>
      <c r="W3870" s="3">
        <v>2.3148148148148147E-5</v>
      </c>
      <c r="X3870" t="s">
        <v>49</v>
      </c>
      <c r="Y3870">
        <v>0</v>
      </c>
      <c r="Z3870">
        <v>2</v>
      </c>
      <c r="AA3870" t="s">
        <v>8021</v>
      </c>
      <c r="AB3870">
        <v>34</v>
      </c>
      <c r="AC3870" t="s">
        <v>49</v>
      </c>
      <c r="AD3870">
        <v>0</v>
      </c>
      <c r="AE3870">
        <v>10810845</v>
      </c>
      <c r="AF3870" t="s">
        <v>50</v>
      </c>
      <c r="AG3870" t="s">
        <v>7654</v>
      </c>
    </row>
    <row r="3871" spans="1:33" x14ac:dyDescent="0.35">
      <c r="A3871" s="1">
        <v>44637.46597222222</v>
      </c>
      <c r="B3871">
        <v>3420193</v>
      </c>
      <c r="C3871" t="s">
        <v>7244</v>
      </c>
      <c r="D3871" t="s">
        <v>347</v>
      </c>
      <c r="E3871" s="2">
        <v>38118</v>
      </c>
      <c r="F3871" t="str">
        <f>"9780300133684"</f>
        <v>9780300133684</v>
      </c>
      <c r="G3871" t="str">
        <f>"9780300100327"</f>
        <v>9780300100327</v>
      </c>
      <c r="H3871" t="s">
        <v>498</v>
      </c>
      <c r="I3871" t="s">
        <v>6125</v>
      </c>
      <c r="J3871" t="s">
        <v>7245</v>
      </c>
      <c r="K3871" t="s">
        <v>44</v>
      </c>
      <c r="N3871" t="s">
        <v>45</v>
      </c>
      <c r="O3871" t="s">
        <v>46</v>
      </c>
      <c r="P3871" t="s">
        <v>45</v>
      </c>
      <c r="Q3871" t="s">
        <v>47</v>
      </c>
      <c r="R3871" t="s">
        <v>44</v>
      </c>
      <c r="S3871">
        <v>0</v>
      </c>
      <c r="W3871" s="3">
        <v>2.1412037037037038E-3</v>
      </c>
      <c r="X3871" t="s">
        <v>8022</v>
      </c>
      <c r="Y3871">
        <v>23</v>
      </c>
      <c r="Z3871">
        <v>0</v>
      </c>
      <c r="AA3871" t="s">
        <v>49</v>
      </c>
      <c r="AB3871">
        <v>0</v>
      </c>
      <c r="AC3871" t="s">
        <v>49</v>
      </c>
      <c r="AD3871">
        <v>0</v>
      </c>
      <c r="AE3871">
        <v>10170884</v>
      </c>
      <c r="AF3871" t="s">
        <v>63</v>
      </c>
      <c r="AG3871" t="s">
        <v>7642</v>
      </c>
    </row>
    <row r="3872" spans="1:33" x14ac:dyDescent="0.35">
      <c r="A3872" s="1">
        <v>44637.463888888888</v>
      </c>
      <c r="B3872">
        <v>4983682</v>
      </c>
      <c r="C3872" t="s">
        <v>8018</v>
      </c>
      <c r="D3872" t="s">
        <v>59</v>
      </c>
      <c r="E3872" s="2">
        <v>42983</v>
      </c>
      <c r="F3872" t="str">
        <f>"9781119079538"</f>
        <v>9781119079538</v>
      </c>
      <c r="G3872" t="str">
        <f>"9781118098813"</f>
        <v>9781118098813</v>
      </c>
      <c r="H3872" t="s">
        <v>585</v>
      </c>
      <c r="I3872">
        <v>530.14099999999996</v>
      </c>
      <c r="J3872" t="s">
        <v>8019</v>
      </c>
      <c r="K3872" t="s">
        <v>44</v>
      </c>
      <c r="N3872" t="s">
        <v>45</v>
      </c>
      <c r="O3872" t="s">
        <v>46</v>
      </c>
      <c r="P3872" t="s">
        <v>45</v>
      </c>
      <c r="Q3872" t="s">
        <v>47</v>
      </c>
      <c r="R3872" t="s">
        <v>44</v>
      </c>
      <c r="S3872">
        <v>0</v>
      </c>
      <c r="W3872" s="3">
        <v>1.1180555555555556E-2</v>
      </c>
      <c r="X3872" t="s">
        <v>8023</v>
      </c>
      <c r="Y3872">
        <v>72</v>
      </c>
      <c r="Z3872">
        <v>0</v>
      </c>
      <c r="AA3872" t="s">
        <v>49</v>
      </c>
      <c r="AB3872">
        <v>0</v>
      </c>
      <c r="AC3872" t="s">
        <v>49</v>
      </c>
      <c r="AD3872">
        <v>0</v>
      </c>
      <c r="AE3872">
        <v>11429214</v>
      </c>
      <c r="AF3872" t="s">
        <v>50</v>
      </c>
      <c r="AG3872" t="s">
        <v>7654</v>
      </c>
    </row>
    <row r="3873" spans="1:33" x14ac:dyDescent="0.35">
      <c r="A3873" s="1">
        <v>44637.461805555555</v>
      </c>
      <c r="B3873">
        <v>536977</v>
      </c>
      <c r="C3873" t="s">
        <v>1900</v>
      </c>
      <c r="D3873" t="s">
        <v>507</v>
      </c>
      <c r="E3873" s="2">
        <v>40043</v>
      </c>
      <c r="F3873" t="str">
        <f>"9780748637942"</f>
        <v>9780748637942</v>
      </c>
      <c r="G3873" t="str">
        <f>"9780748637928"</f>
        <v>9780748637928</v>
      </c>
      <c r="H3873" t="s">
        <v>162</v>
      </c>
      <c r="I3873">
        <v>297</v>
      </c>
      <c r="J3873" t="s">
        <v>1901</v>
      </c>
      <c r="K3873" t="s">
        <v>44</v>
      </c>
      <c r="N3873" t="s">
        <v>45</v>
      </c>
      <c r="O3873" t="s">
        <v>46</v>
      </c>
      <c r="P3873" t="s">
        <v>45</v>
      </c>
      <c r="Q3873" t="s">
        <v>47</v>
      </c>
      <c r="R3873" t="s">
        <v>44</v>
      </c>
      <c r="S3873">
        <v>1</v>
      </c>
      <c r="W3873" s="3">
        <v>6.9560185185185185E-3</v>
      </c>
      <c r="X3873" t="s">
        <v>8024</v>
      </c>
      <c r="Y3873">
        <v>27</v>
      </c>
      <c r="Z3873">
        <v>1</v>
      </c>
      <c r="AA3873" t="s">
        <v>8025</v>
      </c>
      <c r="AB3873">
        <v>33</v>
      </c>
      <c r="AC3873" t="s">
        <v>49</v>
      </c>
      <c r="AD3873">
        <v>0</v>
      </c>
      <c r="AE3873">
        <v>10391780</v>
      </c>
      <c r="AF3873" t="s">
        <v>63</v>
      </c>
      <c r="AG3873" t="s">
        <v>7642</v>
      </c>
    </row>
    <row r="3874" spans="1:33" x14ac:dyDescent="0.35">
      <c r="A3874" s="1">
        <v>44637.285416666666</v>
      </c>
      <c r="B3874">
        <v>1157762</v>
      </c>
      <c r="C3874" t="s">
        <v>8026</v>
      </c>
      <c r="D3874" t="s">
        <v>76</v>
      </c>
      <c r="E3874" s="2">
        <v>41353</v>
      </c>
      <c r="F3874" t="str">
        <f>"9781136174049"</f>
        <v>9781136174049</v>
      </c>
      <c r="G3874" t="str">
        <f>"9780415899710"</f>
        <v>9780415899710</v>
      </c>
      <c r="H3874" t="s">
        <v>667</v>
      </c>
      <c r="I3874">
        <v>973.92200000000003</v>
      </c>
      <c r="J3874" t="s">
        <v>8027</v>
      </c>
      <c r="K3874" t="s">
        <v>44</v>
      </c>
      <c r="N3874" t="s">
        <v>45</v>
      </c>
      <c r="O3874" t="s">
        <v>46</v>
      </c>
      <c r="P3874" t="s">
        <v>45</v>
      </c>
      <c r="Q3874" t="s">
        <v>47</v>
      </c>
      <c r="R3874" t="s">
        <v>44</v>
      </c>
      <c r="S3874">
        <v>0</v>
      </c>
      <c r="W3874" s="3">
        <v>2.0254629629629629E-3</v>
      </c>
      <c r="X3874" t="s">
        <v>8028</v>
      </c>
      <c r="Y3874">
        <v>24</v>
      </c>
      <c r="Z3874">
        <v>0</v>
      </c>
      <c r="AA3874" t="s">
        <v>49</v>
      </c>
      <c r="AB3874">
        <v>0</v>
      </c>
      <c r="AC3874" t="s">
        <v>49</v>
      </c>
      <c r="AD3874">
        <v>0</v>
      </c>
      <c r="AE3874">
        <v>10676527</v>
      </c>
      <c r="AF3874" t="s">
        <v>50</v>
      </c>
      <c r="AG3874" t="s">
        <v>7654</v>
      </c>
    </row>
    <row r="3875" spans="1:33" x14ac:dyDescent="0.35">
      <c r="A3875" s="1">
        <v>44637.222916666666</v>
      </c>
      <c r="B3875">
        <v>1693771</v>
      </c>
      <c r="C3875" t="s">
        <v>8029</v>
      </c>
      <c r="D3875" t="s">
        <v>473</v>
      </c>
      <c r="E3875" s="2">
        <v>41767</v>
      </c>
      <c r="F3875" t="str">
        <f>"9789004271708"</f>
        <v>9789004271708</v>
      </c>
      <c r="G3875" t="str">
        <f>"9789004271692"</f>
        <v>9789004271692</v>
      </c>
      <c r="H3875" t="s">
        <v>712</v>
      </c>
      <c r="I3875" t="s">
        <v>8030</v>
      </c>
      <c r="J3875" t="s">
        <v>8031</v>
      </c>
      <c r="K3875" t="s">
        <v>44</v>
      </c>
      <c r="N3875" t="s">
        <v>45</v>
      </c>
      <c r="O3875" t="s">
        <v>46</v>
      </c>
      <c r="P3875" t="s">
        <v>45</v>
      </c>
      <c r="Q3875" t="s">
        <v>47</v>
      </c>
      <c r="R3875" t="s">
        <v>44</v>
      </c>
      <c r="S3875">
        <v>0</v>
      </c>
      <c r="W3875" s="3">
        <v>1.5856481481481479E-3</v>
      </c>
      <c r="X3875" t="s">
        <v>8032</v>
      </c>
      <c r="Y3875">
        <v>11</v>
      </c>
      <c r="Z3875">
        <v>0</v>
      </c>
      <c r="AA3875" t="s">
        <v>49</v>
      </c>
      <c r="AB3875">
        <v>0</v>
      </c>
      <c r="AC3875" t="s">
        <v>49</v>
      </c>
      <c r="AD3875">
        <v>0</v>
      </c>
      <c r="AE3875">
        <v>10873748</v>
      </c>
      <c r="AF3875" t="s">
        <v>50</v>
      </c>
      <c r="AG3875" t="s">
        <v>7760</v>
      </c>
    </row>
    <row r="3876" spans="1:33" x14ac:dyDescent="0.35">
      <c r="A3876" s="1">
        <v>44637.212500000001</v>
      </c>
      <c r="B3876">
        <v>279773</v>
      </c>
      <c r="C3876" t="s">
        <v>8033</v>
      </c>
      <c r="D3876" t="s">
        <v>125</v>
      </c>
      <c r="E3876" s="2">
        <v>38386</v>
      </c>
      <c r="F3876" t="str">
        <f>"9780199729296"</f>
        <v>9780199729296</v>
      </c>
      <c r="G3876" t="str">
        <f>"9780195167221"</f>
        <v>9780195167221</v>
      </c>
      <c r="H3876" t="s">
        <v>712</v>
      </c>
      <c r="I3876">
        <v>349.73</v>
      </c>
      <c r="J3876" t="s">
        <v>8034</v>
      </c>
      <c r="K3876" t="s">
        <v>44</v>
      </c>
      <c r="N3876" t="s">
        <v>45</v>
      </c>
      <c r="O3876" t="s">
        <v>46</v>
      </c>
      <c r="P3876" t="s">
        <v>45</v>
      </c>
      <c r="Q3876" t="s">
        <v>47</v>
      </c>
      <c r="R3876" t="s">
        <v>44</v>
      </c>
      <c r="S3876">
        <v>0</v>
      </c>
      <c r="W3876" s="3">
        <v>8.2152777777777783E-2</v>
      </c>
      <c r="X3876" t="s">
        <v>8035</v>
      </c>
      <c r="Y3876">
        <v>119</v>
      </c>
      <c r="Z3876">
        <v>0</v>
      </c>
      <c r="AA3876" t="s">
        <v>49</v>
      </c>
      <c r="AB3876">
        <v>0</v>
      </c>
      <c r="AC3876" t="s">
        <v>49</v>
      </c>
      <c r="AD3876">
        <v>0</v>
      </c>
      <c r="AE3876">
        <v>10103698</v>
      </c>
      <c r="AF3876" t="s">
        <v>50</v>
      </c>
      <c r="AG3876" t="s">
        <v>7760</v>
      </c>
    </row>
    <row r="3877" spans="1:33" x14ac:dyDescent="0.35">
      <c r="A3877" s="1">
        <v>44637.205555555556</v>
      </c>
      <c r="B3877">
        <v>1024675</v>
      </c>
      <c r="C3877" t="s">
        <v>8036</v>
      </c>
      <c r="D3877" t="s">
        <v>76</v>
      </c>
      <c r="E3877" s="2">
        <v>40750</v>
      </c>
      <c r="F3877" t="str">
        <f>"9780203810415"</f>
        <v>9780203810415</v>
      </c>
      <c r="G3877" t="str">
        <f>"9780415568050"</f>
        <v>9780415568050</v>
      </c>
      <c r="H3877" t="s">
        <v>712</v>
      </c>
      <c r="I3877">
        <v>349.42</v>
      </c>
      <c r="J3877" t="s">
        <v>8037</v>
      </c>
      <c r="K3877" t="s">
        <v>44</v>
      </c>
      <c r="N3877" t="s">
        <v>45</v>
      </c>
      <c r="O3877" t="s">
        <v>46</v>
      </c>
      <c r="P3877" t="s">
        <v>45</v>
      </c>
      <c r="Q3877" t="s">
        <v>47</v>
      </c>
      <c r="R3877" t="s">
        <v>44</v>
      </c>
      <c r="S3877">
        <v>0</v>
      </c>
      <c r="W3877" s="3">
        <v>1.4085648148148151E-2</v>
      </c>
      <c r="X3877" t="s">
        <v>8038</v>
      </c>
      <c r="Y3877">
        <v>40</v>
      </c>
      <c r="Z3877">
        <v>0</v>
      </c>
      <c r="AA3877" t="s">
        <v>49</v>
      </c>
      <c r="AB3877">
        <v>0</v>
      </c>
      <c r="AC3877" t="s">
        <v>49</v>
      </c>
      <c r="AD3877">
        <v>0</v>
      </c>
      <c r="AE3877">
        <v>10603877</v>
      </c>
      <c r="AF3877" t="s">
        <v>50</v>
      </c>
      <c r="AG3877" t="s">
        <v>7760</v>
      </c>
    </row>
    <row r="3878" spans="1:33" x14ac:dyDescent="0.35">
      <c r="A3878" s="1">
        <v>44637.197916666664</v>
      </c>
      <c r="B3878">
        <v>4183001</v>
      </c>
      <c r="C3878" t="s">
        <v>6887</v>
      </c>
      <c r="D3878" t="s">
        <v>59</v>
      </c>
      <c r="E3878" s="2">
        <v>42359</v>
      </c>
      <c r="F3878" t="str">
        <f>"9781118972311"</f>
        <v>9781118972311</v>
      </c>
      <c r="G3878" t="str">
        <f>"9781118972304"</f>
        <v>9781118972304</v>
      </c>
      <c r="H3878" t="s">
        <v>162</v>
      </c>
      <c r="I3878">
        <v>297</v>
      </c>
      <c r="J3878" t="s">
        <v>6888</v>
      </c>
      <c r="K3878" t="s">
        <v>44</v>
      </c>
      <c r="N3878" t="s">
        <v>45</v>
      </c>
      <c r="O3878" t="s">
        <v>46</v>
      </c>
      <c r="P3878" t="s">
        <v>45</v>
      </c>
      <c r="Q3878" t="s">
        <v>47</v>
      </c>
      <c r="R3878" t="s">
        <v>44</v>
      </c>
      <c r="S3878">
        <v>0</v>
      </c>
      <c r="W3878" s="3">
        <v>4.0856481481481481E-3</v>
      </c>
      <c r="X3878" t="s">
        <v>8039</v>
      </c>
      <c r="Y3878">
        <v>2</v>
      </c>
      <c r="Z3878">
        <v>0</v>
      </c>
      <c r="AA3878" t="s">
        <v>49</v>
      </c>
      <c r="AB3878">
        <v>0</v>
      </c>
      <c r="AC3878" t="s">
        <v>49</v>
      </c>
      <c r="AD3878">
        <v>0</v>
      </c>
      <c r="AE3878">
        <v>11124854</v>
      </c>
      <c r="AF3878" t="s">
        <v>50</v>
      </c>
      <c r="AG3878" t="s">
        <v>7654</v>
      </c>
    </row>
    <row r="3879" spans="1:33" x14ac:dyDescent="0.35">
      <c r="A3879" s="1">
        <v>44637.137499999997</v>
      </c>
      <c r="B3879">
        <v>380838</v>
      </c>
      <c r="C3879" t="s">
        <v>5474</v>
      </c>
      <c r="D3879" t="s">
        <v>76</v>
      </c>
      <c r="E3879" s="2">
        <v>39826</v>
      </c>
      <c r="F3879" t="str">
        <f>"9780203884744"</f>
        <v>9780203884744</v>
      </c>
      <c r="G3879" t="str">
        <f>"9780415475044"</f>
        <v>9780415475044</v>
      </c>
      <c r="H3879" t="s">
        <v>337</v>
      </c>
      <c r="I3879" t="s">
        <v>5475</v>
      </c>
      <c r="J3879" t="s">
        <v>5476</v>
      </c>
      <c r="K3879" t="s">
        <v>44</v>
      </c>
      <c r="N3879" t="s">
        <v>45</v>
      </c>
      <c r="O3879" t="s">
        <v>46</v>
      </c>
      <c r="P3879" t="s">
        <v>45</v>
      </c>
      <c r="Q3879" t="s">
        <v>47</v>
      </c>
      <c r="R3879" t="s">
        <v>44</v>
      </c>
      <c r="S3879">
        <v>0</v>
      </c>
      <c r="W3879" s="3">
        <v>3.5185185185185185E-3</v>
      </c>
      <c r="X3879" t="s">
        <v>8040</v>
      </c>
      <c r="Y3879">
        <v>16</v>
      </c>
      <c r="Z3879">
        <v>0</v>
      </c>
      <c r="AA3879" t="s">
        <v>49</v>
      </c>
      <c r="AB3879">
        <v>0</v>
      </c>
      <c r="AC3879" t="s">
        <v>49</v>
      </c>
      <c r="AD3879">
        <v>0</v>
      </c>
      <c r="AE3879">
        <v>10277455</v>
      </c>
      <c r="AF3879" t="s">
        <v>50</v>
      </c>
      <c r="AG3879" t="s">
        <v>7760</v>
      </c>
    </row>
    <row r="3880" spans="1:33" x14ac:dyDescent="0.35">
      <c r="A3880" s="1">
        <v>44637.123611111114</v>
      </c>
      <c r="B3880">
        <v>310690</v>
      </c>
      <c r="C3880" t="s">
        <v>3233</v>
      </c>
      <c r="D3880" t="s">
        <v>2754</v>
      </c>
      <c r="E3880" s="2">
        <v>38412</v>
      </c>
      <c r="F3880" t="str">
        <f>"9780816696321"</f>
        <v>9780816696321</v>
      </c>
      <c r="G3880" t="str">
        <f>"9780816644100"</f>
        <v>9780816644100</v>
      </c>
      <c r="H3880" t="s">
        <v>3234</v>
      </c>
      <c r="I3880">
        <v>322.10956099999999</v>
      </c>
      <c r="J3880" t="s">
        <v>3235</v>
      </c>
      <c r="K3880" t="s">
        <v>44</v>
      </c>
      <c r="N3880" t="s">
        <v>45</v>
      </c>
      <c r="O3880" t="s">
        <v>46</v>
      </c>
      <c r="P3880" t="s">
        <v>45</v>
      </c>
      <c r="Q3880" t="s">
        <v>47</v>
      </c>
      <c r="R3880" t="s">
        <v>44</v>
      </c>
      <c r="S3880">
        <v>0</v>
      </c>
      <c r="W3880" s="3">
        <v>1.5162037037037036E-3</v>
      </c>
      <c r="X3880" t="s">
        <v>8041</v>
      </c>
      <c r="Y3880">
        <v>7</v>
      </c>
      <c r="Z3880">
        <v>0</v>
      </c>
      <c r="AA3880" t="s">
        <v>49</v>
      </c>
      <c r="AB3880">
        <v>0</v>
      </c>
      <c r="AC3880" t="s">
        <v>49</v>
      </c>
      <c r="AD3880">
        <v>0</v>
      </c>
      <c r="AE3880">
        <v>10151200</v>
      </c>
      <c r="AF3880" t="s">
        <v>50</v>
      </c>
      <c r="AG3880" t="s">
        <v>7760</v>
      </c>
    </row>
    <row r="3881" spans="1:33" x14ac:dyDescent="0.35">
      <c r="A3881" s="1">
        <v>44637.082638888889</v>
      </c>
      <c r="B3881">
        <v>4183001</v>
      </c>
      <c r="C3881" t="s">
        <v>6887</v>
      </c>
      <c r="D3881" t="s">
        <v>59</v>
      </c>
      <c r="E3881" s="2">
        <v>42359</v>
      </c>
      <c r="F3881" t="str">
        <f>"9781118972311"</f>
        <v>9781118972311</v>
      </c>
      <c r="G3881" t="str">
        <f>"9781118972304"</f>
        <v>9781118972304</v>
      </c>
      <c r="H3881" t="s">
        <v>162</v>
      </c>
      <c r="I3881">
        <v>297</v>
      </c>
      <c r="J3881" t="s">
        <v>6888</v>
      </c>
      <c r="K3881" t="s">
        <v>44</v>
      </c>
      <c r="N3881" t="s">
        <v>45</v>
      </c>
      <c r="O3881" t="s">
        <v>46</v>
      </c>
      <c r="P3881" t="s">
        <v>45</v>
      </c>
      <c r="Q3881" t="s">
        <v>47</v>
      </c>
      <c r="R3881" t="s">
        <v>44</v>
      </c>
      <c r="S3881">
        <v>0</v>
      </c>
      <c r="W3881" s="3">
        <v>1.7060185185185185E-2</v>
      </c>
      <c r="X3881" t="s">
        <v>8042</v>
      </c>
      <c r="Y3881">
        <v>12</v>
      </c>
      <c r="Z3881">
        <v>0</v>
      </c>
      <c r="AA3881" t="s">
        <v>49</v>
      </c>
      <c r="AB3881">
        <v>0</v>
      </c>
      <c r="AC3881" t="s">
        <v>49</v>
      </c>
      <c r="AD3881">
        <v>0</v>
      </c>
      <c r="AE3881">
        <v>11124854</v>
      </c>
      <c r="AF3881" t="s">
        <v>50</v>
      </c>
      <c r="AG3881" t="s">
        <v>7654</v>
      </c>
    </row>
    <row r="3882" spans="1:33" x14ac:dyDescent="0.35">
      <c r="A3882" s="1">
        <v>44637.07916666667</v>
      </c>
      <c r="B3882">
        <v>4043907</v>
      </c>
      <c r="C3882" t="s">
        <v>8043</v>
      </c>
      <c r="D3882" t="s">
        <v>59</v>
      </c>
      <c r="E3882" s="2">
        <v>40168</v>
      </c>
      <c r="F3882" t="str">
        <f>"9781444358988"</f>
        <v>9781444358988</v>
      </c>
      <c r="G3882" t="str">
        <f>"9781405180931"</f>
        <v>9781405180931</v>
      </c>
      <c r="H3882" t="s">
        <v>162</v>
      </c>
      <c r="I3882">
        <v>297.08999999999997</v>
      </c>
      <c r="J3882" t="s">
        <v>8044</v>
      </c>
      <c r="K3882" t="s">
        <v>44</v>
      </c>
      <c r="N3882" t="s">
        <v>45</v>
      </c>
      <c r="O3882" t="s">
        <v>46</v>
      </c>
      <c r="P3882" t="s">
        <v>45</v>
      </c>
      <c r="Q3882" t="s">
        <v>47</v>
      </c>
      <c r="R3882" t="s">
        <v>44</v>
      </c>
      <c r="S3882">
        <v>0</v>
      </c>
      <c r="W3882" s="3">
        <v>1.8402777777777777E-3</v>
      </c>
      <c r="X3882" t="s">
        <v>8045</v>
      </c>
      <c r="Y3882">
        <v>10</v>
      </c>
      <c r="Z3882">
        <v>0</v>
      </c>
      <c r="AA3882" t="s">
        <v>49</v>
      </c>
      <c r="AB3882">
        <v>0</v>
      </c>
      <c r="AC3882" t="s">
        <v>49</v>
      </c>
      <c r="AD3882">
        <v>0</v>
      </c>
      <c r="AE3882">
        <v>11115870</v>
      </c>
      <c r="AF3882" t="s">
        <v>50</v>
      </c>
      <c r="AG3882" t="s">
        <v>7654</v>
      </c>
    </row>
    <row r="3883" spans="1:33" x14ac:dyDescent="0.35">
      <c r="A3883" s="1">
        <v>44636.977777777778</v>
      </c>
      <c r="B3883">
        <v>178114</v>
      </c>
      <c r="C3883" t="s">
        <v>8046</v>
      </c>
      <c r="D3883" t="s">
        <v>76</v>
      </c>
      <c r="E3883" s="2">
        <v>38526</v>
      </c>
      <c r="F3883" t="str">
        <f>"9780203356920"</f>
        <v>9780203356920</v>
      </c>
      <c r="G3883" t="str">
        <f>"9780415324113"</f>
        <v>9780415324113</v>
      </c>
      <c r="H3883" t="s">
        <v>162</v>
      </c>
      <c r="I3883">
        <v>297.27199999999999</v>
      </c>
      <c r="J3883" t="s">
        <v>8047</v>
      </c>
      <c r="K3883" t="s">
        <v>44</v>
      </c>
      <c r="N3883" t="s">
        <v>45</v>
      </c>
      <c r="O3883" t="s">
        <v>46</v>
      </c>
      <c r="P3883" t="s">
        <v>45</v>
      </c>
      <c r="Q3883" t="s">
        <v>47</v>
      </c>
      <c r="R3883" t="s">
        <v>44</v>
      </c>
      <c r="S3883">
        <v>0</v>
      </c>
      <c r="W3883" s="3">
        <v>1.8055555555555557E-3</v>
      </c>
      <c r="X3883" t="s">
        <v>8048</v>
      </c>
      <c r="Y3883">
        <v>16</v>
      </c>
      <c r="Z3883">
        <v>0</v>
      </c>
      <c r="AA3883" t="s">
        <v>49</v>
      </c>
      <c r="AB3883">
        <v>0</v>
      </c>
      <c r="AC3883" t="s">
        <v>49</v>
      </c>
      <c r="AD3883">
        <v>0</v>
      </c>
      <c r="AE3883">
        <v>10162678</v>
      </c>
      <c r="AF3883" t="s">
        <v>50</v>
      </c>
      <c r="AG3883" t="s">
        <v>7654</v>
      </c>
    </row>
    <row r="3884" spans="1:33" x14ac:dyDescent="0.35">
      <c r="A3884" s="1">
        <v>44636.970833333333</v>
      </c>
      <c r="B3884">
        <v>1113021</v>
      </c>
      <c r="C3884" t="s">
        <v>8049</v>
      </c>
      <c r="D3884" t="s">
        <v>502</v>
      </c>
      <c r="E3884" s="2">
        <v>41333</v>
      </c>
      <c r="F3884" t="str">
        <f>"9781107306066"</f>
        <v>9781107306066</v>
      </c>
      <c r="G3884" t="str">
        <f>"9780521195317"</f>
        <v>9780521195317</v>
      </c>
      <c r="H3884" t="s">
        <v>2062</v>
      </c>
      <c r="I3884" t="s">
        <v>8050</v>
      </c>
      <c r="J3884" t="s">
        <v>8051</v>
      </c>
      <c r="K3884" t="s">
        <v>44</v>
      </c>
      <c r="N3884" t="s">
        <v>45</v>
      </c>
      <c r="O3884" t="s">
        <v>46</v>
      </c>
      <c r="P3884" t="s">
        <v>45</v>
      </c>
      <c r="Q3884" t="s">
        <v>47</v>
      </c>
      <c r="R3884" t="s">
        <v>44</v>
      </c>
      <c r="S3884">
        <v>0</v>
      </c>
      <c r="W3884" s="3">
        <v>3.4722222222222224E-4</v>
      </c>
      <c r="X3884" t="s">
        <v>8052</v>
      </c>
      <c r="Y3884">
        <v>3</v>
      </c>
      <c r="Z3884">
        <v>0</v>
      </c>
      <c r="AA3884" t="s">
        <v>49</v>
      </c>
      <c r="AB3884">
        <v>0</v>
      </c>
      <c r="AC3884" t="s">
        <v>49</v>
      </c>
      <c r="AD3884">
        <v>0</v>
      </c>
      <c r="AE3884">
        <v>10667766</v>
      </c>
      <c r="AF3884" t="s">
        <v>50</v>
      </c>
      <c r="AG3884" t="s">
        <v>1451</v>
      </c>
    </row>
    <row r="3885" spans="1:33" x14ac:dyDescent="0.35">
      <c r="A3885" s="1">
        <v>44636.954861111109</v>
      </c>
      <c r="B3885">
        <v>4305980</v>
      </c>
      <c r="C3885" t="s">
        <v>8053</v>
      </c>
      <c r="D3885" t="s">
        <v>1034</v>
      </c>
      <c r="E3885" s="2">
        <v>42339</v>
      </c>
      <c r="F3885" t="str">
        <f>"9780295806341"</f>
        <v>9780295806341</v>
      </c>
      <c r="G3885" t="str">
        <f>"9780295995311"</f>
        <v>9780295995311</v>
      </c>
      <c r="H3885" t="s">
        <v>1046</v>
      </c>
      <c r="I3885">
        <v>305.42095949999998</v>
      </c>
      <c r="J3885" t="s">
        <v>8054</v>
      </c>
      <c r="K3885" t="s">
        <v>44</v>
      </c>
      <c r="N3885" t="s">
        <v>45</v>
      </c>
      <c r="O3885" t="s">
        <v>46</v>
      </c>
      <c r="P3885" t="s">
        <v>45</v>
      </c>
      <c r="Q3885" t="s">
        <v>47</v>
      </c>
      <c r="R3885" t="s">
        <v>44</v>
      </c>
      <c r="S3885">
        <v>0</v>
      </c>
      <c r="W3885" s="3">
        <v>5.7870370370370366E-5</v>
      </c>
      <c r="X3885" t="s">
        <v>121</v>
      </c>
      <c r="Y3885">
        <v>1</v>
      </c>
      <c r="Z3885">
        <v>0</v>
      </c>
      <c r="AA3885" t="s">
        <v>49</v>
      </c>
      <c r="AB3885">
        <v>0</v>
      </c>
      <c r="AC3885" t="s">
        <v>49</v>
      </c>
      <c r="AD3885">
        <v>0</v>
      </c>
      <c r="AE3885">
        <v>11137345</v>
      </c>
      <c r="AF3885" t="s">
        <v>50</v>
      </c>
      <c r="AG3885" t="s">
        <v>7654</v>
      </c>
    </row>
    <row r="3886" spans="1:33" x14ac:dyDescent="0.35">
      <c r="A3886" s="1">
        <v>44636.931250000001</v>
      </c>
      <c r="B3886">
        <v>380838</v>
      </c>
      <c r="C3886" t="s">
        <v>5474</v>
      </c>
      <c r="D3886" t="s">
        <v>76</v>
      </c>
      <c r="E3886" s="2">
        <v>39826</v>
      </c>
      <c r="F3886" t="str">
        <f>"9780203884744"</f>
        <v>9780203884744</v>
      </c>
      <c r="G3886" t="str">
        <f>"9780415475044"</f>
        <v>9780415475044</v>
      </c>
      <c r="H3886" t="s">
        <v>337</v>
      </c>
      <c r="I3886" t="s">
        <v>5475</v>
      </c>
      <c r="J3886" t="s">
        <v>5476</v>
      </c>
      <c r="K3886" t="s">
        <v>44</v>
      </c>
      <c r="N3886" t="s">
        <v>45</v>
      </c>
      <c r="O3886" t="s">
        <v>46</v>
      </c>
      <c r="P3886" t="s">
        <v>45</v>
      </c>
      <c r="Q3886" t="s">
        <v>47</v>
      </c>
      <c r="R3886" t="s">
        <v>44</v>
      </c>
      <c r="S3886">
        <v>0</v>
      </c>
      <c r="W3886" s="3">
        <v>3.5532407407407405E-3</v>
      </c>
      <c r="X3886" t="s">
        <v>8055</v>
      </c>
      <c r="Y3886">
        <v>17</v>
      </c>
      <c r="Z3886">
        <v>0</v>
      </c>
      <c r="AA3886" t="s">
        <v>49</v>
      </c>
      <c r="AB3886">
        <v>0</v>
      </c>
      <c r="AC3886" t="s">
        <v>49</v>
      </c>
      <c r="AD3886">
        <v>0</v>
      </c>
      <c r="AE3886">
        <v>10277455</v>
      </c>
      <c r="AF3886" t="s">
        <v>50</v>
      </c>
      <c r="AG3886" t="s">
        <v>7760</v>
      </c>
    </row>
    <row r="3887" spans="1:33" x14ac:dyDescent="0.35">
      <c r="A3887" s="1">
        <v>44636.915277777778</v>
      </c>
      <c r="B3887">
        <v>3138129</v>
      </c>
      <c r="C3887" t="s">
        <v>8056</v>
      </c>
      <c r="D3887" t="s">
        <v>2234</v>
      </c>
      <c r="E3887" s="2">
        <v>40709</v>
      </c>
      <c r="F3887" t="str">
        <f>"9780801461606"</f>
        <v>9780801461606</v>
      </c>
      <c r="G3887" t="str">
        <f>"9780801446979"</f>
        <v>9780801446979</v>
      </c>
      <c r="H3887" t="s">
        <v>353</v>
      </c>
      <c r="I3887" t="s">
        <v>8057</v>
      </c>
      <c r="J3887" t="s">
        <v>8058</v>
      </c>
      <c r="K3887" t="s">
        <v>44</v>
      </c>
      <c r="N3887" t="s">
        <v>45</v>
      </c>
      <c r="O3887" t="s">
        <v>46</v>
      </c>
      <c r="P3887" t="s">
        <v>177</v>
      </c>
      <c r="Q3887" t="s">
        <v>47</v>
      </c>
      <c r="R3887" t="s">
        <v>55</v>
      </c>
      <c r="S3887">
        <v>0</v>
      </c>
      <c r="W3887" s="3">
        <v>1.7060185185185185E-2</v>
      </c>
      <c r="X3887" t="s">
        <v>8059</v>
      </c>
      <c r="Y3887">
        <v>5</v>
      </c>
      <c r="Z3887">
        <v>0</v>
      </c>
      <c r="AA3887" t="s">
        <v>49</v>
      </c>
      <c r="AB3887">
        <v>0</v>
      </c>
      <c r="AC3887" t="s">
        <v>49</v>
      </c>
      <c r="AD3887">
        <v>0</v>
      </c>
      <c r="AE3887">
        <v>10468008</v>
      </c>
      <c r="AF3887" t="s">
        <v>50</v>
      </c>
      <c r="AG3887" t="s">
        <v>7760</v>
      </c>
    </row>
    <row r="3888" spans="1:33" x14ac:dyDescent="0.35">
      <c r="A3888" s="1">
        <v>44636.908333333333</v>
      </c>
      <c r="B3888">
        <v>310690</v>
      </c>
      <c r="C3888" t="s">
        <v>3233</v>
      </c>
      <c r="D3888" t="s">
        <v>2754</v>
      </c>
      <c r="E3888" s="2">
        <v>38412</v>
      </c>
      <c r="F3888" t="str">
        <f>"9780816696321"</f>
        <v>9780816696321</v>
      </c>
      <c r="G3888" t="str">
        <f>"9780816644100"</f>
        <v>9780816644100</v>
      </c>
      <c r="H3888" t="s">
        <v>3234</v>
      </c>
      <c r="I3888">
        <v>322.10956099999999</v>
      </c>
      <c r="J3888" t="s">
        <v>3235</v>
      </c>
      <c r="K3888" t="s">
        <v>44</v>
      </c>
      <c r="N3888" t="s">
        <v>45</v>
      </c>
      <c r="O3888" t="s">
        <v>46</v>
      </c>
      <c r="P3888" t="s">
        <v>45</v>
      </c>
      <c r="Q3888" t="s">
        <v>47</v>
      </c>
      <c r="R3888" t="s">
        <v>44</v>
      </c>
      <c r="S3888">
        <v>0</v>
      </c>
      <c r="W3888" s="3">
        <v>2.1759259259259259E-2</v>
      </c>
      <c r="X3888" t="s">
        <v>8060</v>
      </c>
      <c r="Y3888">
        <v>17</v>
      </c>
      <c r="Z3888">
        <v>0</v>
      </c>
      <c r="AA3888" t="s">
        <v>49</v>
      </c>
      <c r="AB3888">
        <v>0</v>
      </c>
      <c r="AC3888" t="s">
        <v>49</v>
      </c>
      <c r="AD3888">
        <v>0</v>
      </c>
      <c r="AE3888">
        <v>10151200</v>
      </c>
      <c r="AF3888" t="s">
        <v>50</v>
      </c>
      <c r="AG3888" t="s">
        <v>7760</v>
      </c>
    </row>
    <row r="3889" spans="1:33" x14ac:dyDescent="0.35">
      <c r="A3889" s="1">
        <v>44636.893750000003</v>
      </c>
      <c r="B3889">
        <v>674681</v>
      </c>
      <c r="C3889" t="s">
        <v>2496</v>
      </c>
      <c r="D3889" t="s">
        <v>502</v>
      </c>
      <c r="E3889" s="2">
        <v>40612</v>
      </c>
      <c r="F3889" t="str">
        <f>"9781139045032"</f>
        <v>9781139045032</v>
      </c>
      <c r="G3889" t="str">
        <f>"9780521865012"</f>
        <v>9780521865012</v>
      </c>
      <c r="H3889" t="s">
        <v>2497</v>
      </c>
      <c r="I3889" t="s">
        <v>2498</v>
      </c>
      <c r="J3889" t="s">
        <v>2499</v>
      </c>
      <c r="K3889" t="s">
        <v>55</v>
      </c>
      <c r="N3889" t="s">
        <v>45</v>
      </c>
      <c r="O3889" t="s">
        <v>46</v>
      </c>
      <c r="P3889" t="s">
        <v>45</v>
      </c>
      <c r="Q3889" t="s">
        <v>47</v>
      </c>
      <c r="R3889" t="s">
        <v>44</v>
      </c>
      <c r="S3889">
        <v>0</v>
      </c>
      <c r="W3889" s="3">
        <v>1.1574074074074073E-4</v>
      </c>
      <c r="X3889" t="s">
        <v>56</v>
      </c>
      <c r="Y3889">
        <v>3</v>
      </c>
      <c r="Z3889">
        <v>0</v>
      </c>
      <c r="AA3889" t="s">
        <v>49</v>
      </c>
      <c r="AB3889">
        <v>0</v>
      </c>
      <c r="AC3889" t="s">
        <v>49</v>
      </c>
      <c r="AD3889">
        <v>0</v>
      </c>
      <c r="AE3889">
        <v>10460494</v>
      </c>
      <c r="AF3889" t="s">
        <v>50</v>
      </c>
      <c r="AG3889" t="s">
        <v>7760</v>
      </c>
    </row>
    <row r="3890" spans="1:33" x14ac:dyDescent="0.35">
      <c r="A3890" s="1">
        <v>44636.853472222225</v>
      </c>
      <c r="B3890">
        <v>3138129</v>
      </c>
      <c r="C3890" t="s">
        <v>8056</v>
      </c>
      <c r="D3890" t="s">
        <v>2234</v>
      </c>
      <c r="E3890" s="2">
        <v>40709</v>
      </c>
      <c r="F3890" t="str">
        <f>"9780801461606"</f>
        <v>9780801461606</v>
      </c>
      <c r="G3890" t="str">
        <f>"9780801446979"</f>
        <v>9780801446979</v>
      </c>
      <c r="H3890" t="s">
        <v>353</v>
      </c>
      <c r="I3890" t="s">
        <v>8057</v>
      </c>
      <c r="J3890" t="s">
        <v>8058</v>
      </c>
      <c r="K3890" t="s">
        <v>44</v>
      </c>
      <c r="N3890" t="s">
        <v>45</v>
      </c>
      <c r="O3890" t="s">
        <v>46</v>
      </c>
      <c r="P3890" t="s">
        <v>177</v>
      </c>
      <c r="Q3890" t="s">
        <v>47</v>
      </c>
      <c r="R3890" t="s">
        <v>55</v>
      </c>
      <c r="S3890">
        <v>0</v>
      </c>
      <c r="W3890" s="3">
        <v>5.7870370370370366E-5</v>
      </c>
      <c r="X3890" t="s">
        <v>121</v>
      </c>
      <c r="Y3890">
        <v>1</v>
      </c>
      <c r="Z3890">
        <v>0</v>
      </c>
      <c r="AA3890" t="s">
        <v>49</v>
      </c>
      <c r="AB3890">
        <v>0</v>
      </c>
      <c r="AC3890" t="s">
        <v>49</v>
      </c>
      <c r="AD3890">
        <v>0</v>
      </c>
      <c r="AE3890">
        <v>10468008</v>
      </c>
      <c r="AF3890" t="s">
        <v>50</v>
      </c>
      <c r="AG3890" t="s">
        <v>7760</v>
      </c>
    </row>
    <row r="3891" spans="1:33" x14ac:dyDescent="0.35">
      <c r="A3891" s="1">
        <v>44636.84652777778</v>
      </c>
      <c r="B3891">
        <v>310690</v>
      </c>
      <c r="C3891" t="s">
        <v>3233</v>
      </c>
      <c r="D3891" t="s">
        <v>2754</v>
      </c>
      <c r="E3891" s="2">
        <v>38412</v>
      </c>
      <c r="F3891" t="str">
        <f>"9780816696321"</f>
        <v>9780816696321</v>
      </c>
      <c r="G3891" t="str">
        <f>"9780816644100"</f>
        <v>9780816644100</v>
      </c>
      <c r="H3891" t="s">
        <v>3234</v>
      </c>
      <c r="I3891">
        <v>322.10956099999999</v>
      </c>
      <c r="J3891" t="s">
        <v>3235</v>
      </c>
      <c r="K3891" t="s">
        <v>44</v>
      </c>
      <c r="N3891" t="s">
        <v>45</v>
      </c>
      <c r="O3891" t="s">
        <v>46</v>
      </c>
      <c r="P3891" t="s">
        <v>45</v>
      </c>
      <c r="Q3891" t="s">
        <v>47</v>
      </c>
      <c r="R3891" t="s">
        <v>44</v>
      </c>
      <c r="S3891">
        <v>0</v>
      </c>
      <c r="W3891" s="3">
        <v>1.3402777777777777E-2</v>
      </c>
      <c r="X3891" t="s">
        <v>8061</v>
      </c>
      <c r="Y3891">
        <v>44</v>
      </c>
      <c r="Z3891">
        <v>0</v>
      </c>
      <c r="AA3891" t="s">
        <v>49</v>
      </c>
      <c r="AB3891">
        <v>0</v>
      </c>
      <c r="AC3891" t="s">
        <v>49</v>
      </c>
      <c r="AD3891">
        <v>0</v>
      </c>
      <c r="AE3891">
        <v>10151200</v>
      </c>
      <c r="AF3891" t="s">
        <v>50</v>
      </c>
      <c r="AG3891" t="s">
        <v>7760</v>
      </c>
    </row>
    <row r="3892" spans="1:33" x14ac:dyDescent="0.35">
      <c r="A3892" s="1">
        <v>44636.82916666667</v>
      </c>
      <c r="B3892">
        <v>4749604</v>
      </c>
      <c r="C3892" t="s">
        <v>8062</v>
      </c>
      <c r="D3892" t="s">
        <v>115</v>
      </c>
      <c r="E3892" s="2">
        <v>42898</v>
      </c>
      <c r="F3892" t="str">
        <f>"9783110399882"</f>
        <v>9783110399882</v>
      </c>
      <c r="G3892" t="str">
        <f>"9783110399592"</f>
        <v>9783110399592</v>
      </c>
      <c r="H3892" t="s">
        <v>667</v>
      </c>
      <c r="I3892">
        <v>955.05399999999997</v>
      </c>
      <c r="J3892" t="s">
        <v>8063</v>
      </c>
      <c r="K3892" t="s">
        <v>44</v>
      </c>
      <c r="N3892" t="s">
        <v>45</v>
      </c>
      <c r="O3892" t="s">
        <v>46</v>
      </c>
      <c r="P3892" t="s">
        <v>45</v>
      </c>
      <c r="Q3892" t="s">
        <v>47</v>
      </c>
      <c r="R3892" t="s">
        <v>44</v>
      </c>
      <c r="S3892">
        <v>0</v>
      </c>
      <c r="W3892" s="3">
        <v>3.8495370370370367E-2</v>
      </c>
      <c r="X3892" t="s">
        <v>8064</v>
      </c>
      <c r="Y3892">
        <v>36</v>
      </c>
      <c r="Z3892">
        <v>0</v>
      </c>
      <c r="AA3892" t="s">
        <v>49</v>
      </c>
      <c r="AB3892">
        <v>0</v>
      </c>
      <c r="AC3892" t="s">
        <v>8065</v>
      </c>
      <c r="AD3892">
        <v>7</v>
      </c>
      <c r="AE3892">
        <v>11399358</v>
      </c>
      <c r="AF3892" t="s">
        <v>50</v>
      </c>
      <c r="AG3892" t="s">
        <v>7760</v>
      </c>
    </row>
    <row r="3893" spans="1:33" x14ac:dyDescent="0.35">
      <c r="A3893" s="1">
        <v>44636.762499999997</v>
      </c>
      <c r="B3893">
        <v>6729563</v>
      </c>
      <c r="C3893" t="s">
        <v>7877</v>
      </c>
      <c r="D3893" t="s">
        <v>443</v>
      </c>
      <c r="E3893" s="2">
        <v>44537</v>
      </c>
      <c r="F3893" t="str">
        <f>"9780520381209"</f>
        <v>9780520381209</v>
      </c>
      <c r="G3893" t="str">
        <f>"9780520381216"</f>
        <v>9780520381216</v>
      </c>
      <c r="H3893" t="s">
        <v>1046</v>
      </c>
      <c r="I3893">
        <v>307.1216</v>
      </c>
      <c r="K3893" t="s">
        <v>55</v>
      </c>
      <c r="N3893" t="s">
        <v>79</v>
      </c>
      <c r="P3893" t="s">
        <v>950</v>
      </c>
      <c r="Q3893" t="s">
        <v>47</v>
      </c>
      <c r="R3893" t="s">
        <v>55</v>
      </c>
      <c r="S3893">
        <v>0</v>
      </c>
      <c r="W3893" s="3">
        <v>5.4398148148148144E-4</v>
      </c>
      <c r="X3893" t="s">
        <v>8066</v>
      </c>
      <c r="Y3893">
        <v>5</v>
      </c>
      <c r="Z3893">
        <v>0</v>
      </c>
      <c r="AA3893" t="s">
        <v>49</v>
      </c>
      <c r="AB3893">
        <v>0</v>
      </c>
      <c r="AC3893" t="s">
        <v>49</v>
      </c>
      <c r="AD3893">
        <v>0</v>
      </c>
      <c r="AE3893">
        <v>-1</v>
      </c>
      <c r="AF3893" t="s">
        <v>50</v>
      </c>
      <c r="AG3893" t="s">
        <v>7879</v>
      </c>
    </row>
    <row r="3894" spans="1:33" x14ac:dyDescent="0.35">
      <c r="A3894" s="1">
        <v>44636.755555555559</v>
      </c>
      <c r="B3894">
        <v>3441423</v>
      </c>
      <c r="C3894" t="s">
        <v>8067</v>
      </c>
      <c r="D3894" t="s">
        <v>1068</v>
      </c>
      <c r="E3894" s="2">
        <v>36654</v>
      </c>
      <c r="F3894" t="str">
        <f>"9780812200416"</f>
        <v>9780812200416</v>
      </c>
      <c r="G3894" t="str">
        <f>"9780812217476"</f>
        <v>9780812217476</v>
      </c>
      <c r="H3894" t="s">
        <v>419</v>
      </c>
      <c r="K3894" t="s">
        <v>44</v>
      </c>
      <c r="N3894" t="s">
        <v>45</v>
      </c>
      <c r="O3894" t="s">
        <v>46</v>
      </c>
      <c r="P3894" t="s">
        <v>45</v>
      </c>
      <c r="Q3894" t="s">
        <v>47</v>
      </c>
      <c r="R3894" t="s">
        <v>44</v>
      </c>
      <c r="S3894">
        <v>0</v>
      </c>
      <c r="W3894" s="3">
        <v>1.0648148148148147E-3</v>
      </c>
      <c r="X3894" t="s">
        <v>8068</v>
      </c>
      <c r="Y3894">
        <v>4</v>
      </c>
      <c r="Z3894">
        <v>0</v>
      </c>
      <c r="AA3894" t="s">
        <v>49</v>
      </c>
      <c r="AB3894">
        <v>0</v>
      </c>
      <c r="AC3894" t="s">
        <v>49</v>
      </c>
      <c r="AD3894">
        <v>0</v>
      </c>
      <c r="AE3894">
        <v>10491880</v>
      </c>
      <c r="AF3894" t="s">
        <v>50</v>
      </c>
      <c r="AG3894" t="s">
        <v>7760</v>
      </c>
    </row>
    <row r="3895" spans="1:33" x14ac:dyDescent="0.35">
      <c r="A3895" s="1">
        <v>44636.720833333333</v>
      </c>
      <c r="B3895">
        <v>4305980</v>
      </c>
      <c r="C3895" t="s">
        <v>8053</v>
      </c>
      <c r="D3895" t="s">
        <v>1034</v>
      </c>
      <c r="E3895" s="2">
        <v>42339</v>
      </c>
      <c r="F3895" t="str">
        <f>"9780295806341"</f>
        <v>9780295806341</v>
      </c>
      <c r="G3895" t="str">
        <f>"9780295995311"</f>
        <v>9780295995311</v>
      </c>
      <c r="H3895" t="s">
        <v>1046</v>
      </c>
      <c r="I3895">
        <v>305.42095949999998</v>
      </c>
      <c r="J3895" t="s">
        <v>8054</v>
      </c>
      <c r="K3895" t="s">
        <v>44</v>
      </c>
      <c r="N3895" t="s">
        <v>45</v>
      </c>
      <c r="O3895" t="s">
        <v>46</v>
      </c>
      <c r="P3895" t="s">
        <v>45</v>
      </c>
      <c r="Q3895" t="s">
        <v>47</v>
      </c>
      <c r="R3895" t="s">
        <v>44</v>
      </c>
      <c r="S3895">
        <v>0</v>
      </c>
      <c r="W3895" s="3">
        <v>6.145833333333333E-3</v>
      </c>
      <c r="X3895" t="s">
        <v>8069</v>
      </c>
      <c r="Y3895">
        <v>3</v>
      </c>
      <c r="Z3895">
        <v>0</v>
      </c>
      <c r="AA3895" t="s">
        <v>49</v>
      </c>
      <c r="AB3895">
        <v>0</v>
      </c>
      <c r="AC3895" t="s">
        <v>49</v>
      </c>
      <c r="AD3895">
        <v>0</v>
      </c>
      <c r="AE3895">
        <v>11137345</v>
      </c>
      <c r="AF3895" t="s">
        <v>50</v>
      </c>
      <c r="AG3895" t="s">
        <v>7654</v>
      </c>
    </row>
    <row r="3896" spans="1:33" x14ac:dyDescent="0.35">
      <c r="A3896" s="1">
        <v>44636.693749999999</v>
      </c>
      <c r="B3896">
        <v>6729563</v>
      </c>
      <c r="C3896" t="s">
        <v>7877</v>
      </c>
      <c r="D3896" t="s">
        <v>443</v>
      </c>
      <c r="E3896" s="2">
        <v>44537</v>
      </c>
      <c r="F3896" t="str">
        <f>"9780520381209"</f>
        <v>9780520381209</v>
      </c>
      <c r="G3896" t="str">
        <f>"9780520381216"</f>
        <v>9780520381216</v>
      </c>
      <c r="H3896" t="s">
        <v>1046</v>
      </c>
      <c r="I3896">
        <v>307.1216</v>
      </c>
      <c r="K3896" t="s">
        <v>55</v>
      </c>
      <c r="N3896" t="s">
        <v>79</v>
      </c>
      <c r="P3896" t="s">
        <v>950</v>
      </c>
      <c r="Q3896" t="s">
        <v>47</v>
      </c>
      <c r="R3896" t="s">
        <v>55</v>
      </c>
      <c r="S3896">
        <v>0</v>
      </c>
      <c r="W3896" s="3">
        <v>8.1018518518518516E-5</v>
      </c>
      <c r="X3896" t="s">
        <v>121</v>
      </c>
      <c r="Y3896">
        <v>1</v>
      </c>
      <c r="Z3896">
        <v>0</v>
      </c>
      <c r="AA3896" t="s">
        <v>49</v>
      </c>
      <c r="AB3896">
        <v>0</v>
      </c>
      <c r="AC3896" t="s">
        <v>49</v>
      </c>
      <c r="AD3896">
        <v>0</v>
      </c>
      <c r="AE3896">
        <v>-1</v>
      </c>
      <c r="AF3896" t="s">
        <v>50</v>
      </c>
      <c r="AG3896" t="s">
        <v>7879</v>
      </c>
    </row>
    <row r="3897" spans="1:33" x14ac:dyDescent="0.35">
      <c r="A3897" s="1">
        <v>44636.611111111109</v>
      </c>
      <c r="B3897">
        <v>589914</v>
      </c>
      <c r="C3897" t="s">
        <v>8070</v>
      </c>
      <c r="D3897" t="s">
        <v>769</v>
      </c>
      <c r="E3897" s="2">
        <v>40317</v>
      </c>
      <c r="F3897" t="str">
        <f>"9781420072624"</f>
        <v>9781420072624</v>
      </c>
      <c r="G3897" t="str">
        <f>"9781420072617"</f>
        <v>9781420072617</v>
      </c>
      <c r="H3897" t="s">
        <v>138</v>
      </c>
      <c r="I3897" t="s">
        <v>8071</v>
      </c>
      <c r="J3897" t="s">
        <v>8072</v>
      </c>
      <c r="K3897" t="s">
        <v>44</v>
      </c>
      <c r="N3897" t="s">
        <v>45</v>
      </c>
      <c r="O3897" t="s">
        <v>46</v>
      </c>
      <c r="P3897" t="s">
        <v>45</v>
      </c>
      <c r="Q3897" t="s">
        <v>47</v>
      </c>
      <c r="R3897" t="s">
        <v>44</v>
      </c>
      <c r="S3897">
        <v>0</v>
      </c>
      <c r="W3897" s="3">
        <v>0</v>
      </c>
      <c r="X3897" t="s">
        <v>49</v>
      </c>
      <c r="Y3897">
        <v>0</v>
      </c>
      <c r="Z3897">
        <v>1</v>
      </c>
      <c r="AA3897" t="s">
        <v>8073</v>
      </c>
      <c r="AB3897">
        <v>10</v>
      </c>
      <c r="AC3897" t="s">
        <v>49</v>
      </c>
      <c r="AD3897">
        <v>0</v>
      </c>
      <c r="AE3897">
        <v>10417844</v>
      </c>
      <c r="AF3897" t="s">
        <v>50</v>
      </c>
      <c r="AG3897" t="s">
        <v>8074</v>
      </c>
    </row>
    <row r="3898" spans="1:33" x14ac:dyDescent="0.35">
      <c r="A3898" s="1">
        <v>44636.604166666664</v>
      </c>
      <c r="B3898">
        <v>6825682</v>
      </c>
      <c r="C3898" t="s">
        <v>8075</v>
      </c>
      <c r="D3898" t="s">
        <v>76</v>
      </c>
      <c r="E3898" s="2">
        <v>44531</v>
      </c>
      <c r="F3898" t="str">
        <f>"9781000537369"</f>
        <v>9781000537369</v>
      </c>
      <c r="G3898" t="str">
        <f>"9781032057668"</f>
        <v>9781032057668</v>
      </c>
      <c r="H3898" t="s">
        <v>419</v>
      </c>
      <c r="I3898">
        <v>327.5</v>
      </c>
      <c r="J3898" t="s">
        <v>8076</v>
      </c>
      <c r="K3898" t="s">
        <v>55</v>
      </c>
      <c r="N3898" t="s">
        <v>79</v>
      </c>
      <c r="P3898" t="s">
        <v>80</v>
      </c>
      <c r="Q3898" t="s">
        <v>47</v>
      </c>
      <c r="R3898" t="s">
        <v>44</v>
      </c>
      <c r="S3898">
        <v>0</v>
      </c>
      <c r="W3898" s="3">
        <v>3.8194444444444446E-4</v>
      </c>
      <c r="X3898" t="s">
        <v>8077</v>
      </c>
      <c r="Y3898">
        <v>8</v>
      </c>
      <c r="Z3898">
        <v>1</v>
      </c>
      <c r="AA3898" t="s">
        <v>8078</v>
      </c>
      <c r="AB3898">
        <v>19</v>
      </c>
      <c r="AC3898" t="s">
        <v>49</v>
      </c>
      <c r="AD3898">
        <v>0</v>
      </c>
      <c r="AE3898">
        <v>-1</v>
      </c>
      <c r="AF3898" t="s">
        <v>50</v>
      </c>
      <c r="AG3898" t="s">
        <v>7760</v>
      </c>
    </row>
    <row r="3899" spans="1:33" x14ac:dyDescent="0.35">
      <c r="A3899" s="1">
        <v>44636.580555555556</v>
      </c>
      <c r="B3899">
        <v>3386573</v>
      </c>
      <c r="C3899" t="s">
        <v>8079</v>
      </c>
      <c r="D3899" t="s">
        <v>2066</v>
      </c>
      <c r="E3899" s="2">
        <v>40882</v>
      </c>
      <c r="F3899" t="str">
        <f>"9781849646253"</f>
        <v>9781849646253</v>
      </c>
      <c r="G3899" t="str">
        <f>"9780745332291"</f>
        <v>9780745332291</v>
      </c>
      <c r="H3899" t="s">
        <v>1540</v>
      </c>
      <c r="I3899">
        <v>320.95693999999997</v>
      </c>
      <c r="J3899" t="s">
        <v>8080</v>
      </c>
      <c r="K3899" t="s">
        <v>44</v>
      </c>
      <c r="N3899" t="s">
        <v>45</v>
      </c>
      <c r="O3899" t="s">
        <v>46</v>
      </c>
      <c r="P3899" t="s">
        <v>45</v>
      </c>
      <c r="Q3899" t="s">
        <v>47</v>
      </c>
      <c r="R3899" t="s">
        <v>44</v>
      </c>
      <c r="S3899">
        <v>0</v>
      </c>
      <c r="W3899" s="3">
        <v>1.1342592592592591E-3</v>
      </c>
      <c r="X3899" t="s">
        <v>7858</v>
      </c>
      <c r="Y3899">
        <v>4</v>
      </c>
      <c r="Z3899">
        <v>0</v>
      </c>
      <c r="AA3899" t="s">
        <v>49</v>
      </c>
      <c r="AB3899">
        <v>0</v>
      </c>
      <c r="AC3899" t="s">
        <v>49</v>
      </c>
      <c r="AD3899">
        <v>0</v>
      </c>
      <c r="AE3899">
        <v>10520617</v>
      </c>
      <c r="AF3899" t="s">
        <v>50</v>
      </c>
      <c r="AG3899" t="s">
        <v>7733</v>
      </c>
    </row>
    <row r="3900" spans="1:33" x14ac:dyDescent="0.35">
      <c r="A3900" s="1">
        <v>44636.580555555556</v>
      </c>
      <c r="B3900">
        <v>614783</v>
      </c>
      <c r="C3900" t="s">
        <v>8007</v>
      </c>
      <c r="D3900" t="s">
        <v>76</v>
      </c>
      <c r="E3900" s="2">
        <v>40533</v>
      </c>
      <c r="F3900" t="str">
        <f>"9780203839256"</f>
        <v>9780203839256</v>
      </c>
      <c r="G3900" t="str">
        <f>"9780415580465"</f>
        <v>9780415580465</v>
      </c>
      <c r="H3900" t="s">
        <v>1046</v>
      </c>
      <c r="I3900" t="s">
        <v>8008</v>
      </c>
      <c r="J3900" t="s">
        <v>8009</v>
      </c>
      <c r="K3900" t="s">
        <v>44</v>
      </c>
      <c r="N3900" t="s">
        <v>45</v>
      </c>
      <c r="O3900" t="s">
        <v>46</v>
      </c>
      <c r="P3900" t="s">
        <v>45</v>
      </c>
      <c r="Q3900" t="s">
        <v>47</v>
      </c>
      <c r="R3900" t="s">
        <v>44</v>
      </c>
      <c r="S3900">
        <v>0</v>
      </c>
      <c r="W3900" s="3">
        <v>1.4120370370370369E-3</v>
      </c>
      <c r="X3900" t="s">
        <v>8081</v>
      </c>
      <c r="Y3900">
        <v>4</v>
      </c>
      <c r="Z3900">
        <v>0</v>
      </c>
      <c r="AA3900" t="s">
        <v>49</v>
      </c>
      <c r="AB3900">
        <v>0</v>
      </c>
      <c r="AC3900" t="s">
        <v>49</v>
      </c>
      <c r="AD3900">
        <v>0</v>
      </c>
      <c r="AE3900">
        <v>10446849</v>
      </c>
      <c r="AF3900" t="s">
        <v>50</v>
      </c>
      <c r="AG3900" t="s">
        <v>7733</v>
      </c>
    </row>
    <row r="3901" spans="1:33" x14ac:dyDescent="0.35">
      <c r="A3901" s="1">
        <v>44636.439583333333</v>
      </c>
      <c r="B3901">
        <v>6729563</v>
      </c>
      <c r="C3901" t="s">
        <v>7877</v>
      </c>
      <c r="D3901" t="s">
        <v>443</v>
      </c>
      <c r="E3901" s="2">
        <v>44537</v>
      </c>
      <c r="F3901" t="str">
        <f>"9780520381209"</f>
        <v>9780520381209</v>
      </c>
      <c r="G3901" t="str">
        <f>"9780520381216"</f>
        <v>9780520381216</v>
      </c>
      <c r="H3901" t="s">
        <v>1046</v>
      </c>
      <c r="I3901">
        <v>307.1216</v>
      </c>
      <c r="K3901" t="s">
        <v>55</v>
      </c>
      <c r="N3901" t="s">
        <v>79</v>
      </c>
      <c r="P3901" t="s">
        <v>950</v>
      </c>
      <c r="Q3901" t="s">
        <v>47</v>
      </c>
      <c r="R3901" t="s">
        <v>55</v>
      </c>
      <c r="S3901">
        <v>0</v>
      </c>
      <c r="W3901" s="3">
        <v>1.6909722222222225E-2</v>
      </c>
      <c r="X3901" t="s">
        <v>8082</v>
      </c>
      <c r="Y3901">
        <v>8</v>
      </c>
      <c r="Z3901">
        <v>0</v>
      </c>
      <c r="AA3901" t="s">
        <v>49</v>
      </c>
      <c r="AB3901">
        <v>0</v>
      </c>
      <c r="AC3901" t="s">
        <v>5265</v>
      </c>
      <c r="AD3901">
        <v>1</v>
      </c>
      <c r="AE3901">
        <v>-1</v>
      </c>
      <c r="AF3901" t="s">
        <v>50</v>
      </c>
      <c r="AG3901" t="s">
        <v>7879</v>
      </c>
    </row>
    <row r="3902" spans="1:33" x14ac:dyDescent="0.35">
      <c r="A3902" s="1">
        <v>44636.424305555556</v>
      </c>
      <c r="B3902">
        <v>3378677</v>
      </c>
      <c r="C3902" t="s">
        <v>8083</v>
      </c>
      <c r="D3902" t="s">
        <v>175</v>
      </c>
      <c r="E3902" s="2">
        <v>40472</v>
      </c>
      <c r="F3902" t="str">
        <f>"9780309157384"</f>
        <v>9780309157384</v>
      </c>
      <c r="G3902" t="str">
        <f>"9780309157377"</f>
        <v>9780309157377</v>
      </c>
      <c r="H3902" t="s">
        <v>8084</v>
      </c>
      <c r="K3902" t="s">
        <v>44</v>
      </c>
      <c r="N3902" t="s">
        <v>45</v>
      </c>
      <c r="O3902" t="s">
        <v>46</v>
      </c>
      <c r="P3902" t="s">
        <v>177</v>
      </c>
      <c r="Q3902" t="s">
        <v>47</v>
      </c>
      <c r="R3902" t="s">
        <v>55</v>
      </c>
      <c r="S3902">
        <v>0</v>
      </c>
      <c r="W3902" s="3">
        <v>3.9351851851851852E-4</v>
      </c>
      <c r="X3902" t="s">
        <v>8085</v>
      </c>
      <c r="Y3902">
        <v>7</v>
      </c>
      <c r="Z3902">
        <v>0</v>
      </c>
      <c r="AA3902" t="s">
        <v>49</v>
      </c>
      <c r="AB3902">
        <v>0</v>
      </c>
      <c r="AC3902" t="s">
        <v>49</v>
      </c>
      <c r="AD3902">
        <v>0</v>
      </c>
      <c r="AE3902">
        <v>10425167</v>
      </c>
      <c r="AF3902" t="s">
        <v>50</v>
      </c>
      <c r="AG3902" t="s">
        <v>7642</v>
      </c>
    </row>
    <row r="3903" spans="1:33" x14ac:dyDescent="0.35">
      <c r="A3903" s="1">
        <v>44635.888888888891</v>
      </c>
      <c r="B3903">
        <v>1681450</v>
      </c>
      <c r="C3903" t="s">
        <v>8000</v>
      </c>
      <c r="D3903" t="s">
        <v>71</v>
      </c>
      <c r="E3903" s="2">
        <v>39352</v>
      </c>
      <c r="F3903" t="str">
        <f>"9781860948398"</f>
        <v>9781860948398</v>
      </c>
      <c r="G3903" t="str">
        <f>"9781860948213"</f>
        <v>9781860948213</v>
      </c>
      <c r="H3903" t="s">
        <v>585</v>
      </c>
      <c r="I3903">
        <v>530</v>
      </c>
      <c r="J3903" t="s">
        <v>8001</v>
      </c>
      <c r="K3903" t="s">
        <v>44</v>
      </c>
      <c r="N3903" t="s">
        <v>45</v>
      </c>
      <c r="O3903" t="s">
        <v>46</v>
      </c>
      <c r="P3903" t="s">
        <v>45</v>
      </c>
      <c r="Q3903" t="s">
        <v>47</v>
      </c>
      <c r="R3903" t="s">
        <v>44</v>
      </c>
      <c r="S3903">
        <v>0</v>
      </c>
      <c r="W3903" s="3">
        <v>1.3171296296296294E-2</v>
      </c>
      <c r="X3903" t="s">
        <v>8086</v>
      </c>
      <c r="Y3903">
        <v>17</v>
      </c>
      <c r="Z3903">
        <v>0</v>
      </c>
      <c r="AA3903" t="s">
        <v>49</v>
      </c>
      <c r="AB3903">
        <v>0</v>
      </c>
      <c r="AC3903" t="s">
        <v>8087</v>
      </c>
      <c r="AD3903">
        <v>2</v>
      </c>
      <c r="AE3903">
        <v>10255612</v>
      </c>
      <c r="AF3903" t="s">
        <v>50</v>
      </c>
      <c r="AG3903" t="s">
        <v>7760</v>
      </c>
    </row>
    <row r="3904" spans="1:33" x14ac:dyDescent="0.35">
      <c r="A3904" s="1">
        <v>44635.881944444445</v>
      </c>
      <c r="B3904">
        <v>1713358</v>
      </c>
      <c r="C3904" t="s">
        <v>8088</v>
      </c>
      <c r="D3904" t="s">
        <v>76</v>
      </c>
      <c r="E3904" s="2">
        <v>37529</v>
      </c>
      <c r="F3904" t="str">
        <f>"9781317873983"</f>
        <v>9781317873983</v>
      </c>
      <c r="G3904" t="str">
        <f>"9780582438248"</f>
        <v>9780582438248</v>
      </c>
      <c r="H3904" t="s">
        <v>419</v>
      </c>
      <c r="I3904">
        <v>323</v>
      </c>
      <c r="J3904" t="s">
        <v>8089</v>
      </c>
      <c r="K3904" t="s">
        <v>44</v>
      </c>
      <c r="N3904" t="s">
        <v>45</v>
      </c>
      <c r="O3904" t="s">
        <v>46</v>
      </c>
      <c r="P3904" t="s">
        <v>45</v>
      </c>
      <c r="Q3904" t="s">
        <v>47</v>
      </c>
      <c r="R3904" t="s">
        <v>44</v>
      </c>
      <c r="S3904">
        <v>0</v>
      </c>
      <c r="W3904" s="3">
        <v>6.1574074074074074E-3</v>
      </c>
      <c r="X3904" t="s">
        <v>8090</v>
      </c>
      <c r="Y3904">
        <v>9</v>
      </c>
      <c r="Z3904">
        <v>0</v>
      </c>
      <c r="AA3904" t="s">
        <v>49</v>
      </c>
      <c r="AB3904">
        <v>0</v>
      </c>
      <c r="AC3904" t="s">
        <v>49</v>
      </c>
      <c r="AD3904">
        <v>0</v>
      </c>
      <c r="AE3904">
        <v>10885818</v>
      </c>
      <c r="AF3904" t="s">
        <v>50</v>
      </c>
      <c r="AG3904" t="s">
        <v>7760</v>
      </c>
    </row>
    <row r="3905" spans="1:33" x14ac:dyDescent="0.35">
      <c r="A3905" s="1">
        <v>44635.880555555559</v>
      </c>
      <c r="B3905">
        <v>415420</v>
      </c>
      <c r="C3905" t="s">
        <v>8091</v>
      </c>
      <c r="D3905" t="s">
        <v>125</v>
      </c>
      <c r="E3905" s="2">
        <v>39261</v>
      </c>
      <c r="F3905" t="str">
        <f>"9780191548277"</f>
        <v>9780191548277</v>
      </c>
      <c r="G3905" t="str">
        <f>"9780199205523"</f>
        <v>9780199205523</v>
      </c>
      <c r="H3905" t="s">
        <v>4420</v>
      </c>
      <c r="I3905">
        <v>341.48</v>
      </c>
      <c r="J3905" t="s">
        <v>8092</v>
      </c>
      <c r="K3905" t="s">
        <v>44</v>
      </c>
      <c r="N3905" t="s">
        <v>45</v>
      </c>
      <c r="O3905" t="s">
        <v>46</v>
      </c>
      <c r="P3905" t="s">
        <v>45</v>
      </c>
      <c r="Q3905" t="s">
        <v>47</v>
      </c>
      <c r="R3905" t="s">
        <v>44</v>
      </c>
      <c r="S3905">
        <v>0</v>
      </c>
      <c r="W3905" s="3">
        <v>5.6712962962962956E-4</v>
      </c>
      <c r="X3905" t="s">
        <v>5473</v>
      </c>
      <c r="Y3905">
        <v>2</v>
      </c>
      <c r="Z3905">
        <v>0</v>
      </c>
      <c r="AA3905" t="s">
        <v>49</v>
      </c>
      <c r="AB3905">
        <v>0</v>
      </c>
      <c r="AC3905" t="s">
        <v>1542</v>
      </c>
      <c r="AD3905">
        <v>1</v>
      </c>
      <c r="AE3905">
        <v>10212132</v>
      </c>
      <c r="AF3905" t="s">
        <v>50</v>
      </c>
      <c r="AG3905" t="s">
        <v>7760</v>
      </c>
    </row>
    <row r="3906" spans="1:33" x14ac:dyDescent="0.35">
      <c r="A3906" s="1">
        <v>44635.877083333333</v>
      </c>
      <c r="B3906">
        <v>415577</v>
      </c>
      <c r="C3906" t="s">
        <v>7981</v>
      </c>
      <c r="D3906" t="s">
        <v>125</v>
      </c>
      <c r="E3906" s="2">
        <v>39783</v>
      </c>
      <c r="F3906" t="str">
        <f>"9780191539244"</f>
        <v>9780191539244</v>
      </c>
      <c r="G3906" t="str">
        <f>"9780192803016"</f>
        <v>9780192803016</v>
      </c>
      <c r="H3906" t="s">
        <v>667</v>
      </c>
      <c r="I3906">
        <v>968.06092000000001</v>
      </c>
      <c r="J3906" t="s">
        <v>7982</v>
      </c>
      <c r="K3906" t="s">
        <v>44</v>
      </c>
      <c r="N3906" t="s">
        <v>45</v>
      </c>
      <c r="O3906" t="s">
        <v>46</v>
      </c>
      <c r="P3906" t="s">
        <v>45</v>
      </c>
      <c r="Q3906" t="s">
        <v>47</v>
      </c>
      <c r="R3906" t="s">
        <v>44</v>
      </c>
      <c r="S3906">
        <v>0</v>
      </c>
      <c r="W3906" s="3">
        <v>1.0879629629629629E-3</v>
      </c>
      <c r="X3906" t="s">
        <v>8093</v>
      </c>
      <c r="Y3906">
        <v>11</v>
      </c>
      <c r="Z3906">
        <v>0</v>
      </c>
      <c r="AA3906" t="s">
        <v>49</v>
      </c>
      <c r="AB3906">
        <v>0</v>
      </c>
      <c r="AC3906" t="s">
        <v>49</v>
      </c>
      <c r="AD3906">
        <v>0</v>
      </c>
      <c r="AE3906">
        <v>10254382</v>
      </c>
      <c r="AF3906" t="s">
        <v>50</v>
      </c>
      <c r="AG3906" t="s">
        <v>7760</v>
      </c>
    </row>
    <row r="3907" spans="1:33" x14ac:dyDescent="0.35">
      <c r="A3907" s="1">
        <v>44635.79583333333</v>
      </c>
      <c r="B3907">
        <v>777149</v>
      </c>
      <c r="C3907" t="s">
        <v>753</v>
      </c>
      <c r="D3907" t="s">
        <v>76</v>
      </c>
      <c r="E3907" s="2">
        <v>40827</v>
      </c>
      <c r="F3907" t="str">
        <f>"9781439861882"</f>
        <v>9781439861882</v>
      </c>
      <c r="G3907" t="str">
        <f>"9781439861875"</f>
        <v>9781439861875</v>
      </c>
      <c r="H3907" t="s">
        <v>120</v>
      </c>
      <c r="I3907" t="s">
        <v>754</v>
      </c>
      <c r="J3907" t="s">
        <v>755</v>
      </c>
      <c r="K3907" t="s">
        <v>44</v>
      </c>
      <c r="N3907" t="s">
        <v>45</v>
      </c>
      <c r="O3907" t="s">
        <v>46</v>
      </c>
      <c r="P3907" t="s">
        <v>45</v>
      </c>
      <c r="Q3907" t="s">
        <v>47</v>
      </c>
      <c r="R3907" t="s">
        <v>44</v>
      </c>
      <c r="S3907">
        <v>0</v>
      </c>
      <c r="W3907" s="3">
        <v>8.9583333333333338E-3</v>
      </c>
      <c r="X3907" t="s">
        <v>8094</v>
      </c>
      <c r="Y3907">
        <v>10</v>
      </c>
      <c r="Z3907">
        <v>0</v>
      </c>
      <c r="AA3907" t="s">
        <v>49</v>
      </c>
      <c r="AB3907">
        <v>0</v>
      </c>
      <c r="AC3907" t="s">
        <v>49</v>
      </c>
      <c r="AD3907">
        <v>0</v>
      </c>
      <c r="AE3907">
        <v>10500005</v>
      </c>
      <c r="AF3907" t="s">
        <v>50</v>
      </c>
      <c r="AG3907" t="s">
        <v>7760</v>
      </c>
    </row>
    <row r="3908" spans="1:33" x14ac:dyDescent="0.35">
      <c r="A3908" s="1">
        <v>44635.732638888891</v>
      </c>
      <c r="B3908">
        <v>4528952</v>
      </c>
      <c r="C3908" t="s">
        <v>8095</v>
      </c>
      <c r="D3908" t="s">
        <v>633</v>
      </c>
      <c r="E3908" s="2">
        <v>42488</v>
      </c>
      <c r="F3908" t="str">
        <f>"9781614996217"</f>
        <v>9781614996217</v>
      </c>
      <c r="G3908" t="str">
        <f>"9781614996200"</f>
        <v>9781614996200</v>
      </c>
      <c r="H3908" t="s">
        <v>138</v>
      </c>
      <c r="K3908" t="s">
        <v>44</v>
      </c>
      <c r="N3908" t="s">
        <v>45</v>
      </c>
      <c r="O3908" t="s">
        <v>46</v>
      </c>
      <c r="P3908" t="s">
        <v>177</v>
      </c>
      <c r="Q3908" t="s">
        <v>47</v>
      </c>
      <c r="R3908" t="s">
        <v>55</v>
      </c>
      <c r="S3908">
        <v>0</v>
      </c>
      <c r="W3908" s="3">
        <v>8.1018518518518516E-5</v>
      </c>
      <c r="X3908" t="s">
        <v>121</v>
      </c>
      <c r="Y3908">
        <v>1</v>
      </c>
      <c r="Z3908">
        <v>0</v>
      </c>
      <c r="AA3908" t="s">
        <v>49</v>
      </c>
      <c r="AB3908">
        <v>0</v>
      </c>
      <c r="AC3908" t="s">
        <v>49</v>
      </c>
      <c r="AD3908">
        <v>0</v>
      </c>
      <c r="AE3908">
        <v>11212745</v>
      </c>
      <c r="AF3908" t="s">
        <v>50</v>
      </c>
      <c r="AG3908" t="s">
        <v>7760</v>
      </c>
    </row>
    <row r="3909" spans="1:33" x14ac:dyDescent="0.35">
      <c r="A3909" s="1">
        <v>44635.669444444444</v>
      </c>
      <c r="B3909">
        <v>3008289</v>
      </c>
      <c r="C3909" t="s">
        <v>8096</v>
      </c>
      <c r="D3909" t="s">
        <v>473</v>
      </c>
      <c r="E3909" s="2">
        <v>40544</v>
      </c>
      <c r="F3909" t="str">
        <f>"9789401206846"</f>
        <v>9789401206846</v>
      </c>
      <c r="G3909" t="str">
        <f>"9789042033979"</f>
        <v>9789042033979</v>
      </c>
      <c r="H3909" t="s">
        <v>1069</v>
      </c>
      <c r="I3909">
        <v>809.93359999999996</v>
      </c>
      <c r="J3909" t="s">
        <v>8097</v>
      </c>
      <c r="K3909" t="s">
        <v>44</v>
      </c>
      <c r="N3909" t="s">
        <v>45</v>
      </c>
      <c r="O3909" t="s">
        <v>46</v>
      </c>
      <c r="P3909" t="s">
        <v>45</v>
      </c>
      <c r="Q3909" t="s">
        <v>47</v>
      </c>
      <c r="R3909" t="s">
        <v>44</v>
      </c>
      <c r="S3909">
        <v>0</v>
      </c>
      <c r="W3909" s="3">
        <v>1.9675925925925926E-4</v>
      </c>
      <c r="X3909" t="s">
        <v>8098</v>
      </c>
      <c r="Y3909">
        <v>2</v>
      </c>
      <c r="Z3909">
        <v>0</v>
      </c>
      <c r="AA3909" t="s">
        <v>49</v>
      </c>
      <c r="AB3909">
        <v>0</v>
      </c>
      <c r="AC3909" t="s">
        <v>49</v>
      </c>
      <c r="AD3909">
        <v>0</v>
      </c>
      <c r="AE3909">
        <v>10512344</v>
      </c>
      <c r="AF3909" t="s">
        <v>50</v>
      </c>
      <c r="AG3909" t="s">
        <v>1451</v>
      </c>
    </row>
    <row r="3910" spans="1:33" x14ac:dyDescent="0.35">
      <c r="A3910" s="1">
        <v>44635.556944444441</v>
      </c>
      <c r="B3910">
        <v>345467</v>
      </c>
      <c r="C3910" t="s">
        <v>7787</v>
      </c>
      <c r="D3910" t="s">
        <v>2754</v>
      </c>
      <c r="E3910" s="2">
        <v>28491</v>
      </c>
      <c r="F3910" t="str">
        <f>"9780816663668"</f>
        <v>9780816663668</v>
      </c>
      <c r="G3910" t="str">
        <f>"9780816608317"</f>
        <v>9780816608317</v>
      </c>
      <c r="H3910" t="s">
        <v>7788</v>
      </c>
      <c r="I3910" t="s">
        <v>7789</v>
      </c>
      <c r="J3910" t="s">
        <v>7790</v>
      </c>
      <c r="K3910" t="s">
        <v>44</v>
      </c>
      <c r="N3910" t="s">
        <v>45</v>
      </c>
      <c r="O3910" t="s">
        <v>46</v>
      </c>
      <c r="P3910" t="s">
        <v>45</v>
      </c>
      <c r="Q3910" t="s">
        <v>47</v>
      </c>
      <c r="R3910" t="s">
        <v>44</v>
      </c>
      <c r="S3910">
        <v>0</v>
      </c>
      <c r="W3910" s="3">
        <v>6.9444444444444444E-5</v>
      </c>
      <c r="X3910" t="s">
        <v>121</v>
      </c>
      <c r="Y3910">
        <v>1</v>
      </c>
      <c r="Z3910">
        <v>0</v>
      </c>
      <c r="AA3910" t="s">
        <v>49</v>
      </c>
      <c r="AB3910">
        <v>0</v>
      </c>
      <c r="AC3910" t="s">
        <v>49</v>
      </c>
      <c r="AD3910">
        <v>0</v>
      </c>
      <c r="AE3910">
        <v>10231166</v>
      </c>
      <c r="AF3910" t="s">
        <v>50</v>
      </c>
      <c r="AG3910" t="s">
        <v>7642</v>
      </c>
    </row>
    <row r="3911" spans="1:33" x14ac:dyDescent="0.35">
      <c r="A3911" s="1">
        <v>44635.475694444445</v>
      </c>
      <c r="B3911">
        <v>1057557</v>
      </c>
      <c r="C3911" t="s">
        <v>7797</v>
      </c>
      <c r="D3911" t="s">
        <v>502</v>
      </c>
      <c r="E3911" s="2">
        <v>41211</v>
      </c>
      <c r="F3911" t="str">
        <f>"9781139845380"</f>
        <v>9781139845380</v>
      </c>
      <c r="G3911" t="str">
        <f>"9781107031852"</f>
        <v>9781107031852</v>
      </c>
      <c r="H3911" t="s">
        <v>7798</v>
      </c>
      <c r="I3911" t="s">
        <v>7799</v>
      </c>
      <c r="J3911" t="s">
        <v>7800</v>
      </c>
      <c r="K3911" t="s">
        <v>44</v>
      </c>
      <c r="N3911" t="s">
        <v>45</v>
      </c>
      <c r="O3911" t="s">
        <v>46</v>
      </c>
      <c r="P3911" t="s">
        <v>45</v>
      </c>
      <c r="Q3911" t="s">
        <v>47</v>
      </c>
      <c r="R3911" t="s">
        <v>44</v>
      </c>
      <c r="S3911">
        <v>0</v>
      </c>
      <c r="W3911" s="3">
        <v>1.8518518518518518E-4</v>
      </c>
      <c r="X3911" t="s">
        <v>56</v>
      </c>
      <c r="Y3911">
        <v>3</v>
      </c>
      <c r="Z3911">
        <v>0</v>
      </c>
      <c r="AA3911" t="s">
        <v>49</v>
      </c>
      <c r="AB3911">
        <v>0</v>
      </c>
      <c r="AC3911" t="s">
        <v>49</v>
      </c>
      <c r="AD3911">
        <v>0</v>
      </c>
      <c r="AE3911">
        <v>10628050</v>
      </c>
      <c r="AF3911" t="s">
        <v>50</v>
      </c>
      <c r="AG3911" t="s">
        <v>7642</v>
      </c>
    </row>
    <row r="3912" spans="1:33" x14ac:dyDescent="0.35">
      <c r="A3912" s="1">
        <v>44635.455555555556</v>
      </c>
      <c r="B3912">
        <v>345467</v>
      </c>
      <c r="C3912" t="s">
        <v>7787</v>
      </c>
      <c r="D3912" t="s">
        <v>2754</v>
      </c>
      <c r="E3912" s="2">
        <v>28491</v>
      </c>
      <c r="F3912" t="str">
        <f>"9780816663668"</f>
        <v>9780816663668</v>
      </c>
      <c r="G3912" t="str">
        <f>"9780816608317"</f>
        <v>9780816608317</v>
      </c>
      <c r="H3912" t="s">
        <v>7788</v>
      </c>
      <c r="I3912" t="s">
        <v>7789</v>
      </c>
      <c r="J3912" t="s">
        <v>7790</v>
      </c>
      <c r="K3912" t="s">
        <v>44</v>
      </c>
      <c r="N3912" t="s">
        <v>45</v>
      </c>
      <c r="O3912" t="s">
        <v>46</v>
      </c>
      <c r="P3912" t="s">
        <v>45</v>
      </c>
      <c r="Q3912" t="s">
        <v>47</v>
      </c>
      <c r="R3912" t="s">
        <v>44</v>
      </c>
      <c r="S3912">
        <v>0</v>
      </c>
      <c r="W3912" s="3">
        <v>4.6296296296296294E-5</v>
      </c>
      <c r="X3912" t="s">
        <v>121</v>
      </c>
      <c r="Y3912">
        <v>1</v>
      </c>
      <c r="Z3912">
        <v>0</v>
      </c>
      <c r="AA3912" t="s">
        <v>49</v>
      </c>
      <c r="AB3912">
        <v>0</v>
      </c>
      <c r="AC3912" t="s">
        <v>49</v>
      </c>
      <c r="AD3912">
        <v>0</v>
      </c>
      <c r="AE3912">
        <v>10231166</v>
      </c>
      <c r="AF3912" t="s">
        <v>50</v>
      </c>
      <c r="AG3912" t="s">
        <v>7642</v>
      </c>
    </row>
    <row r="3913" spans="1:33" x14ac:dyDescent="0.35">
      <c r="A3913" s="1">
        <v>44635.453472222223</v>
      </c>
      <c r="B3913">
        <v>280599</v>
      </c>
      <c r="C3913" t="s">
        <v>7785</v>
      </c>
      <c r="D3913" t="s">
        <v>473</v>
      </c>
      <c r="E3913" s="2">
        <v>38265</v>
      </c>
      <c r="F3913" t="str">
        <f>"9781433705762"</f>
        <v>9781433705762</v>
      </c>
      <c r="G3913" t="str">
        <f>"9789004142336"</f>
        <v>9789004142336</v>
      </c>
      <c r="H3913" t="s">
        <v>712</v>
      </c>
      <c r="K3913" t="s">
        <v>44</v>
      </c>
      <c r="N3913" t="s">
        <v>45</v>
      </c>
      <c r="O3913" t="s">
        <v>46</v>
      </c>
      <c r="P3913" t="s">
        <v>45</v>
      </c>
      <c r="Q3913" t="s">
        <v>47</v>
      </c>
      <c r="R3913" t="s">
        <v>44</v>
      </c>
      <c r="S3913">
        <v>0</v>
      </c>
      <c r="W3913" s="3">
        <v>4.6296296296296294E-5</v>
      </c>
      <c r="X3913" t="s">
        <v>121</v>
      </c>
      <c r="Y3913">
        <v>1</v>
      </c>
      <c r="Z3913">
        <v>0</v>
      </c>
      <c r="AA3913" t="s">
        <v>49</v>
      </c>
      <c r="AB3913">
        <v>0</v>
      </c>
      <c r="AC3913" t="s">
        <v>49</v>
      </c>
      <c r="AD3913">
        <v>0</v>
      </c>
      <c r="AE3913">
        <v>10171750</v>
      </c>
      <c r="AF3913" t="s">
        <v>50</v>
      </c>
      <c r="AG3913" t="s">
        <v>7642</v>
      </c>
    </row>
    <row r="3914" spans="1:33" x14ac:dyDescent="0.35">
      <c r="A3914" s="1">
        <v>44635.359027777777</v>
      </c>
      <c r="B3914">
        <v>6403507</v>
      </c>
      <c r="C3914" t="s">
        <v>8099</v>
      </c>
      <c r="D3914" t="s">
        <v>59</v>
      </c>
      <c r="E3914" s="2">
        <v>44209</v>
      </c>
      <c r="F3914" t="str">
        <f>"9781119641032"</f>
        <v>9781119641032</v>
      </c>
      <c r="G3914" t="str">
        <f>"9781119640431"</f>
        <v>9781119640431</v>
      </c>
      <c r="H3914" t="s">
        <v>214</v>
      </c>
      <c r="I3914">
        <v>547.04999999999995</v>
      </c>
      <c r="J3914" t="s">
        <v>8100</v>
      </c>
      <c r="K3914" t="s">
        <v>55</v>
      </c>
      <c r="N3914" t="s">
        <v>293</v>
      </c>
      <c r="P3914" t="s">
        <v>80</v>
      </c>
      <c r="Q3914" t="s">
        <v>47</v>
      </c>
      <c r="R3914" t="s">
        <v>44</v>
      </c>
      <c r="S3914">
        <v>1</v>
      </c>
      <c r="T3914">
        <v>90</v>
      </c>
      <c r="U3914" s="1">
        <v>44635.359027777777</v>
      </c>
      <c r="V3914" s="1">
        <v>44725.359027777777</v>
      </c>
      <c r="W3914" s="3">
        <v>0</v>
      </c>
      <c r="X3914" t="s">
        <v>49</v>
      </c>
      <c r="Y3914">
        <v>0</v>
      </c>
      <c r="Z3914">
        <v>0</v>
      </c>
      <c r="AA3914" t="s">
        <v>49</v>
      </c>
      <c r="AB3914">
        <v>0</v>
      </c>
      <c r="AC3914" t="s">
        <v>49</v>
      </c>
      <c r="AD3914">
        <v>0</v>
      </c>
      <c r="AE3914">
        <v>-1</v>
      </c>
      <c r="AF3914" t="s">
        <v>63</v>
      </c>
      <c r="AG3914" t="s">
        <v>7760</v>
      </c>
    </row>
    <row r="3915" spans="1:33" x14ac:dyDescent="0.35">
      <c r="A3915" s="1">
        <v>44635.027777777781</v>
      </c>
      <c r="B3915">
        <v>1113021</v>
      </c>
      <c r="C3915" t="s">
        <v>8049</v>
      </c>
      <c r="D3915" t="s">
        <v>502</v>
      </c>
      <c r="E3915" s="2">
        <v>41333</v>
      </c>
      <c r="F3915" t="str">
        <f>"9781107306066"</f>
        <v>9781107306066</v>
      </c>
      <c r="G3915" t="str">
        <f>"9780521195317"</f>
        <v>9780521195317</v>
      </c>
      <c r="H3915" t="s">
        <v>2062</v>
      </c>
      <c r="I3915" t="s">
        <v>8050</v>
      </c>
      <c r="J3915" t="s">
        <v>8051</v>
      </c>
      <c r="K3915" t="s">
        <v>44</v>
      </c>
      <c r="N3915" t="s">
        <v>45</v>
      </c>
      <c r="O3915" t="s">
        <v>46</v>
      </c>
      <c r="P3915" t="s">
        <v>45</v>
      </c>
      <c r="Q3915" t="s">
        <v>47</v>
      </c>
      <c r="R3915" t="s">
        <v>44</v>
      </c>
      <c r="S3915">
        <v>0</v>
      </c>
      <c r="W3915" s="3">
        <v>2.3182870370370371E-2</v>
      </c>
      <c r="X3915" t="s">
        <v>8101</v>
      </c>
      <c r="Y3915">
        <v>20</v>
      </c>
      <c r="Z3915">
        <v>0</v>
      </c>
      <c r="AA3915" t="s">
        <v>49</v>
      </c>
      <c r="AB3915">
        <v>0</v>
      </c>
      <c r="AC3915" t="s">
        <v>8102</v>
      </c>
      <c r="AD3915">
        <v>1</v>
      </c>
      <c r="AE3915">
        <v>10667766</v>
      </c>
      <c r="AF3915" t="s">
        <v>50</v>
      </c>
      <c r="AG3915" t="s">
        <v>1451</v>
      </c>
    </row>
    <row r="3916" spans="1:33" x14ac:dyDescent="0.35">
      <c r="A3916" s="1">
        <v>44634.989583333336</v>
      </c>
      <c r="B3916">
        <v>3008289</v>
      </c>
      <c r="C3916" t="s">
        <v>8096</v>
      </c>
      <c r="D3916" t="s">
        <v>473</v>
      </c>
      <c r="E3916" s="2">
        <v>40544</v>
      </c>
      <c r="F3916" t="str">
        <f>"9789401206846"</f>
        <v>9789401206846</v>
      </c>
      <c r="G3916" t="str">
        <f>"9789042033979"</f>
        <v>9789042033979</v>
      </c>
      <c r="H3916" t="s">
        <v>1069</v>
      </c>
      <c r="I3916">
        <v>809.93359999999996</v>
      </c>
      <c r="J3916" t="s">
        <v>8097</v>
      </c>
      <c r="K3916" t="s">
        <v>44</v>
      </c>
      <c r="N3916" t="s">
        <v>45</v>
      </c>
      <c r="O3916" t="s">
        <v>46</v>
      </c>
      <c r="P3916" t="s">
        <v>45</v>
      </c>
      <c r="Q3916" t="s">
        <v>47</v>
      </c>
      <c r="R3916" t="s">
        <v>44</v>
      </c>
      <c r="S3916">
        <v>0</v>
      </c>
      <c r="W3916" s="3">
        <v>1.5104166666666667E-2</v>
      </c>
      <c r="X3916" t="s">
        <v>8103</v>
      </c>
      <c r="Y3916">
        <v>17</v>
      </c>
      <c r="Z3916">
        <v>0</v>
      </c>
      <c r="AA3916" t="s">
        <v>49</v>
      </c>
      <c r="AB3916">
        <v>0</v>
      </c>
      <c r="AC3916" t="s">
        <v>49</v>
      </c>
      <c r="AD3916">
        <v>0</v>
      </c>
      <c r="AE3916">
        <v>10512344</v>
      </c>
      <c r="AF3916" t="s">
        <v>50</v>
      </c>
      <c r="AG3916" t="s">
        <v>1451</v>
      </c>
    </row>
    <row r="3917" spans="1:33" x14ac:dyDescent="0.35">
      <c r="A3917" s="1">
        <v>44634.680555555555</v>
      </c>
      <c r="B3917">
        <v>6460379</v>
      </c>
      <c r="C3917" t="s">
        <v>212</v>
      </c>
      <c r="D3917" t="s">
        <v>213</v>
      </c>
      <c r="E3917" s="2">
        <v>44218</v>
      </c>
      <c r="F3917" t="str">
        <f>"9780128232620"</f>
        <v>9780128232620</v>
      </c>
      <c r="G3917" t="str">
        <f>"9780128220993"</f>
        <v>9780128220993</v>
      </c>
      <c r="H3917" t="s">
        <v>214</v>
      </c>
      <c r="I3917">
        <v>547.04999999999995</v>
      </c>
      <c r="J3917" t="s">
        <v>215</v>
      </c>
      <c r="K3917" t="s">
        <v>55</v>
      </c>
      <c r="Q3917" t="s">
        <v>47</v>
      </c>
      <c r="R3917" t="s">
        <v>44</v>
      </c>
      <c r="S3917">
        <v>0</v>
      </c>
      <c r="W3917" s="3">
        <v>1.4351851851851854E-3</v>
      </c>
      <c r="X3917" t="s">
        <v>8104</v>
      </c>
      <c r="Y3917">
        <v>7</v>
      </c>
      <c r="Z3917">
        <v>0</v>
      </c>
      <c r="AA3917" t="s">
        <v>49</v>
      </c>
      <c r="AB3917">
        <v>0</v>
      </c>
      <c r="AC3917" t="s">
        <v>49</v>
      </c>
      <c r="AD3917">
        <v>0</v>
      </c>
      <c r="AE3917">
        <v>-1</v>
      </c>
      <c r="AF3917" t="s">
        <v>63</v>
      </c>
      <c r="AG3917" t="s">
        <v>7760</v>
      </c>
    </row>
    <row r="3918" spans="1:33" x14ac:dyDescent="0.35">
      <c r="A3918" s="1">
        <v>44634.674305555556</v>
      </c>
      <c r="B3918">
        <v>6403507</v>
      </c>
      <c r="C3918" t="s">
        <v>8099</v>
      </c>
      <c r="D3918" t="s">
        <v>59</v>
      </c>
      <c r="E3918" s="2">
        <v>44209</v>
      </c>
      <c r="F3918" t="str">
        <f>"9781119641032"</f>
        <v>9781119641032</v>
      </c>
      <c r="G3918" t="str">
        <f>"9781119640431"</f>
        <v>9781119640431</v>
      </c>
      <c r="H3918" t="s">
        <v>214</v>
      </c>
      <c r="I3918">
        <v>547.04999999999995</v>
      </c>
      <c r="J3918" t="s">
        <v>8100</v>
      </c>
      <c r="K3918" t="s">
        <v>55</v>
      </c>
      <c r="Q3918" t="s">
        <v>47</v>
      </c>
      <c r="R3918" t="s">
        <v>44</v>
      </c>
      <c r="S3918">
        <v>0</v>
      </c>
      <c r="W3918" s="3">
        <v>1.3657407407407409E-3</v>
      </c>
      <c r="X3918" t="s">
        <v>8105</v>
      </c>
      <c r="Y3918">
        <v>18</v>
      </c>
      <c r="Z3918">
        <v>0</v>
      </c>
      <c r="AA3918" t="s">
        <v>49</v>
      </c>
      <c r="AB3918">
        <v>0</v>
      </c>
      <c r="AC3918" t="s">
        <v>49</v>
      </c>
      <c r="AD3918">
        <v>0</v>
      </c>
      <c r="AE3918">
        <v>-1</v>
      </c>
      <c r="AF3918" t="s">
        <v>63</v>
      </c>
      <c r="AG3918" t="s">
        <v>7760</v>
      </c>
    </row>
    <row r="3919" spans="1:33" x14ac:dyDescent="0.35">
      <c r="A3919" s="1">
        <v>44633.743750000001</v>
      </c>
      <c r="B3919">
        <v>334322</v>
      </c>
      <c r="C3919" t="s">
        <v>8106</v>
      </c>
      <c r="D3919" t="s">
        <v>150</v>
      </c>
      <c r="E3919" s="2">
        <v>37776</v>
      </c>
      <c r="F3919" t="str">
        <f>"9781847871473"</f>
        <v>9781847871473</v>
      </c>
      <c r="G3919" t="str">
        <f>"9780803979314"</f>
        <v>9780803979314</v>
      </c>
      <c r="H3919" t="s">
        <v>419</v>
      </c>
      <c r="I3919">
        <v>320</v>
      </c>
      <c r="J3919" t="s">
        <v>8107</v>
      </c>
      <c r="K3919" t="s">
        <v>44</v>
      </c>
      <c r="N3919" t="s">
        <v>45</v>
      </c>
      <c r="O3919" t="s">
        <v>46</v>
      </c>
      <c r="P3919" t="s">
        <v>45</v>
      </c>
      <c r="Q3919" t="s">
        <v>47</v>
      </c>
      <c r="R3919" t="s">
        <v>44</v>
      </c>
      <c r="S3919">
        <v>0</v>
      </c>
      <c r="W3919" s="3">
        <v>3.0092592592592595E-4</v>
      </c>
      <c r="X3919" t="s">
        <v>8108</v>
      </c>
      <c r="Y3919">
        <v>6</v>
      </c>
      <c r="Z3919">
        <v>0</v>
      </c>
      <c r="AA3919" t="s">
        <v>49</v>
      </c>
      <c r="AB3919">
        <v>0</v>
      </c>
      <c r="AC3919" t="s">
        <v>49</v>
      </c>
      <c r="AD3919">
        <v>0</v>
      </c>
      <c r="AE3919">
        <v>10218312</v>
      </c>
      <c r="AF3919" t="s">
        <v>63</v>
      </c>
      <c r="AG3919" t="s">
        <v>7760</v>
      </c>
    </row>
    <row r="3920" spans="1:33" x14ac:dyDescent="0.35">
      <c r="A3920" s="1">
        <v>44633.740972222222</v>
      </c>
      <c r="B3920">
        <v>467389</v>
      </c>
      <c r="C3920" t="s">
        <v>8109</v>
      </c>
      <c r="D3920" t="s">
        <v>424</v>
      </c>
      <c r="E3920" s="2">
        <v>39980</v>
      </c>
      <c r="F3920" t="str">
        <f>"9780742565265"</f>
        <v>9780742565265</v>
      </c>
      <c r="G3920" t="str">
        <f>"9780742564121"</f>
        <v>9780742564121</v>
      </c>
      <c r="H3920" t="s">
        <v>419</v>
      </c>
      <c r="I3920">
        <v>320.01</v>
      </c>
      <c r="J3920" t="s">
        <v>8110</v>
      </c>
      <c r="K3920" t="s">
        <v>44</v>
      </c>
      <c r="N3920" t="s">
        <v>45</v>
      </c>
      <c r="O3920" t="s">
        <v>46</v>
      </c>
      <c r="P3920" t="s">
        <v>45</v>
      </c>
      <c r="Q3920" t="s">
        <v>47</v>
      </c>
      <c r="R3920" t="s">
        <v>44</v>
      </c>
      <c r="S3920">
        <v>0</v>
      </c>
      <c r="W3920" s="3">
        <v>1.1574074074074073E-5</v>
      </c>
      <c r="X3920" t="s">
        <v>49</v>
      </c>
      <c r="Y3920">
        <v>0</v>
      </c>
      <c r="Z3920">
        <v>6</v>
      </c>
      <c r="AA3920" t="s">
        <v>8111</v>
      </c>
      <c r="AB3920">
        <v>80</v>
      </c>
      <c r="AC3920" t="s">
        <v>49</v>
      </c>
      <c r="AD3920">
        <v>0</v>
      </c>
      <c r="AE3920">
        <v>10364380</v>
      </c>
      <c r="AF3920" t="s">
        <v>63</v>
      </c>
      <c r="AG3920" t="s">
        <v>7760</v>
      </c>
    </row>
    <row r="3921" spans="1:33" x14ac:dyDescent="0.35">
      <c r="A3921" s="1">
        <v>44633.737500000003</v>
      </c>
      <c r="B3921">
        <v>318682</v>
      </c>
      <c r="C3921" t="s">
        <v>8112</v>
      </c>
      <c r="D3921" t="s">
        <v>2928</v>
      </c>
      <c r="E3921" s="2">
        <v>31444</v>
      </c>
      <c r="F3921" t="str">
        <f>"9780875862743"</f>
        <v>9780875862743</v>
      </c>
      <c r="G3921" t="str">
        <f>"9780875860756"</f>
        <v>9780875860756</v>
      </c>
      <c r="H3921" t="s">
        <v>419</v>
      </c>
      <c r="I3921">
        <v>320</v>
      </c>
      <c r="J3921" t="s">
        <v>8113</v>
      </c>
      <c r="K3921" t="s">
        <v>44</v>
      </c>
      <c r="N3921" t="s">
        <v>45</v>
      </c>
      <c r="O3921" t="s">
        <v>46</v>
      </c>
      <c r="P3921" t="s">
        <v>177</v>
      </c>
      <c r="Q3921" t="s">
        <v>47</v>
      </c>
      <c r="R3921" t="s">
        <v>55</v>
      </c>
      <c r="S3921">
        <v>1</v>
      </c>
      <c r="W3921" s="3">
        <v>0</v>
      </c>
      <c r="X3921" t="s">
        <v>49</v>
      </c>
      <c r="Y3921">
        <v>0</v>
      </c>
      <c r="Z3921">
        <v>0</v>
      </c>
      <c r="AA3921" t="s">
        <v>49</v>
      </c>
      <c r="AB3921">
        <v>0</v>
      </c>
      <c r="AC3921" t="s">
        <v>49</v>
      </c>
      <c r="AD3921">
        <v>0</v>
      </c>
      <c r="AE3921">
        <v>10476818</v>
      </c>
      <c r="AF3921" t="s">
        <v>63</v>
      </c>
      <c r="AG3921" t="s">
        <v>7760</v>
      </c>
    </row>
    <row r="3922" spans="1:33" x14ac:dyDescent="0.35">
      <c r="A3922" s="1">
        <v>44633.736805555556</v>
      </c>
      <c r="B3922">
        <v>318682</v>
      </c>
      <c r="C3922" t="s">
        <v>8112</v>
      </c>
      <c r="D3922" t="s">
        <v>2928</v>
      </c>
      <c r="E3922" s="2">
        <v>31444</v>
      </c>
      <c r="F3922" t="str">
        <f>"9780875862743"</f>
        <v>9780875862743</v>
      </c>
      <c r="G3922" t="str">
        <f>"9780875860756"</f>
        <v>9780875860756</v>
      </c>
      <c r="H3922" t="s">
        <v>419</v>
      </c>
      <c r="I3922">
        <v>320</v>
      </c>
      <c r="J3922" t="s">
        <v>8113</v>
      </c>
      <c r="K3922" t="s">
        <v>44</v>
      </c>
      <c r="N3922" t="s">
        <v>45</v>
      </c>
      <c r="O3922" t="s">
        <v>46</v>
      </c>
      <c r="P3922" t="s">
        <v>177</v>
      </c>
      <c r="Q3922" t="s">
        <v>47</v>
      </c>
      <c r="R3922" t="s">
        <v>55</v>
      </c>
      <c r="S3922">
        <v>0</v>
      </c>
      <c r="W3922" s="3">
        <v>1.8518518518518518E-4</v>
      </c>
      <c r="X3922" t="s">
        <v>1056</v>
      </c>
      <c r="Y3922">
        <v>5</v>
      </c>
      <c r="Z3922">
        <v>0</v>
      </c>
      <c r="AA3922" t="s">
        <v>49</v>
      </c>
      <c r="AB3922">
        <v>0</v>
      </c>
      <c r="AC3922" t="s">
        <v>49</v>
      </c>
      <c r="AD3922">
        <v>0</v>
      </c>
      <c r="AE3922">
        <v>10476818</v>
      </c>
      <c r="AF3922" t="s">
        <v>50</v>
      </c>
      <c r="AG3922" t="s">
        <v>7760</v>
      </c>
    </row>
    <row r="3923" spans="1:33" x14ac:dyDescent="0.35">
      <c r="A3923" s="1">
        <v>44633.640972222223</v>
      </c>
      <c r="B3923">
        <v>1085076</v>
      </c>
      <c r="C3923" t="s">
        <v>4481</v>
      </c>
      <c r="D3923" t="s">
        <v>3207</v>
      </c>
      <c r="E3923" s="2">
        <v>41100</v>
      </c>
      <c r="F3923" t="str">
        <f>"9781611682816"</f>
        <v>9781611682816</v>
      </c>
      <c r="G3923" t="str">
        <f>"9781611682793"</f>
        <v>9781611682793</v>
      </c>
      <c r="H3923" t="s">
        <v>2804</v>
      </c>
      <c r="I3923" t="s">
        <v>4482</v>
      </c>
      <c r="J3923" t="s">
        <v>4483</v>
      </c>
      <c r="K3923" t="s">
        <v>44</v>
      </c>
      <c r="N3923" t="s">
        <v>45</v>
      </c>
      <c r="O3923" t="s">
        <v>46</v>
      </c>
      <c r="P3923" t="s">
        <v>45</v>
      </c>
      <c r="Q3923" t="s">
        <v>47</v>
      </c>
      <c r="R3923" t="s">
        <v>44</v>
      </c>
      <c r="S3923">
        <v>0</v>
      </c>
      <c r="W3923" s="3">
        <v>1.2037037037037038E-3</v>
      </c>
      <c r="X3923" t="s">
        <v>3748</v>
      </c>
      <c r="Y3923">
        <v>12</v>
      </c>
      <c r="Z3923">
        <v>0</v>
      </c>
      <c r="AA3923" t="s">
        <v>49</v>
      </c>
      <c r="AB3923">
        <v>0</v>
      </c>
      <c r="AC3923" t="s">
        <v>49</v>
      </c>
      <c r="AD3923">
        <v>0</v>
      </c>
      <c r="AE3923">
        <v>10569256</v>
      </c>
      <c r="AF3923" t="s">
        <v>50</v>
      </c>
      <c r="AG3923" t="s">
        <v>7760</v>
      </c>
    </row>
    <row r="3924" spans="1:33" x14ac:dyDescent="0.35">
      <c r="A3924" s="1">
        <v>44633.638888888891</v>
      </c>
      <c r="B3924">
        <v>5491559</v>
      </c>
      <c r="C3924" t="s">
        <v>7954</v>
      </c>
      <c r="D3924" t="s">
        <v>7955</v>
      </c>
      <c r="E3924" s="2">
        <v>41486</v>
      </c>
      <c r="F3924" t="str">
        <f>"9780810166622"</f>
        <v>9780810166622</v>
      </c>
      <c r="G3924" t="str">
        <f>"9780810129122"</f>
        <v>9780810129122</v>
      </c>
      <c r="H3924" t="s">
        <v>498</v>
      </c>
      <c r="I3924">
        <v>146.30000000000001</v>
      </c>
      <c r="J3924" t="s">
        <v>7956</v>
      </c>
      <c r="K3924" t="s">
        <v>44</v>
      </c>
      <c r="N3924" t="s">
        <v>45</v>
      </c>
      <c r="O3924" t="s">
        <v>46</v>
      </c>
      <c r="P3924" t="s">
        <v>45</v>
      </c>
      <c r="Q3924" t="s">
        <v>47</v>
      </c>
      <c r="R3924" t="s">
        <v>44</v>
      </c>
      <c r="S3924">
        <v>0</v>
      </c>
      <c r="W3924" s="3">
        <v>1.4351851851851854E-3</v>
      </c>
      <c r="X3924" t="s">
        <v>8114</v>
      </c>
      <c r="Y3924">
        <v>25</v>
      </c>
      <c r="Z3924">
        <v>0</v>
      </c>
      <c r="AA3924" t="s">
        <v>49</v>
      </c>
      <c r="AB3924">
        <v>0</v>
      </c>
      <c r="AC3924" t="s">
        <v>49</v>
      </c>
      <c r="AD3924">
        <v>0</v>
      </c>
      <c r="AE3924">
        <v>11600821</v>
      </c>
      <c r="AF3924" t="s">
        <v>50</v>
      </c>
      <c r="AG3924" t="s">
        <v>7760</v>
      </c>
    </row>
    <row r="3925" spans="1:33" x14ac:dyDescent="0.35">
      <c r="A3925" s="1">
        <v>44632.961111111108</v>
      </c>
      <c r="B3925">
        <v>3016316</v>
      </c>
      <c r="C3925" t="s">
        <v>8115</v>
      </c>
      <c r="D3925" t="s">
        <v>7150</v>
      </c>
      <c r="E3925" s="2">
        <v>40800</v>
      </c>
      <c r="F3925" t="str">
        <f>"9783805596466"</f>
        <v>9783805596466</v>
      </c>
      <c r="G3925" t="str">
        <f>"9783805596459"</f>
        <v>9783805596459</v>
      </c>
      <c r="H3925" t="s">
        <v>77</v>
      </c>
      <c r="I3925" t="s">
        <v>8116</v>
      </c>
      <c r="J3925" t="s">
        <v>8117</v>
      </c>
      <c r="K3925" t="s">
        <v>55</v>
      </c>
      <c r="N3925" t="s">
        <v>79</v>
      </c>
      <c r="P3925" t="s">
        <v>97</v>
      </c>
      <c r="Q3925" t="s">
        <v>47</v>
      </c>
      <c r="R3925" t="s">
        <v>44</v>
      </c>
      <c r="S3925">
        <v>0</v>
      </c>
      <c r="W3925" s="3">
        <v>6.8287037037037025E-4</v>
      </c>
      <c r="X3925" t="s">
        <v>8118</v>
      </c>
      <c r="Y3925">
        <v>9</v>
      </c>
      <c r="Z3925">
        <v>0</v>
      </c>
      <c r="AA3925" t="s">
        <v>49</v>
      </c>
      <c r="AB3925">
        <v>0</v>
      </c>
      <c r="AC3925" t="s">
        <v>49</v>
      </c>
      <c r="AD3925">
        <v>0</v>
      </c>
      <c r="AE3925">
        <v>10568671</v>
      </c>
      <c r="AF3925" t="s">
        <v>50</v>
      </c>
      <c r="AG3925" t="s">
        <v>2128</v>
      </c>
    </row>
    <row r="3926" spans="1:33" x14ac:dyDescent="0.35">
      <c r="A3926" s="1">
        <v>44632.888888888891</v>
      </c>
      <c r="B3926">
        <v>605089</v>
      </c>
      <c r="C3926" t="s">
        <v>8119</v>
      </c>
      <c r="D3926" t="s">
        <v>502</v>
      </c>
      <c r="E3926" s="2">
        <v>40507</v>
      </c>
      <c r="F3926" t="str">
        <f>"9780511927966"</f>
        <v>9780511927966</v>
      </c>
      <c r="G3926" t="str">
        <f>"9780521491907"</f>
        <v>9780521491907</v>
      </c>
      <c r="H3926" t="s">
        <v>419</v>
      </c>
      <c r="I3926">
        <v>321.07</v>
      </c>
      <c r="J3926" t="s">
        <v>8120</v>
      </c>
      <c r="K3926" t="s">
        <v>44</v>
      </c>
      <c r="N3926" t="s">
        <v>45</v>
      </c>
      <c r="O3926" t="s">
        <v>46</v>
      </c>
      <c r="P3926" t="s">
        <v>45</v>
      </c>
      <c r="Q3926" t="s">
        <v>47</v>
      </c>
      <c r="R3926" t="s">
        <v>44</v>
      </c>
      <c r="S3926">
        <v>0</v>
      </c>
      <c r="W3926" s="3">
        <v>4.4791666666666669E-3</v>
      </c>
      <c r="X3926" t="s">
        <v>8121</v>
      </c>
      <c r="Y3926">
        <v>24</v>
      </c>
      <c r="Z3926">
        <v>0</v>
      </c>
      <c r="AA3926" t="s">
        <v>49</v>
      </c>
      <c r="AB3926">
        <v>0</v>
      </c>
      <c r="AC3926" t="s">
        <v>49</v>
      </c>
      <c r="AD3926">
        <v>0</v>
      </c>
      <c r="AE3926">
        <v>10432435</v>
      </c>
      <c r="AF3926" t="s">
        <v>50</v>
      </c>
      <c r="AG3926" t="s">
        <v>7760</v>
      </c>
    </row>
    <row r="3927" spans="1:33" x14ac:dyDescent="0.35">
      <c r="A3927" s="1">
        <v>44632.832638888889</v>
      </c>
      <c r="B3927">
        <v>5450891</v>
      </c>
      <c r="C3927" t="s">
        <v>8122</v>
      </c>
      <c r="D3927" t="s">
        <v>76</v>
      </c>
      <c r="E3927" s="2">
        <v>43312</v>
      </c>
      <c r="F3927" t="str">
        <f>"9781351172554"</f>
        <v>9781351172554</v>
      </c>
      <c r="G3927" t="str">
        <f>"9780815389958"</f>
        <v>9780815389958</v>
      </c>
      <c r="H3927" t="s">
        <v>3468</v>
      </c>
      <c r="I3927">
        <v>621.46</v>
      </c>
      <c r="J3927" t="s">
        <v>8123</v>
      </c>
      <c r="K3927" t="s">
        <v>55</v>
      </c>
      <c r="Q3927" t="s">
        <v>47</v>
      </c>
      <c r="R3927" t="s">
        <v>44</v>
      </c>
      <c r="S3927">
        <v>0</v>
      </c>
      <c r="W3927" s="3">
        <v>5.2893518518518515E-3</v>
      </c>
      <c r="X3927" t="s">
        <v>8124</v>
      </c>
      <c r="Y3927">
        <v>15</v>
      </c>
      <c r="Z3927">
        <v>0</v>
      </c>
      <c r="AA3927" t="s">
        <v>49</v>
      </c>
      <c r="AB3927">
        <v>0</v>
      </c>
      <c r="AC3927" t="s">
        <v>49</v>
      </c>
      <c r="AD3927">
        <v>0</v>
      </c>
      <c r="AE3927">
        <v>-1</v>
      </c>
      <c r="AF3927" t="s">
        <v>50</v>
      </c>
      <c r="AG3927" t="s">
        <v>7760</v>
      </c>
    </row>
    <row r="3928" spans="1:33" x14ac:dyDescent="0.35">
      <c r="A3928" s="1">
        <v>44632.825694444444</v>
      </c>
      <c r="B3928">
        <v>958216</v>
      </c>
      <c r="C3928" t="s">
        <v>8125</v>
      </c>
      <c r="D3928" t="s">
        <v>76</v>
      </c>
      <c r="E3928" s="2">
        <v>40863</v>
      </c>
      <c r="F3928" t="str">
        <f>"9780203802946"</f>
        <v>9780203802946</v>
      </c>
      <c r="G3928" t="str">
        <f>"9780415684736"</f>
        <v>9780415684736</v>
      </c>
      <c r="H3928" t="s">
        <v>90</v>
      </c>
      <c r="I3928">
        <v>370</v>
      </c>
      <c r="J3928" t="s">
        <v>8126</v>
      </c>
      <c r="K3928" t="s">
        <v>44</v>
      </c>
      <c r="N3928" t="s">
        <v>45</v>
      </c>
      <c r="O3928" t="s">
        <v>46</v>
      </c>
      <c r="P3928" t="s">
        <v>45</v>
      </c>
      <c r="Q3928" t="s">
        <v>47</v>
      </c>
      <c r="R3928" t="s">
        <v>44</v>
      </c>
      <c r="S3928">
        <v>0</v>
      </c>
      <c r="W3928" s="3">
        <v>9.8379629629629642E-4</v>
      </c>
      <c r="X3928" t="s">
        <v>8127</v>
      </c>
      <c r="Y3928">
        <v>19</v>
      </c>
      <c r="Z3928">
        <v>0</v>
      </c>
      <c r="AA3928" t="s">
        <v>49</v>
      </c>
      <c r="AB3928">
        <v>0</v>
      </c>
      <c r="AC3928" t="s">
        <v>49</v>
      </c>
      <c r="AD3928">
        <v>0</v>
      </c>
      <c r="AE3928">
        <v>10534961</v>
      </c>
      <c r="AF3928" t="s">
        <v>50</v>
      </c>
      <c r="AG3928" t="s">
        <v>7760</v>
      </c>
    </row>
    <row r="3929" spans="1:33" x14ac:dyDescent="0.35">
      <c r="A3929" s="1">
        <v>44632.823611111111</v>
      </c>
      <c r="B3929">
        <v>3407005</v>
      </c>
      <c r="C3929" t="s">
        <v>8128</v>
      </c>
      <c r="D3929" t="s">
        <v>645</v>
      </c>
      <c r="E3929" s="2">
        <v>32707</v>
      </c>
      <c r="F3929" t="str">
        <f>"9781438415000"</f>
        <v>9781438415000</v>
      </c>
      <c r="G3929" t="str">
        <f>"9780887069420"</f>
        <v>9780887069420</v>
      </c>
      <c r="H3929" t="s">
        <v>90</v>
      </c>
      <c r="I3929" t="s">
        <v>8129</v>
      </c>
      <c r="J3929" t="s">
        <v>8130</v>
      </c>
      <c r="K3929" t="s">
        <v>44</v>
      </c>
      <c r="N3929" t="s">
        <v>45</v>
      </c>
      <c r="O3929" t="s">
        <v>46</v>
      </c>
      <c r="P3929" t="s">
        <v>45</v>
      </c>
      <c r="Q3929" t="s">
        <v>47</v>
      </c>
      <c r="R3929" t="s">
        <v>44</v>
      </c>
      <c r="S3929">
        <v>0</v>
      </c>
      <c r="W3929" s="3">
        <v>1.4467592592592594E-3</v>
      </c>
      <c r="X3929" t="s">
        <v>8131</v>
      </c>
      <c r="Y3929">
        <v>14</v>
      </c>
      <c r="Z3929">
        <v>0</v>
      </c>
      <c r="AA3929" t="s">
        <v>49</v>
      </c>
      <c r="AB3929">
        <v>0</v>
      </c>
      <c r="AC3929" t="s">
        <v>49</v>
      </c>
      <c r="AD3929">
        <v>0</v>
      </c>
      <c r="AE3929">
        <v>10042807</v>
      </c>
      <c r="AF3929" t="s">
        <v>50</v>
      </c>
      <c r="AG3929" t="s">
        <v>7760</v>
      </c>
    </row>
    <row r="3930" spans="1:33" x14ac:dyDescent="0.35">
      <c r="A3930" s="1">
        <v>44632.773611111108</v>
      </c>
      <c r="B3930">
        <v>3016316</v>
      </c>
      <c r="C3930" t="s">
        <v>8115</v>
      </c>
      <c r="D3930" t="s">
        <v>7150</v>
      </c>
      <c r="E3930" s="2">
        <v>40800</v>
      </c>
      <c r="F3930" t="str">
        <f>"9783805596466"</f>
        <v>9783805596466</v>
      </c>
      <c r="G3930" t="str">
        <f>"9783805596459"</f>
        <v>9783805596459</v>
      </c>
      <c r="H3930" t="s">
        <v>77</v>
      </c>
      <c r="I3930" t="s">
        <v>8116</v>
      </c>
      <c r="J3930" t="s">
        <v>8117</v>
      </c>
      <c r="K3930" t="s">
        <v>55</v>
      </c>
      <c r="N3930" t="s">
        <v>79</v>
      </c>
      <c r="P3930" t="s">
        <v>97</v>
      </c>
      <c r="Q3930" t="s">
        <v>47</v>
      </c>
      <c r="R3930" t="s">
        <v>44</v>
      </c>
      <c r="S3930">
        <v>0</v>
      </c>
      <c r="W3930" s="3">
        <v>2.8240740740740736E-2</v>
      </c>
      <c r="X3930" t="s">
        <v>8132</v>
      </c>
      <c r="Y3930">
        <v>13</v>
      </c>
      <c r="Z3930">
        <v>0</v>
      </c>
      <c r="AA3930" t="s">
        <v>49</v>
      </c>
      <c r="AB3930">
        <v>0</v>
      </c>
      <c r="AC3930" t="s">
        <v>49</v>
      </c>
      <c r="AD3930">
        <v>0</v>
      </c>
      <c r="AE3930">
        <v>10568671</v>
      </c>
      <c r="AF3930" t="s">
        <v>50</v>
      </c>
      <c r="AG3930" t="s">
        <v>2128</v>
      </c>
    </row>
    <row r="3931" spans="1:33" x14ac:dyDescent="0.35">
      <c r="A3931" s="1">
        <v>44632.730555555558</v>
      </c>
      <c r="B3931">
        <v>415577</v>
      </c>
      <c r="C3931" t="s">
        <v>7981</v>
      </c>
      <c r="D3931" t="s">
        <v>125</v>
      </c>
      <c r="E3931" s="2">
        <v>39783</v>
      </c>
      <c r="F3931" t="str">
        <f>"9780191539244"</f>
        <v>9780191539244</v>
      </c>
      <c r="G3931" t="str">
        <f>"9780192803016"</f>
        <v>9780192803016</v>
      </c>
      <c r="H3931" t="s">
        <v>667</v>
      </c>
      <c r="I3931">
        <v>968.06092000000001</v>
      </c>
      <c r="J3931" t="s">
        <v>7982</v>
      </c>
      <c r="K3931" t="s">
        <v>44</v>
      </c>
      <c r="N3931" t="s">
        <v>45</v>
      </c>
      <c r="O3931" t="s">
        <v>46</v>
      </c>
      <c r="P3931" t="s">
        <v>45</v>
      </c>
      <c r="Q3931" t="s">
        <v>47</v>
      </c>
      <c r="R3931" t="s">
        <v>44</v>
      </c>
      <c r="S3931">
        <v>1</v>
      </c>
      <c r="W3931" s="3">
        <v>5.5902777777777782E-3</v>
      </c>
      <c r="X3931" t="s">
        <v>8133</v>
      </c>
      <c r="Y3931">
        <v>5</v>
      </c>
      <c r="Z3931">
        <v>0</v>
      </c>
      <c r="AA3931" t="s">
        <v>49</v>
      </c>
      <c r="AB3931">
        <v>0</v>
      </c>
      <c r="AC3931" t="s">
        <v>49</v>
      </c>
      <c r="AD3931">
        <v>0</v>
      </c>
      <c r="AE3931">
        <v>10254382</v>
      </c>
      <c r="AF3931" t="s">
        <v>63</v>
      </c>
      <c r="AG3931" t="s">
        <v>7760</v>
      </c>
    </row>
    <row r="3932" spans="1:33" x14ac:dyDescent="0.35">
      <c r="A3932" s="1">
        <v>44632.729166666664</v>
      </c>
      <c r="B3932">
        <v>415577</v>
      </c>
      <c r="C3932" t="s">
        <v>7981</v>
      </c>
      <c r="D3932" t="s">
        <v>125</v>
      </c>
      <c r="E3932" s="2">
        <v>39783</v>
      </c>
      <c r="F3932" t="str">
        <f>"9780191539244"</f>
        <v>9780191539244</v>
      </c>
      <c r="G3932" t="str">
        <f>"9780192803016"</f>
        <v>9780192803016</v>
      </c>
      <c r="H3932" t="s">
        <v>667</v>
      </c>
      <c r="I3932">
        <v>968.06092000000001</v>
      </c>
      <c r="J3932" t="s">
        <v>7982</v>
      </c>
      <c r="K3932" t="s">
        <v>44</v>
      </c>
      <c r="N3932" t="s">
        <v>45</v>
      </c>
      <c r="O3932" t="s">
        <v>46</v>
      </c>
      <c r="P3932" t="s">
        <v>45</v>
      </c>
      <c r="Q3932" t="s">
        <v>47</v>
      </c>
      <c r="R3932" t="s">
        <v>44</v>
      </c>
      <c r="S3932">
        <v>0</v>
      </c>
      <c r="W3932" s="3">
        <v>1.3194444444444443E-3</v>
      </c>
      <c r="X3932" t="s">
        <v>113</v>
      </c>
      <c r="Y3932">
        <v>2</v>
      </c>
      <c r="Z3932">
        <v>0</v>
      </c>
      <c r="AA3932" t="s">
        <v>49</v>
      </c>
      <c r="AB3932">
        <v>0</v>
      </c>
      <c r="AC3932" t="s">
        <v>49</v>
      </c>
      <c r="AD3932">
        <v>0</v>
      </c>
      <c r="AE3932">
        <v>10254382</v>
      </c>
      <c r="AF3932" t="s">
        <v>63</v>
      </c>
      <c r="AG3932" t="s">
        <v>7760</v>
      </c>
    </row>
    <row r="3933" spans="1:33" x14ac:dyDescent="0.35">
      <c r="A3933" s="1">
        <v>44632.72152777778</v>
      </c>
      <c r="B3933">
        <v>284778</v>
      </c>
      <c r="C3933" t="s">
        <v>7807</v>
      </c>
      <c r="D3933" t="s">
        <v>7808</v>
      </c>
      <c r="E3933" s="2">
        <v>38353</v>
      </c>
      <c r="F3933" t="str">
        <f>"9781280268670"</f>
        <v>9781280268670</v>
      </c>
      <c r="G3933" t="str">
        <f>"9789289013772"</f>
        <v>9789289013772</v>
      </c>
      <c r="H3933" t="s">
        <v>525</v>
      </c>
      <c r="I3933">
        <v>362.20940000000002</v>
      </c>
      <c r="J3933" t="s">
        <v>7809</v>
      </c>
      <c r="K3933" t="s">
        <v>44</v>
      </c>
      <c r="N3933" t="s">
        <v>45</v>
      </c>
      <c r="O3933" t="s">
        <v>46</v>
      </c>
      <c r="P3933" t="s">
        <v>45</v>
      </c>
      <c r="Q3933" t="s">
        <v>47</v>
      </c>
      <c r="R3933" t="s">
        <v>44</v>
      </c>
      <c r="S3933">
        <v>0</v>
      </c>
      <c r="W3933" s="3">
        <v>5.3240740740740748E-3</v>
      </c>
      <c r="X3933" t="s">
        <v>8134</v>
      </c>
      <c r="Y3933">
        <v>4</v>
      </c>
      <c r="Z3933">
        <v>0</v>
      </c>
      <c r="AA3933" t="s">
        <v>49</v>
      </c>
      <c r="AB3933">
        <v>0</v>
      </c>
      <c r="AC3933" t="s">
        <v>49</v>
      </c>
      <c r="AD3933">
        <v>0</v>
      </c>
      <c r="AE3933">
        <v>10104339</v>
      </c>
      <c r="AF3933" t="s">
        <v>50</v>
      </c>
      <c r="AG3933" t="s">
        <v>835</v>
      </c>
    </row>
    <row r="3934" spans="1:33" x14ac:dyDescent="0.35">
      <c r="A3934" s="1">
        <v>44632.668055555558</v>
      </c>
      <c r="B3934">
        <v>284778</v>
      </c>
      <c r="C3934" t="s">
        <v>7807</v>
      </c>
      <c r="D3934" t="s">
        <v>7808</v>
      </c>
      <c r="E3934" s="2">
        <v>38353</v>
      </c>
      <c r="F3934" t="str">
        <f>"9781280268670"</f>
        <v>9781280268670</v>
      </c>
      <c r="G3934" t="str">
        <f>"9789289013772"</f>
        <v>9789289013772</v>
      </c>
      <c r="H3934" t="s">
        <v>525</v>
      </c>
      <c r="I3934">
        <v>362.20940000000002</v>
      </c>
      <c r="J3934" t="s">
        <v>7809</v>
      </c>
      <c r="K3934" t="s">
        <v>44</v>
      </c>
      <c r="N3934" t="s">
        <v>45</v>
      </c>
      <c r="O3934" t="s">
        <v>46</v>
      </c>
      <c r="P3934" t="s">
        <v>45</v>
      </c>
      <c r="Q3934" t="s">
        <v>47</v>
      </c>
      <c r="R3934" t="s">
        <v>44</v>
      </c>
      <c r="S3934">
        <v>0</v>
      </c>
      <c r="W3934" s="3">
        <v>7.8125E-3</v>
      </c>
      <c r="X3934" t="s">
        <v>8135</v>
      </c>
      <c r="Y3934">
        <v>3</v>
      </c>
      <c r="Z3934">
        <v>0</v>
      </c>
      <c r="AA3934" t="s">
        <v>49</v>
      </c>
      <c r="AB3934">
        <v>0</v>
      </c>
      <c r="AC3934" t="s">
        <v>6870</v>
      </c>
      <c r="AD3934">
        <v>1</v>
      </c>
      <c r="AE3934">
        <v>10104339</v>
      </c>
      <c r="AF3934" t="s">
        <v>50</v>
      </c>
      <c r="AG3934" t="s">
        <v>835</v>
      </c>
    </row>
    <row r="3935" spans="1:33" x14ac:dyDescent="0.35">
      <c r="A3935" s="1">
        <v>44632.520138888889</v>
      </c>
      <c r="B3935">
        <v>267503</v>
      </c>
      <c r="C3935" t="s">
        <v>8136</v>
      </c>
      <c r="D3935" t="s">
        <v>633</v>
      </c>
      <c r="E3935" s="2">
        <v>37466</v>
      </c>
      <c r="F3935" t="str">
        <f>"9781601294333"</f>
        <v>9781601294333</v>
      </c>
      <c r="G3935" t="str">
        <f>"9781586030827"</f>
        <v>9781586030827</v>
      </c>
      <c r="H3935" t="s">
        <v>6975</v>
      </c>
      <c r="I3935" t="s">
        <v>8137</v>
      </c>
      <c r="J3935" t="s">
        <v>8138</v>
      </c>
      <c r="K3935" t="s">
        <v>44</v>
      </c>
      <c r="N3935" t="s">
        <v>45</v>
      </c>
      <c r="O3935" t="s">
        <v>46</v>
      </c>
      <c r="P3935" t="s">
        <v>177</v>
      </c>
      <c r="Q3935" t="s">
        <v>47</v>
      </c>
      <c r="R3935" t="s">
        <v>55</v>
      </c>
      <c r="S3935">
        <v>0</v>
      </c>
      <c r="W3935" s="3">
        <v>8.1018518518518516E-4</v>
      </c>
      <c r="X3935" t="s">
        <v>8139</v>
      </c>
      <c r="Y3935">
        <v>7</v>
      </c>
      <c r="Z3935">
        <v>0</v>
      </c>
      <c r="AA3935" t="s">
        <v>49</v>
      </c>
      <c r="AB3935">
        <v>0</v>
      </c>
      <c r="AC3935" t="s">
        <v>49</v>
      </c>
      <c r="AD3935">
        <v>0</v>
      </c>
      <c r="AE3935">
        <v>10116484</v>
      </c>
      <c r="AF3935" t="s">
        <v>50</v>
      </c>
      <c r="AG3935" t="s">
        <v>7760</v>
      </c>
    </row>
    <row r="3936" spans="1:33" x14ac:dyDescent="0.35">
      <c r="A3936" s="1">
        <v>44632.519444444442</v>
      </c>
      <c r="B3936">
        <v>3016316</v>
      </c>
      <c r="C3936" t="s">
        <v>8115</v>
      </c>
      <c r="D3936" t="s">
        <v>7150</v>
      </c>
      <c r="E3936" s="2">
        <v>40800</v>
      </c>
      <c r="F3936" t="str">
        <f>"9783805596466"</f>
        <v>9783805596466</v>
      </c>
      <c r="G3936" t="str">
        <f>"9783805596459"</f>
        <v>9783805596459</v>
      </c>
      <c r="H3936" t="s">
        <v>77</v>
      </c>
      <c r="I3936" t="s">
        <v>8116</v>
      </c>
      <c r="J3936" t="s">
        <v>8117</v>
      </c>
      <c r="K3936" t="s">
        <v>55</v>
      </c>
      <c r="N3936" t="s">
        <v>79</v>
      </c>
      <c r="P3936" t="s">
        <v>97</v>
      </c>
      <c r="Q3936" t="s">
        <v>47</v>
      </c>
      <c r="R3936" t="s">
        <v>44</v>
      </c>
      <c r="S3936">
        <v>0</v>
      </c>
      <c r="W3936" s="3">
        <v>2.6620370370370372E-4</v>
      </c>
      <c r="X3936" t="s">
        <v>8140</v>
      </c>
      <c r="Y3936">
        <v>3</v>
      </c>
      <c r="Z3936">
        <v>0</v>
      </c>
      <c r="AA3936" t="s">
        <v>49</v>
      </c>
      <c r="AB3936">
        <v>0</v>
      </c>
      <c r="AC3936" t="s">
        <v>49</v>
      </c>
      <c r="AD3936">
        <v>0</v>
      </c>
      <c r="AE3936">
        <v>10568671</v>
      </c>
      <c r="AF3936" t="s">
        <v>50</v>
      </c>
      <c r="AG3936" t="s">
        <v>2128</v>
      </c>
    </row>
    <row r="3937" spans="1:33" x14ac:dyDescent="0.35">
      <c r="A3937" s="1">
        <v>44632.515277777777</v>
      </c>
      <c r="B3937">
        <v>3384079</v>
      </c>
      <c r="C3937" t="s">
        <v>8141</v>
      </c>
      <c r="D3937" t="s">
        <v>8142</v>
      </c>
      <c r="E3937" s="2">
        <v>41684</v>
      </c>
      <c r="F3937" t="str">
        <f>"9780780813106"</f>
        <v>9780780813106</v>
      </c>
      <c r="G3937" t="str">
        <f>"9780780813090"</f>
        <v>9780780813090</v>
      </c>
      <c r="H3937" t="s">
        <v>77</v>
      </c>
      <c r="I3937">
        <v>616.1</v>
      </c>
      <c r="J3937" t="s">
        <v>8143</v>
      </c>
      <c r="K3937" t="s">
        <v>55</v>
      </c>
      <c r="N3937" t="s">
        <v>79</v>
      </c>
      <c r="P3937" t="s">
        <v>97</v>
      </c>
      <c r="Q3937" t="s">
        <v>47</v>
      </c>
      <c r="R3937" t="s">
        <v>44</v>
      </c>
      <c r="S3937">
        <v>0</v>
      </c>
      <c r="W3937" s="3">
        <v>3.7962962962962963E-3</v>
      </c>
      <c r="X3937" t="s">
        <v>8144</v>
      </c>
      <c r="Y3937">
        <v>31</v>
      </c>
      <c r="Z3937">
        <v>0</v>
      </c>
      <c r="AA3937" t="s">
        <v>49</v>
      </c>
      <c r="AB3937">
        <v>0</v>
      </c>
      <c r="AC3937" t="s">
        <v>49</v>
      </c>
      <c r="AD3937">
        <v>0</v>
      </c>
      <c r="AE3937">
        <v>10833509</v>
      </c>
      <c r="AF3937" t="s">
        <v>50</v>
      </c>
      <c r="AG3937" t="s">
        <v>7760</v>
      </c>
    </row>
    <row r="3938" spans="1:33" x14ac:dyDescent="0.35">
      <c r="A3938" s="1">
        <v>44632.495833333334</v>
      </c>
      <c r="B3938">
        <v>3016316</v>
      </c>
      <c r="C3938" t="s">
        <v>8115</v>
      </c>
      <c r="D3938" t="s">
        <v>7150</v>
      </c>
      <c r="E3938" s="2">
        <v>40800</v>
      </c>
      <c r="F3938" t="str">
        <f>"9783805596466"</f>
        <v>9783805596466</v>
      </c>
      <c r="G3938" t="str">
        <f>"9783805596459"</f>
        <v>9783805596459</v>
      </c>
      <c r="H3938" t="s">
        <v>77</v>
      </c>
      <c r="I3938" t="s">
        <v>8116</v>
      </c>
      <c r="J3938" t="s">
        <v>8117</v>
      </c>
      <c r="K3938" t="s">
        <v>55</v>
      </c>
      <c r="N3938" t="s">
        <v>79</v>
      </c>
      <c r="P3938" t="s">
        <v>97</v>
      </c>
      <c r="Q3938" t="s">
        <v>47</v>
      </c>
      <c r="R3938" t="s">
        <v>44</v>
      </c>
      <c r="S3938">
        <v>0</v>
      </c>
      <c r="W3938" s="3">
        <v>1.7592592592592592E-3</v>
      </c>
      <c r="X3938" t="s">
        <v>8145</v>
      </c>
      <c r="Y3938">
        <v>8</v>
      </c>
      <c r="Z3938">
        <v>0</v>
      </c>
      <c r="AA3938" t="s">
        <v>49</v>
      </c>
      <c r="AB3938">
        <v>0</v>
      </c>
      <c r="AC3938" t="s">
        <v>49</v>
      </c>
      <c r="AD3938">
        <v>0</v>
      </c>
      <c r="AE3938">
        <v>10568671</v>
      </c>
      <c r="AF3938" t="s">
        <v>50</v>
      </c>
      <c r="AG3938" t="s">
        <v>2128</v>
      </c>
    </row>
    <row r="3939" spans="1:33" x14ac:dyDescent="0.35">
      <c r="A3939" s="1">
        <v>44632.490277777775</v>
      </c>
      <c r="B3939">
        <v>3019176</v>
      </c>
      <c r="C3939" t="s">
        <v>6798</v>
      </c>
      <c r="D3939" t="s">
        <v>137</v>
      </c>
      <c r="E3939" s="2">
        <v>41054</v>
      </c>
      <c r="F3939" t="str">
        <f>"9781612091983"</f>
        <v>9781612091983</v>
      </c>
      <c r="G3939" t="str">
        <f>"9781619426764"</f>
        <v>9781619426764</v>
      </c>
      <c r="H3939" t="s">
        <v>77</v>
      </c>
      <c r="I3939">
        <v>616.20899999999995</v>
      </c>
      <c r="J3939" t="s">
        <v>6799</v>
      </c>
      <c r="K3939" t="s">
        <v>44</v>
      </c>
      <c r="N3939" t="s">
        <v>45</v>
      </c>
      <c r="O3939" t="s">
        <v>46</v>
      </c>
      <c r="P3939" t="s">
        <v>177</v>
      </c>
      <c r="Q3939" t="s">
        <v>47</v>
      </c>
      <c r="R3939" t="s">
        <v>55</v>
      </c>
      <c r="S3939">
        <v>0</v>
      </c>
      <c r="W3939" s="3">
        <v>3.7615740740740739E-3</v>
      </c>
      <c r="X3939" t="s">
        <v>8146</v>
      </c>
      <c r="Y3939">
        <v>24</v>
      </c>
      <c r="Z3939">
        <v>1</v>
      </c>
      <c r="AA3939" t="s">
        <v>8147</v>
      </c>
      <c r="AB3939">
        <v>16</v>
      </c>
      <c r="AC3939" t="s">
        <v>49</v>
      </c>
      <c r="AD3939">
        <v>0</v>
      </c>
      <c r="AE3939">
        <v>10662983</v>
      </c>
      <c r="AF3939" t="s">
        <v>50</v>
      </c>
      <c r="AG3939" t="s">
        <v>2128</v>
      </c>
    </row>
    <row r="3940" spans="1:33" x14ac:dyDescent="0.35">
      <c r="A3940" s="1">
        <v>44632.372916666667</v>
      </c>
      <c r="B3940">
        <v>496322</v>
      </c>
      <c r="C3940" t="s">
        <v>8148</v>
      </c>
      <c r="D3940" t="s">
        <v>76</v>
      </c>
      <c r="E3940" s="2">
        <v>40281</v>
      </c>
      <c r="F3940" t="str">
        <f>"9780203855270"</f>
        <v>9780203855270</v>
      </c>
      <c r="G3940" t="str">
        <f>"9780415555197"</f>
        <v>9780415555197</v>
      </c>
      <c r="H3940" t="s">
        <v>474</v>
      </c>
      <c r="I3940">
        <v>297.5</v>
      </c>
      <c r="J3940" t="s">
        <v>8149</v>
      </c>
      <c r="K3940" t="s">
        <v>44</v>
      </c>
      <c r="N3940" t="s">
        <v>45</v>
      </c>
      <c r="O3940" t="s">
        <v>46</v>
      </c>
      <c r="P3940" t="s">
        <v>45</v>
      </c>
      <c r="Q3940" t="s">
        <v>47</v>
      </c>
      <c r="R3940" t="s">
        <v>44</v>
      </c>
      <c r="S3940">
        <v>0</v>
      </c>
      <c r="W3940" s="3">
        <v>4.7453703703703704E-4</v>
      </c>
      <c r="X3940" t="s">
        <v>8150</v>
      </c>
      <c r="Y3940">
        <v>3</v>
      </c>
      <c r="Z3940">
        <v>0</v>
      </c>
      <c r="AA3940" t="s">
        <v>49</v>
      </c>
      <c r="AB3940">
        <v>0</v>
      </c>
      <c r="AC3940" t="s">
        <v>49</v>
      </c>
      <c r="AD3940">
        <v>0</v>
      </c>
      <c r="AE3940">
        <v>10413139</v>
      </c>
      <c r="AF3940" t="s">
        <v>50</v>
      </c>
      <c r="AG3940" t="s">
        <v>7760</v>
      </c>
    </row>
    <row r="3941" spans="1:33" x14ac:dyDescent="0.35">
      <c r="A3941" s="1">
        <v>44631.888194444444</v>
      </c>
      <c r="B3941">
        <v>1910517</v>
      </c>
      <c r="C3941" t="s">
        <v>370</v>
      </c>
      <c r="D3941" t="s">
        <v>371</v>
      </c>
      <c r="E3941" s="2">
        <v>41673</v>
      </c>
      <c r="F3941" t="str">
        <f>"9783038263371"</f>
        <v>9783038263371</v>
      </c>
      <c r="G3941" t="str">
        <f>"9783037859568"</f>
        <v>9783037859568</v>
      </c>
      <c r="H3941" t="s">
        <v>372</v>
      </c>
      <c r="J3941" t="s">
        <v>373</v>
      </c>
      <c r="K3941" t="s">
        <v>44</v>
      </c>
      <c r="N3941" t="s">
        <v>45</v>
      </c>
      <c r="O3941" t="s">
        <v>46</v>
      </c>
      <c r="P3941" t="s">
        <v>45</v>
      </c>
      <c r="Q3941" t="s">
        <v>47</v>
      </c>
      <c r="R3941" t="s">
        <v>44</v>
      </c>
      <c r="S3941">
        <v>1</v>
      </c>
      <c r="W3941" s="3">
        <v>0</v>
      </c>
      <c r="X3941" t="s">
        <v>49</v>
      </c>
      <c r="Y3941">
        <v>0</v>
      </c>
      <c r="Z3941">
        <v>0</v>
      </c>
      <c r="AA3941" t="s">
        <v>49</v>
      </c>
      <c r="AB3941">
        <v>0</v>
      </c>
      <c r="AC3941" t="s">
        <v>49</v>
      </c>
      <c r="AD3941">
        <v>0</v>
      </c>
      <c r="AE3941">
        <v>10815863</v>
      </c>
      <c r="AF3941" t="s">
        <v>63</v>
      </c>
      <c r="AG3941" t="s">
        <v>7760</v>
      </c>
    </row>
    <row r="3942" spans="1:33" x14ac:dyDescent="0.35">
      <c r="A3942" s="1">
        <v>44631.722222222219</v>
      </c>
      <c r="B3942">
        <v>997025</v>
      </c>
      <c r="C3942" t="s">
        <v>8151</v>
      </c>
      <c r="D3942" t="s">
        <v>1282</v>
      </c>
      <c r="E3942" s="2">
        <v>34934</v>
      </c>
      <c r="F3942" t="str">
        <f>"9781452246604"</f>
        <v>9781452246604</v>
      </c>
      <c r="G3942" t="str">
        <f>"9780803951303"</f>
        <v>9780803951303</v>
      </c>
      <c r="H3942" t="s">
        <v>244</v>
      </c>
      <c r="I3942">
        <v>158.19999999999999</v>
      </c>
      <c r="J3942">
        <v>95004968</v>
      </c>
      <c r="K3942" t="s">
        <v>44</v>
      </c>
      <c r="N3942" t="s">
        <v>45</v>
      </c>
      <c r="O3942" t="s">
        <v>46</v>
      </c>
      <c r="P3942" t="s">
        <v>45</v>
      </c>
      <c r="Q3942" t="s">
        <v>47</v>
      </c>
      <c r="R3942" t="s">
        <v>44</v>
      </c>
      <c r="S3942">
        <v>0</v>
      </c>
      <c r="W3942" s="3">
        <v>2.0601851851851853E-3</v>
      </c>
      <c r="X3942" t="s">
        <v>8152</v>
      </c>
      <c r="Y3942">
        <v>10</v>
      </c>
      <c r="Z3942">
        <v>0</v>
      </c>
      <c r="AA3942" t="s">
        <v>49</v>
      </c>
      <c r="AB3942">
        <v>0</v>
      </c>
      <c r="AC3942" t="s">
        <v>49</v>
      </c>
      <c r="AD3942">
        <v>0</v>
      </c>
      <c r="AE3942">
        <v>10586584</v>
      </c>
      <c r="AF3942" t="s">
        <v>50</v>
      </c>
      <c r="AG3942" t="s">
        <v>7760</v>
      </c>
    </row>
    <row r="3943" spans="1:33" x14ac:dyDescent="0.35">
      <c r="A3943" s="1">
        <v>44631.72152777778</v>
      </c>
      <c r="B3943">
        <v>284778</v>
      </c>
      <c r="C3943" t="s">
        <v>7807</v>
      </c>
      <c r="D3943" t="s">
        <v>7808</v>
      </c>
      <c r="E3943" s="2">
        <v>38353</v>
      </c>
      <c r="F3943" t="str">
        <f>"9781280268670"</f>
        <v>9781280268670</v>
      </c>
      <c r="G3943" t="str">
        <f>"9789289013772"</f>
        <v>9789289013772</v>
      </c>
      <c r="H3943" t="s">
        <v>525</v>
      </c>
      <c r="I3943">
        <v>362.20940000000002</v>
      </c>
      <c r="J3943" t="s">
        <v>7809</v>
      </c>
      <c r="K3943" t="s">
        <v>44</v>
      </c>
      <c r="N3943" t="s">
        <v>45</v>
      </c>
      <c r="O3943" t="s">
        <v>46</v>
      </c>
      <c r="P3943" t="s">
        <v>45</v>
      </c>
      <c r="Q3943" t="s">
        <v>47</v>
      </c>
      <c r="R3943" t="s">
        <v>44</v>
      </c>
      <c r="S3943">
        <v>0</v>
      </c>
      <c r="W3943" s="3">
        <v>4.0625000000000001E-2</v>
      </c>
      <c r="X3943" t="s">
        <v>8153</v>
      </c>
      <c r="Y3943">
        <v>9</v>
      </c>
      <c r="Z3943">
        <v>0</v>
      </c>
      <c r="AA3943" t="s">
        <v>49</v>
      </c>
      <c r="AB3943">
        <v>0</v>
      </c>
      <c r="AC3943" t="s">
        <v>49</v>
      </c>
      <c r="AD3943">
        <v>0</v>
      </c>
      <c r="AE3943">
        <v>10104339</v>
      </c>
      <c r="AF3943" t="s">
        <v>50</v>
      </c>
      <c r="AG3943" t="s">
        <v>835</v>
      </c>
    </row>
    <row r="3944" spans="1:33" x14ac:dyDescent="0.35">
      <c r="A3944" s="1">
        <v>44631.683333333334</v>
      </c>
      <c r="B3944">
        <v>423536</v>
      </c>
      <c r="C3944" t="s">
        <v>8154</v>
      </c>
      <c r="D3944" t="s">
        <v>2150</v>
      </c>
      <c r="E3944" s="2">
        <v>36892</v>
      </c>
      <c r="F3944" t="str">
        <f>"9780826116116"</f>
        <v>9780826116116</v>
      </c>
      <c r="G3944" t="str">
        <f>"9780826113795"</f>
        <v>9780826113795</v>
      </c>
      <c r="H3944" t="s">
        <v>1046</v>
      </c>
      <c r="I3944" t="s">
        <v>8155</v>
      </c>
      <c r="J3944" t="s">
        <v>8156</v>
      </c>
      <c r="K3944" t="s">
        <v>44</v>
      </c>
      <c r="N3944" t="s">
        <v>45</v>
      </c>
      <c r="O3944" t="s">
        <v>46</v>
      </c>
      <c r="P3944" t="s">
        <v>45</v>
      </c>
      <c r="Q3944" t="s">
        <v>47</v>
      </c>
      <c r="R3944" t="s">
        <v>44</v>
      </c>
      <c r="S3944">
        <v>0</v>
      </c>
      <c r="W3944" s="3">
        <v>2.0949074074074073E-3</v>
      </c>
      <c r="X3944" t="s">
        <v>8157</v>
      </c>
      <c r="Y3944">
        <v>9</v>
      </c>
      <c r="Z3944">
        <v>0</v>
      </c>
      <c r="AA3944" t="s">
        <v>49</v>
      </c>
      <c r="AB3944">
        <v>0</v>
      </c>
      <c r="AC3944" t="s">
        <v>49</v>
      </c>
      <c r="AD3944">
        <v>0</v>
      </c>
      <c r="AE3944">
        <v>10265395</v>
      </c>
      <c r="AF3944" t="s">
        <v>50</v>
      </c>
      <c r="AG3944" t="s">
        <v>7760</v>
      </c>
    </row>
    <row r="3945" spans="1:33" x14ac:dyDescent="0.35">
      <c r="A3945" s="1">
        <v>44631.680555555555</v>
      </c>
      <c r="B3945">
        <v>717462</v>
      </c>
      <c r="C3945" t="s">
        <v>8158</v>
      </c>
      <c r="D3945" t="s">
        <v>473</v>
      </c>
      <c r="E3945" s="2">
        <v>40493</v>
      </c>
      <c r="F3945" t="str">
        <f>"9789004191099"</f>
        <v>9789004191099</v>
      </c>
      <c r="G3945" t="str">
        <f>"9789004181144"</f>
        <v>9789004181144</v>
      </c>
      <c r="H3945" t="s">
        <v>1069</v>
      </c>
      <c r="I3945" t="s">
        <v>8159</v>
      </c>
      <c r="K3945" t="s">
        <v>44</v>
      </c>
      <c r="N3945" t="s">
        <v>45</v>
      </c>
      <c r="O3945" t="s">
        <v>46</v>
      </c>
      <c r="P3945" t="s">
        <v>45</v>
      </c>
      <c r="Q3945" t="s">
        <v>47</v>
      </c>
      <c r="R3945" t="s">
        <v>44</v>
      </c>
      <c r="S3945">
        <v>0</v>
      </c>
      <c r="W3945" s="3">
        <v>2.7314814814814819E-3</v>
      </c>
      <c r="X3945" t="s">
        <v>8160</v>
      </c>
      <c r="Y3945">
        <v>9</v>
      </c>
      <c r="Z3945">
        <v>0</v>
      </c>
      <c r="AA3945" t="s">
        <v>49</v>
      </c>
      <c r="AB3945">
        <v>0</v>
      </c>
      <c r="AC3945" t="s">
        <v>49</v>
      </c>
      <c r="AD3945">
        <v>0</v>
      </c>
      <c r="AE3945">
        <v>10470526</v>
      </c>
      <c r="AF3945" t="s">
        <v>50</v>
      </c>
      <c r="AG3945" t="s">
        <v>7760</v>
      </c>
    </row>
    <row r="3946" spans="1:33" x14ac:dyDescent="0.35">
      <c r="A3946" s="1">
        <v>44631.679166666669</v>
      </c>
      <c r="B3946">
        <v>1639383</v>
      </c>
      <c r="C3946" t="s">
        <v>8161</v>
      </c>
      <c r="D3946" t="s">
        <v>76</v>
      </c>
      <c r="E3946" s="2">
        <v>39183</v>
      </c>
      <c r="F3946" t="str">
        <f>"9781317724285"</f>
        <v>9781317724285</v>
      </c>
      <c r="G3946" t="str">
        <f>"9780415386739"</f>
        <v>9780415386739</v>
      </c>
      <c r="H3946" t="s">
        <v>8162</v>
      </c>
      <c r="I3946" t="s">
        <v>8163</v>
      </c>
      <c r="J3946" t="s">
        <v>8164</v>
      </c>
      <c r="K3946" t="s">
        <v>44</v>
      </c>
      <c r="N3946" t="s">
        <v>45</v>
      </c>
      <c r="O3946" t="s">
        <v>46</v>
      </c>
      <c r="P3946" t="s">
        <v>45</v>
      </c>
      <c r="Q3946" t="s">
        <v>47</v>
      </c>
      <c r="R3946" t="s">
        <v>44</v>
      </c>
      <c r="S3946">
        <v>0</v>
      </c>
      <c r="W3946" s="3">
        <v>1.3773148148148147E-3</v>
      </c>
      <c r="X3946" t="s">
        <v>8165</v>
      </c>
      <c r="Y3946">
        <v>6</v>
      </c>
      <c r="Z3946">
        <v>0</v>
      </c>
      <c r="AA3946" t="s">
        <v>49</v>
      </c>
      <c r="AB3946">
        <v>0</v>
      </c>
      <c r="AC3946" t="s">
        <v>49</v>
      </c>
      <c r="AD3946">
        <v>0</v>
      </c>
      <c r="AE3946">
        <v>10843442</v>
      </c>
      <c r="AF3946" t="s">
        <v>50</v>
      </c>
      <c r="AG3946" t="s">
        <v>7760</v>
      </c>
    </row>
    <row r="3947" spans="1:33" x14ac:dyDescent="0.35">
      <c r="A3947" s="1">
        <v>44631.678472222222</v>
      </c>
      <c r="B3947">
        <v>165267</v>
      </c>
      <c r="C3947" t="s">
        <v>8166</v>
      </c>
      <c r="D3947" t="s">
        <v>76</v>
      </c>
      <c r="E3947" s="2">
        <v>36811</v>
      </c>
      <c r="F3947" t="str">
        <f>"9780203131398"</f>
        <v>9780203131398</v>
      </c>
      <c r="G3947" t="str">
        <f>"9780415170833"</f>
        <v>9780415170833</v>
      </c>
      <c r="H3947" t="s">
        <v>1046</v>
      </c>
      <c r="I3947" t="s">
        <v>8155</v>
      </c>
      <c r="J3947" t="s">
        <v>8167</v>
      </c>
      <c r="K3947" t="s">
        <v>44</v>
      </c>
      <c r="N3947" t="s">
        <v>45</v>
      </c>
      <c r="O3947" t="s">
        <v>46</v>
      </c>
      <c r="P3947" t="s">
        <v>45</v>
      </c>
      <c r="Q3947" t="s">
        <v>47</v>
      </c>
      <c r="R3947" t="s">
        <v>44</v>
      </c>
      <c r="S3947">
        <v>0</v>
      </c>
      <c r="W3947" s="3">
        <v>8.1018518518518516E-4</v>
      </c>
      <c r="X3947" t="s">
        <v>8168</v>
      </c>
      <c r="Y3947">
        <v>6</v>
      </c>
      <c r="Z3947">
        <v>0</v>
      </c>
      <c r="AA3947" t="s">
        <v>49</v>
      </c>
      <c r="AB3947">
        <v>0</v>
      </c>
      <c r="AC3947" t="s">
        <v>49</v>
      </c>
      <c r="AD3947">
        <v>0</v>
      </c>
      <c r="AE3947">
        <v>10017823</v>
      </c>
      <c r="AF3947" t="s">
        <v>50</v>
      </c>
      <c r="AG3947" t="s">
        <v>7760</v>
      </c>
    </row>
    <row r="3948" spans="1:33" x14ac:dyDescent="0.35">
      <c r="A3948" s="1">
        <v>44631.509722222225</v>
      </c>
      <c r="B3948">
        <v>882588</v>
      </c>
      <c r="C3948" t="s">
        <v>8169</v>
      </c>
      <c r="D3948" t="s">
        <v>8170</v>
      </c>
      <c r="E3948" s="2">
        <v>40981</v>
      </c>
      <c r="F3948" t="str">
        <f>"9781137001313"</f>
        <v>9781137001313</v>
      </c>
      <c r="G3948" t="str">
        <f>"9780230220614"</f>
        <v>9780230220614</v>
      </c>
      <c r="H3948" t="s">
        <v>3234</v>
      </c>
      <c r="I3948" t="s">
        <v>5323</v>
      </c>
      <c r="J3948" t="s">
        <v>8171</v>
      </c>
      <c r="K3948" t="s">
        <v>55</v>
      </c>
      <c r="P3948" t="s">
        <v>97</v>
      </c>
      <c r="Q3948" t="s">
        <v>47</v>
      </c>
      <c r="R3948" t="s">
        <v>44</v>
      </c>
      <c r="S3948">
        <v>1</v>
      </c>
      <c r="T3948">
        <v>1</v>
      </c>
      <c r="U3948" s="1">
        <v>44631.509722222225</v>
      </c>
      <c r="V3948" s="1">
        <v>44632.509722222225</v>
      </c>
      <c r="W3948" s="3">
        <v>0</v>
      </c>
      <c r="X3948" t="s">
        <v>49</v>
      </c>
      <c r="Y3948">
        <v>0</v>
      </c>
      <c r="Z3948">
        <v>1</v>
      </c>
      <c r="AA3948" t="s">
        <v>8172</v>
      </c>
      <c r="AB3948">
        <v>34</v>
      </c>
      <c r="AC3948" t="s">
        <v>49</v>
      </c>
      <c r="AD3948">
        <v>0</v>
      </c>
      <c r="AE3948">
        <v>10546642</v>
      </c>
      <c r="AF3948" t="s">
        <v>63</v>
      </c>
      <c r="AG3948" t="s">
        <v>8173</v>
      </c>
    </row>
    <row r="3949" spans="1:33" x14ac:dyDescent="0.35">
      <c r="A3949" s="1">
        <v>44631.509027777778</v>
      </c>
      <c r="B3949">
        <v>882588</v>
      </c>
      <c r="C3949" t="s">
        <v>8169</v>
      </c>
      <c r="D3949" t="s">
        <v>8170</v>
      </c>
      <c r="E3949" s="2">
        <v>40981</v>
      </c>
      <c r="F3949" t="str">
        <f>"9781137001313"</f>
        <v>9781137001313</v>
      </c>
      <c r="G3949" t="str">
        <f>"9780230220614"</f>
        <v>9780230220614</v>
      </c>
      <c r="H3949" t="s">
        <v>3234</v>
      </c>
      <c r="I3949" t="s">
        <v>5323</v>
      </c>
      <c r="J3949" t="s">
        <v>8171</v>
      </c>
      <c r="K3949" t="s">
        <v>55</v>
      </c>
      <c r="P3949" t="s">
        <v>97</v>
      </c>
      <c r="Q3949" t="s">
        <v>47</v>
      </c>
      <c r="R3949" t="s">
        <v>44</v>
      </c>
      <c r="S3949">
        <v>0</v>
      </c>
      <c r="W3949" s="3">
        <v>2.4305555555555552E-4</v>
      </c>
      <c r="X3949" t="s">
        <v>8174</v>
      </c>
      <c r="Y3949">
        <v>5</v>
      </c>
      <c r="Z3949">
        <v>0</v>
      </c>
      <c r="AA3949" t="s">
        <v>49</v>
      </c>
      <c r="AB3949">
        <v>0</v>
      </c>
      <c r="AC3949" t="s">
        <v>49</v>
      </c>
      <c r="AD3949">
        <v>0</v>
      </c>
      <c r="AE3949">
        <v>10546642</v>
      </c>
      <c r="AF3949" t="s">
        <v>63</v>
      </c>
      <c r="AG3949" t="s">
        <v>8173</v>
      </c>
    </row>
    <row r="3950" spans="1:33" x14ac:dyDescent="0.35">
      <c r="A3950" s="1">
        <v>44631.503472222219</v>
      </c>
      <c r="B3950">
        <v>1899984</v>
      </c>
      <c r="C3950" t="s">
        <v>1907</v>
      </c>
      <c r="D3950" t="s">
        <v>76</v>
      </c>
      <c r="E3950" s="2">
        <v>39722</v>
      </c>
      <c r="F3950" t="str">
        <f>"9781317461241"</f>
        <v>9781317461241</v>
      </c>
      <c r="G3950" t="str">
        <f>"9780765622389"</f>
        <v>9780765622389</v>
      </c>
      <c r="H3950" t="s">
        <v>162</v>
      </c>
      <c r="I3950" t="s">
        <v>1908</v>
      </c>
      <c r="J3950" t="s">
        <v>1909</v>
      </c>
      <c r="K3950" t="s">
        <v>44</v>
      </c>
      <c r="N3950" t="s">
        <v>45</v>
      </c>
      <c r="O3950" t="s">
        <v>46</v>
      </c>
      <c r="P3950" t="s">
        <v>45</v>
      </c>
      <c r="Q3950" t="s">
        <v>47</v>
      </c>
      <c r="R3950" t="s">
        <v>44</v>
      </c>
      <c r="S3950">
        <v>0</v>
      </c>
      <c r="W3950" s="3">
        <v>4.6296296296296294E-5</v>
      </c>
      <c r="X3950" t="s">
        <v>113</v>
      </c>
      <c r="Y3950">
        <v>2</v>
      </c>
      <c r="Z3950">
        <v>1</v>
      </c>
      <c r="AA3950" t="s">
        <v>8175</v>
      </c>
      <c r="AB3950">
        <v>65</v>
      </c>
      <c r="AC3950" t="s">
        <v>49</v>
      </c>
      <c r="AD3950">
        <v>0</v>
      </c>
      <c r="AE3950">
        <v>10292183</v>
      </c>
      <c r="AF3950" t="s">
        <v>50</v>
      </c>
      <c r="AG3950" t="s">
        <v>7910</v>
      </c>
    </row>
    <row r="3951" spans="1:33" x14ac:dyDescent="0.35">
      <c r="A3951" s="1">
        <v>44631.453472222223</v>
      </c>
      <c r="B3951">
        <v>1899984</v>
      </c>
      <c r="C3951" t="s">
        <v>1907</v>
      </c>
      <c r="D3951" t="s">
        <v>76</v>
      </c>
      <c r="E3951" s="2">
        <v>39722</v>
      </c>
      <c r="F3951" t="str">
        <f>"9781317461241"</f>
        <v>9781317461241</v>
      </c>
      <c r="G3951" t="str">
        <f>"9780765622389"</f>
        <v>9780765622389</v>
      </c>
      <c r="H3951" t="s">
        <v>162</v>
      </c>
      <c r="I3951" t="s">
        <v>1908</v>
      </c>
      <c r="J3951" t="s">
        <v>1909</v>
      </c>
      <c r="K3951" t="s">
        <v>44</v>
      </c>
      <c r="N3951" t="s">
        <v>45</v>
      </c>
      <c r="O3951" t="s">
        <v>46</v>
      </c>
      <c r="P3951" t="s">
        <v>45</v>
      </c>
      <c r="Q3951" t="s">
        <v>47</v>
      </c>
      <c r="R3951" t="s">
        <v>44</v>
      </c>
      <c r="S3951">
        <v>0</v>
      </c>
      <c r="W3951" s="3">
        <v>2.7824074074074074E-2</v>
      </c>
      <c r="X3951" t="s">
        <v>8176</v>
      </c>
      <c r="Y3951">
        <v>38</v>
      </c>
      <c r="Z3951">
        <v>2</v>
      </c>
      <c r="AA3951" t="s">
        <v>8177</v>
      </c>
      <c r="AB3951">
        <v>12</v>
      </c>
      <c r="AC3951" t="s">
        <v>8178</v>
      </c>
      <c r="AD3951">
        <v>11</v>
      </c>
      <c r="AE3951">
        <v>10292183</v>
      </c>
      <c r="AF3951" t="s">
        <v>50</v>
      </c>
      <c r="AG3951" t="s">
        <v>7910</v>
      </c>
    </row>
    <row r="3952" spans="1:33" x14ac:dyDescent="0.35">
      <c r="A3952" s="1">
        <v>44631.433333333334</v>
      </c>
      <c r="B3952">
        <v>1562334</v>
      </c>
      <c r="C3952" t="s">
        <v>8179</v>
      </c>
      <c r="D3952" t="s">
        <v>65</v>
      </c>
      <c r="E3952" s="2">
        <v>41626</v>
      </c>
      <c r="F3952" t="str">
        <f>"9780080994222"</f>
        <v>9780080994222</v>
      </c>
      <c r="G3952" t="str">
        <f>"9780080994246"</f>
        <v>9780080994246</v>
      </c>
      <c r="H3952" t="s">
        <v>8180</v>
      </c>
      <c r="I3952">
        <v>333.79</v>
      </c>
      <c r="J3952" t="s">
        <v>8181</v>
      </c>
      <c r="K3952" t="s">
        <v>44</v>
      </c>
      <c r="N3952" t="s">
        <v>45</v>
      </c>
      <c r="O3952" t="s">
        <v>46</v>
      </c>
      <c r="P3952" t="s">
        <v>45</v>
      </c>
      <c r="Q3952" t="s">
        <v>47</v>
      </c>
      <c r="R3952" t="s">
        <v>44</v>
      </c>
      <c r="S3952">
        <v>0</v>
      </c>
      <c r="W3952" s="3">
        <v>1.082175925925926E-2</v>
      </c>
      <c r="X3952" t="s">
        <v>8182</v>
      </c>
      <c r="Y3952">
        <v>5</v>
      </c>
      <c r="Z3952">
        <v>0</v>
      </c>
      <c r="AA3952" t="s">
        <v>49</v>
      </c>
      <c r="AB3952">
        <v>0</v>
      </c>
      <c r="AC3952" t="s">
        <v>49</v>
      </c>
      <c r="AD3952">
        <v>0</v>
      </c>
      <c r="AE3952">
        <v>10808508</v>
      </c>
      <c r="AF3952" t="s">
        <v>50</v>
      </c>
      <c r="AG3952" t="s">
        <v>7760</v>
      </c>
    </row>
    <row r="3953" spans="1:33" x14ac:dyDescent="0.35">
      <c r="A3953" s="1">
        <v>44631.399305555555</v>
      </c>
      <c r="B3953">
        <v>686417</v>
      </c>
      <c r="C3953" t="s">
        <v>8183</v>
      </c>
      <c r="D3953" t="s">
        <v>53</v>
      </c>
      <c r="E3953" s="2">
        <v>36765</v>
      </c>
      <c r="F3953" t="str">
        <f>"9781400823871"</f>
        <v>9781400823871</v>
      </c>
      <c r="G3953" t="str">
        <f>"9780691050478"</f>
        <v>9780691050478</v>
      </c>
      <c r="H3953" t="s">
        <v>3234</v>
      </c>
      <c r="I3953" t="s">
        <v>8184</v>
      </c>
      <c r="J3953" t="s">
        <v>8185</v>
      </c>
      <c r="K3953" t="s">
        <v>44</v>
      </c>
      <c r="N3953" t="s">
        <v>45</v>
      </c>
      <c r="O3953" t="s">
        <v>46</v>
      </c>
      <c r="P3953" t="s">
        <v>45</v>
      </c>
      <c r="Q3953" t="s">
        <v>47</v>
      </c>
      <c r="R3953" t="s">
        <v>44</v>
      </c>
      <c r="S3953">
        <v>0</v>
      </c>
      <c r="W3953" s="3">
        <v>2.0833333333333335E-4</v>
      </c>
      <c r="X3953" t="s">
        <v>205</v>
      </c>
      <c r="Y3953">
        <v>2</v>
      </c>
      <c r="Z3953">
        <v>0</v>
      </c>
      <c r="AA3953" t="s">
        <v>49</v>
      </c>
      <c r="AB3953">
        <v>0</v>
      </c>
      <c r="AC3953" t="s">
        <v>49</v>
      </c>
      <c r="AD3953">
        <v>0</v>
      </c>
      <c r="AE3953">
        <v>10468676</v>
      </c>
      <c r="AF3953" t="s">
        <v>50</v>
      </c>
      <c r="AG3953" t="s">
        <v>7642</v>
      </c>
    </row>
    <row r="3954" spans="1:33" x14ac:dyDescent="0.35">
      <c r="A3954" s="1">
        <v>44631.397222222222</v>
      </c>
      <c r="B3954">
        <v>3386326</v>
      </c>
      <c r="C3954" t="s">
        <v>8186</v>
      </c>
      <c r="D3954" t="s">
        <v>2066</v>
      </c>
      <c r="E3954" s="2">
        <v>38706</v>
      </c>
      <c r="F3954" t="str">
        <f>"9781849644822"</f>
        <v>9781849644822</v>
      </c>
      <c r="G3954" t="str">
        <f>"9780745321325"</f>
        <v>9780745321325</v>
      </c>
      <c r="H3954" t="s">
        <v>1046</v>
      </c>
      <c r="I3954">
        <v>364.6</v>
      </c>
      <c r="J3954" t="s">
        <v>8187</v>
      </c>
      <c r="K3954" t="s">
        <v>44</v>
      </c>
      <c r="N3954" t="s">
        <v>45</v>
      </c>
      <c r="O3954" t="s">
        <v>46</v>
      </c>
      <c r="P3954" t="s">
        <v>45</v>
      </c>
      <c r="Q3954" t="s">
        <v>47</v>
      </c>
      <c r="R3954" t="s">
        <v>44</v>
      </c>
      <c r="S3954">
        <v>0</v>
      </c>
      <c r="W3954" s="3">
        <v>9.6759259259259264E-3</v>
      </c>
      <c r="X3954" t="s">
        <v>8188</v>
      </c>
      <c r="Y3954">
        <v>19</v>
      </c>
      <c r="Z3954">
        <v>0</v>
      </c>
      <c r="AA3954" t="s">
        <v>49</v>
      </c>
      <c r="AB3954">
        <v>0</v>
      </c>
      <c r="AC3954" t="s">
        <v>49</v>
      </c>
      <c r="AD3954">
        <v>0</v>
      </c>
      <c r="AE3954">
        <v>10479856</v>
      </c>
      <c r="AF3954" t="s">
        <v>50</v>
      </c>
      <c r="AG3954" t="s">
        <v>7760</v>
      </c>
    </row>
    <row r="3955" spans="1:33" x14ac:dyDescent="0.35">
      <c r="A3955" s="1">
        <v>44631.387499999997</v>
      </c>
      <c r="B3955">
        <v>1693771</v>
      </c>
      <c r="C3955" t="s">
        <v>8029</v>
      </c>
      <c r="D3955" t="s">
        <v>473</v>
      </c>
      <c r="E3955" s="2">
        <v>41767</v>
      </c>
      <c r="F3955" t="str">
        <f>"9789004271708"</f>
        <v>9789004271708</v>
      </c>
      <c r="G3955" t="str">
        <f>"9789004271692"</f>
        <v>9789004271692</v>
      </c>
      <c r="H3955" t="s">
        <v>712</v>
      </c>
      <c r="I3955" t="s">
        <v>8030</v>
      </c>
      <c r="J3955" t="s">
        <v>8031</v>
      </c>
      <c r="K3955" t="s">
        <v>44</v>
      </c>
      <c r="N3955" t="s">
        <v>45</v>
      </c>
      <c r="O3955" t="s">
        <v>46</v>
      </c>
      <c r="P3955" t="s">
        <v>45</v>
      </c>
      <c r="Q3955" t="s">
        <v>47</v>
      </c>
      <c r="R3955" t="s">
        <v>44</v>
      </c>
      <c r="S3955">
        <v>0</v>
      </c>
      <c r="W3955" s="3">
        <v>9.0277777777777787E-3</v>
      </c>
      <c r="X3955" t="s">
        <v>8189</v>
      </c>
      <c r="Y3955">
        <v>17</v>
      </c>
      <c r="Z3955">
        <v>0</v>
      </c>
      <c r="AA3955" t="s">
        <v>49</v>
      </c>
      <c r="AB3955">
        <v>0</v>
      </c>
      <c r="AC3955" t="s">
        <v>49</v>
      </c>
      <c r="AD3955">
        <v>0</v>
      </c>
      <c r="AE3955">
        <v>10873748</v>
      </c>
      <c r="AF3955" t="s">
        <v>50</v>
      </c>
      <c r="AG3955" t="s">
        <v>7760</v>
      </c>
    </row>
    <row r="3956" spans="1:33" x14ac:dyDescent="0.35">
      <c r="A3956" s="1">
        <v>44631.372916666667</v>
      </c>
      <c r="B3956">
        <v>3420805</v>
      </c>
      <c r="C3956" t="s">
        <v>8190</v>
      </c>
      <c r="D3956" t="s">
        <v>347</v>
      </c>
      <c r="E3956" s="2">
        <v>40995</v>
      </c>
      <c r="F3956" t="str">
        <f>"9780300178067"</f>
        <v>9780300178067</v>
      </c>
      <c r="G3956" t="str">
        <f>"9780300113150"</f>
        <v>9780300113150</v>
      </c>
      <c r="H3956" t="s">
        <v>1046</v>
      </c>
      <c r="I3956">
        <v>306.36209000000002</v>
      </c>
      <c r="J3956" t="s">
        <v>8191</v>
      </c>
      <c r="K3956" t="s">
        <v>44</v>
      </c>
      <c r="N3956" t="s">
        <v>45</v>
      </c>
      <c r="O3956" t="s">
        <v>46</v>
      </c>
      <c r="P3956" t="s">
        <v>45</v>
      </c>
      <c r="Q3956" t="s">
        <v>47</v>
      </c>
      <c r="R3956" t="s">
        <v>44</v>
      </c>
      <c r="S3956">
        <v>0</v>
      </c>
      <c r="W3956" s="3">
        <v>6.9097222222222225E-3</v>
      </c>
      <c r="X3956" t="s">
        <v>8192</v>
      </c>
      <c r="Y3956">
        <v>12</v>
      </c>
      <c r="Z3956">
        <v>0</v>
      </c>
      <c r="AA3956" t="s">
        <v>49</v>
      </c>
      <c r="AB3956">
        <v>0</v>
      </c>
      <c r="AC3956" t="s">
        <v>49</v>
      </c>
      <c r="AD3956">
        <v>0</v>
      </c>
      <c r="AE3956">
        <v>10546764</v>
      </c>
      <c r="AF3956" t="s">
        <v>50</v>
      </c>
      <c r="AG3956" t="s">
        <v>7642</v>
      </c>
    </row>
    <row r="3957" spans="1:33" x14ac:dyDescent="0.35">
      <c r="A3957" s="1">
        <v>44631.372916666667</v>
      </c>
      <c r="B3957">
        <v>614685</v>
      </c>
      <c r="C3957" t="s">
        <v>8193</v>
      </c>
      <c r="D3957" t="s">
        <v>76</v>
      </c>
      <c r="E3957" s="2">
        <v>40513</v>
      </c>
      <c r="F3957" t="str">
        <f>"9780203840573"</f>
        <v>9780203840573</v>
      </c>
      <c r="G3957" t="str">
        <f>"9780415466899"</f>
        <v>9780415466899</v>
      </c>
      <c r="H3957" t="s">
        <v>1046</v>
      </c>
      <c r="I3957">
        <v>306.36209000000002</v>
      </c>
      <c r="J3957" t="s">
        <v>8194</v>
      </c>
      <c r="K3957" t="s">
        <v>44</v>
      </c>
      <c r="N3957" t="s">
        <v>45</v>
      </c>
      <c r="O3957" t="s">
        <v>46</v>
      </c>
      <c r="P3957" t="s">
        <v>45</v>
      </c>
      <c r="Q3957" t="s">
        <v>47</v>
      </c>
      <c r="R3957" t="s">
        <v>44</v>
      </c>
      <c r="S3957">
        <v>0</v>
      </c>
      <c r="W3957" s="3">
        <v>0</v>
      </c>
      <c r="X3957" t="s">
        <v>49</v>
      </c>
      <c r="Y3957">
        <v>0</v>
      </c>
      <c r="Z3957">
        <v>0</v>
      </c>
      <c r="AA3957" t="s">
        <v>49</v>
      </c>
      <c r="AB3957">
        <v>0</v>
      </c>
      <c r="AC3957" t="s">
        <v>49</v>
      </c>
      <c r="AD3957">
        <v>0</v>
      </c>
      <c r="AE3957">
        <v>10446814</v>
      </c>
      <c r="AF3957" t="s">
        <v>50</v>
      </c>
      <c r="AG3957" t="s">
        <v>7642</v>
      </c>
    </row>
    <row r="3958" spans="1:33" x14ac:dyDescent="0.35">
      <c r="A3958" s="1">
        <v>44631.347222222219</v>
      </c>
      <c r="B3958">
        <v>415486</v>
      </c>
      <c r="C3958" t="s">
        <v>8195</v>
      </c>
      <c r="D3958" t="s">
        <v>125</v>
      </c>
      <c r="E3958" s="2">
        <v>39534</v>
      </c>
      <c r="F3958" t="str">
        <f>"9780191526862"</f>
        <v>9780191526862</v>
      </c>
      <c r="G3958" t="str">
        <f>"9780199214969"</f>
        <v>9780199214969</v>
      </c>
      <c r="H3958" t="s">
        <v>712</v>
      </c>
      <c r="I3958" t="s">
        <v>8196</v>
      </c>
      <c r="J3958" t="s">
        <v>8197</v>
      </c>
      <c r="K3958" t="s">
        <v>44</v>
      </c>
      <c r="N3958" t="s">
        <v>45</v>
      </c>
      <c r="O3958" t="s">
        <v>46</v>
      </c>
      <c r="P3958" t="s">
        <v>45</v>
      </c>
      <c r="Q3958" t="s">
        <v>47</v>
      </c>
      <c r="R3958" t="s">
        <v>44</v>
      </c>
      <c r="S3958">
        <v>0</v>
      </c>
      <c r="W3958" s="3">
        <v>1.136574074074074E-2</v>
      </c>
      <c r="X3958" t="s">
        <v>8198</v>
      </c>
      <c r="Y3958">
        <v>21</v>
      </c>
      <c r="Z3958">
        <v>0</v>
      </c>
      <c r="AA3958" t="s">
        <v>49</v>
      </c>
      <c r="AB3958">
        <v>0</v>
      </c>
      <c r="AC3958" t="s">
        <v>49</v>
      </c>
      <c r="AD3958">
        <v>0</v>
      </c>
      <c r="AE3958">
        <v>10229930</v>
      </c>
      <c r="AF3958" t="s">
        <v>50</v>
      </c>
      <c r="AG3958" t="s">
        <v>7760</v>
      </c>
    </row>
    <row r="3959" spans="1:33" x14ac:dyDescent="0.35">
      <c r="A3959" s="1">
        <v>44631.34652777778</v>
      </c>
      <c r="B3959">
        <v>1732141</v>
      </c>
      <c r="C3959" t="s">
        <v>8199</v>
      </c>
      <c r="D3959" t="s">
        <v>125</v>
      </c>
      <c r="E3959" s="2">
        <v>41883</v>
      </c>
      <c r="F3959" t="str">
        <f>"9780199341702"</f>
        <v>9780199341702</v>
      </c>
      <c r="G3959" t="str">
        <f>"9780199341696"</f>
        <v>9780199341696</v>
      </c>
      <c r="H3959" t="s">
        <v>712</v>
      </c>
      <c r="I3959">
        <v>349.73</v>
      </c>
      <c r="J3959" t="s">
        <v>8200</v>
      </c>
      <c r="K3959" t="s">
        <v>44</v>
      </c>
      <c r="N3959" t="s">
        <v>45</v>
      </c>
      <c r="O3959" t="s">
        <v>46</v>
      </c>
      <c r="P3959" t="s">
        <v>45</v>
      </c>
      <c r="Q3959" t="s">
        <v>47</v>
      </c>
      <c r="R3959" t="s">
        <v>44</v>
      </c>
      <c r="S3959">
        <v>0</v>
      </c>
      <c r="W3959" s="3">
        <v>1.1574074074074073E-4</v>
      </c>
      <c r="X3959" t="s">
        <v>8201</v>
      </c>
      <c r="Y3959">
        <v>4</v>
      </c>
      <c r="Z3959">
        <v>0</v>
      </c>
      <c r="AA3959" t="s">
        <v>49</v>
      </c>
      <c r="AB3959">
        <v>0</v>
      </c>
      <c r="AC3959" t="s">
        <v>49</v>
      </c>
      <c r="AD3959">
        <v>0</v>
      </c>
      <c r="AE3959">
        <v>10888674</v>
      </c>
      <c r="AF3959" t="s">
        <v>50</v>
      </c>
      <c r="AG3959" t="s">
        <v>7760</v>
      </c>
    </row>
    <row r="3960" spans="1:33" x14ac:dyDescent="0.35">
      <c r="A3960" s="1">
        <v>44631.34375</v>
      </c>
      <c r="B3960">
        <v>1024675</v>
      </c>
      <c r="C3960" t="s">
        <v>8036</v>
      </c>
      <c r="D3960" t="s">
        <v>76</v>
      </c>
      <c r="E3960" s="2">
        <v>40750</v>
      </c>
      <c r="F3960" t="str">
        <f>"9780203810415"</f>
        <v>9780203810415</v>
      </c>
      <c r="G3960" t="str">
        <f>"9780415568050"</f>
        <v>9780415568050</v>
      </c>
      <c r="H3960" t="s">
        <v>712</v>
      </c>
      <c r="I3960">
        <v>349.42</v>
      </c>
      <c r="J3960" t="s">
        <v>8037</v>
      </c>
      <c r="K3960" t="s">
        <v>44</v>
      </c>
      <c r="N3960" t="s">
        <v>45</v>
      </c>
      <c r="O3960" t="s">
        <v>46</v>
      </c>
      <c r="P3960" t="s">
        <v>45</v>
      </c>
      <c r="Q3960" t="s">
        <v>47</v>
      </c>
      <c r="R3960" t="s">
        <v>44</v>
      </c>
      <c r="S3960">
        <v>0</v>
      </c>
      <c r="W3960" s="3">
        <v>4.3159722222222224E-2</v>
      </c>
      <c r="X3960" t="s">
        <v>8202</v>
      </c>
      <c r="Y3960">
        <v>43</v>
      </c>
      <c r="Z3960">
        <v>0</v>
      </c>
      <c r="AA3960" t="s">
        <v>49</v>
      </c>
      <c r="AB3960">
        <v>0</v>
      </c>
      <c r="AC3960" t="s">
        <v>49</v>
      </c>
      <c r="AD3960">
        <v>0</v>
      </c>
      <c r="AE3960">
        <v>10603877</v>
      </c>
      <c r="AF3960" t="s">
        <v>50</v>
      </c>
      <c r="AG3960" t="s">
        <v>7760</v>
      </c>
    </row>
    <row r="3961" spans="1:33" x14ac:dyDescent="0.35">
      <c r="A3961" s="1">
        <v>44630.955555555556</v>
      </c>
      <c r="B3961">
        <v>4644607</v>
      </c>
      <c r="C3961" t="s">
        <v>7602</v>
      </c>
      <c r="D3961" t="s">
        <v>115</v>
      </c>
      <c r="E3961" s="2">
        <v>42576</v>
      </c>
      <c r="F3961" t="str">
        <f>"9783110458114"</f>
        <v>9783110458114</v>
      </c>
      <c r="G3961" t="str">
        <f>"9783110455328"</f>
        <v>9783110455328</v>
      </c>
      <c r="H3961" t="s">
        <v>1069</v>
      </c>
      <c r="I3961">
        <v>833.91200000000003</v>
      </c>
      <c r="J3961" t="s">
        <v>7603</v>
      </c>
      <c r="K3961" t="s">
        <v>44</v>
      </c>
      <c r="N3961" t="s">
        <v>45</v>
      </c>
      <c r="O3961" t="s">
        <v>46</v>
      </c>
      <c r="P3961" t="s">
        <v>45</v>
      </c>
      <c r="Q3961" t="s">
        <v>47</v>
      </c>
      <c r="R3961" t="s">
        <v>44</v>
      </c>
      <c r="S3961">
        <v>0</v>
      </c>
      <c r="W3961" s="3">
        <v>7.4768518518518526E-3</v>
      </c>
      <c r="X3961" t="s">
        <v>8203</v>
      </c>
      <c r="Y3961">
        <v>11</v>
      </c>
      <c r="Z3961">
        <v>0</v>
      </c>
      <c r="AA3961" t="s">
        <v>49</v>
      </c>
      <c r="AB3961">
        <v>0</v>
      </c>
      <c r="AC3961" t="s">
        <v>8204</v>
      </c>
      <c r="AD3961">
        <v>1</v>
      </c>
      <c r="AE3961">
        <v>11247851</v>
      </c>
      <c r="AF3961" t="s">
        <v>50</v>
      </c>
      <c r="AG3961" t="s">
        <v>7642</v>
      </c>
    </row>
    <row r="3962" spans="1:33" x14ac:dyDescent="0.35">
      <c r="A3962" s="1">
        <v>44630.930555555555</v>
      </c>
      <c r="B3962">
        <v>6269585</v>
      </c>
      <c r="C3962" t="s">
        <v>8205</v>
      </c>
      <c r="D3962" t="s">
        <v>7257</v>
      </c>
      <c r="E3962" s="2">
        <v>44167</v>
      </c>
      <c r="F3962" t="str">
        <f>"9781789142594"</f>
        <v>9781789142594</v>
      </c>
      <c r="G3962" t="str">
        <f>"9781789142204"</f>
        <v>9781789142204</v>
      </c>
      <c r="H3962" t="s">
        <v>404</v>
      </c>
      <c r="I3962">
        <v>523.42999999999995</v>
      </c>
      <c r="K3962" t="s">
        <v>55</v>
      </c>
      <c r="Q3962" t="s">
        <v>47</v>
      </c>
      <c r="R3962" t="s">
        <v>44</v>
      </c>
      <c r="S3962">
        <v>0</v>
      </c>
      <c r="W3962" s="3">
        <v>6.9444444444444444E-5</v>
      </c>
      <c r="X3962" t="s">
        <v>5265</v>
      </c>
      <c r="Y3962">
        <v>1</v>
      </c>
      <c r="Z3962">
        <v>0</v>
      </c>
      <c r="AA3962" t="s">
        <v>49</v>
      </c>
      <c r="AB3962">
        <v>0</v>
      </c>
      <c r="AC3962" t="s">
        <v>49</v>
      </c>
      <c r="AD3962">
        <v>0</v>
      </c>
      <c r="AE3962">
        <v>-1</v>
      </c>
      <c r="AF3962" t="s">
        <v>50</v>
      </c>
      <c r="AG3962" t="s">
        <v>7642</v>
      </c>
    </row>
    <row r="3963" spans="1:33" x14ac:dyDescent="0.35">
      <c r="A3963" s="1">
        <v>44630.89166666667</v>
      </c>
      <c r="B3963">
        <v>4755328</v>
      </c>
      <c r="C3963" t="s">
        <v>8206</v>
      </c>
      <c r="D3963" t="s">
        <v>76</v>
      </c>
      <c r="E3963" s="2">
        <v>38014</v>
      </c>
      <c r="F3963" t="str">
        <f>"9781351889551"</f>
        <v>9781351889551</v>
      </c>
      <c r="G3963" t="str">
        <f>"9780860787143"</f>
        <v>9780860787143</v>
      </c>
      <c r="H3963" t="s">
        <v>712</v>
      </c>
      <c r="I3963" t="s">
        <v>1490</v>
      </c>
      <c r="J3963" t="s">
        <v>8207</v>
      </c>
      <c r="K3963" t="s">
        <v>44</v>
      </c>
      <c r="N3963" t="s">
        <v>45</v>
      </c>
      <c r="O3963" t="s">
        <v>46</v>
      </c>
      <c r="P3963" t="s">
        <v>45</v>
      </c>
      <c r="Q3963" t="s">
        <v>47</v>
      </c>
      <c r="R3963" t="s">
        <v>44</v>
      </c>
      <c r="S3963">
        <v>0</v>
      </c>
      <c r="W3963" s="3">
        <v>1.9201388888888889E-2</v>
      </c>
      <c r="X3963" t="s">
        <v>8208</v>
      </c>
      <c r="Y3963">
        <v>11</v>
      </c>
      <c r="Z3963">
        <v>0</v>
      </c>
      <c r="AA3963" t="s">
        <v>49</v>
      </c>
      <c r="AB3963">
        <v>0</v>
      </c>
      <c r="AC3963" t="s">
        <v>49</v>
      </c>
      <c r="AD3963">
        <v>0</v>
      </c>
      <c r="AE3963">
        <v>11309413</v>
      </c>
      <c r="AF3963" t="s">
        <v>50</v>
      </c>
      <c r="AG3963" t="s">
        <v>7760</v>
      </c>
    </row>
    <row r="3964" spans="1:33" x14ac:dyDescent="0.35">
      <c r="A3964" s="1">
        <v>44630.856249999997</v>
      </c>
      <c r="B3964">
        <v>501314</v>
      </c>
      <c r="C3964" t="s">
        <v>8209</v>
      </c>
      <c r="D3964" t="s">
        <v>502</v>
      </c>
      <c r="E3964" s="2">
        <v>40259</v>
      </c>
      <c r="F3964" t="str">
        <f>"9780511682261"</f>
        <v>9780511682261</v>
      </c>
      <c r="G3964" t="str">
        <f>"9780521110808"</f>
        <v>9780521110808</v>
      </c>
      <c r="H3964" t="s">
        <v>712</v>
      </c>
      <c r="I3964" t="s">
        <v>1490</v>
      </c>
      <c r="J3964" t="s">
        <v>8210</v>
      </c>
      <c r="K3964" t="s">
        <v>44</v>
      </c>
      <c r="N3964" t="s">
        <v>45</v>
      </c>
      <c r="O3964" t="s">
        <v>46</v>
      </c>
      <c r="P3964" t="s">
        <v>45</v>
      </c>
      <c r="Q3964" t="s">
        <v>47</v>
      </c>
      <c r="R3964" t="s">
        <v>44</v>
      </c>
      <c r="S3964">
        <v>0</v>
      </c>
      <c r="W3964" s="3">
        <v>5.3240740740740744E-4</v>
      </c>
      <c r="X3964" t="s">
        <v>8211</v>
      </c>
      <c r="Y3964">
        <v>8</v>
      </c>
      <c r="Z3964">
        <v>0</v>
      </c>
      <c r="AA3964" t="s">
        <v>49</v>
      </c>
      <c r="AB3964">
        <v>0</v>
      </c>
      <c r="AC3964" t="s">
        <v>49</v>
      </c>
      <c r="AD3964">
        <v>0</v>
      </c>
      <c r="AE3964">
        <v>10386980</v>
      </c>
      <c r="AF3964" t="s">
        <v>50</v>
      </c>
      <c r="AG3964" t="s">
        <v>7760</v>
      </c>
    </row>
    <row r="3965" spans="1:33" x14ac:dyDescent="0.35">
      <c r="A3965" s="1">
        <v>44630.852777777778</v>
      </c>
      <c r="B3965">
        <v>1936135</v>
      </c>
      <c r="C3965" t="s">
        <v>8212</v>
      </c>
      <c r="D3965" t="s">
        <v>473</v>
      </c>
      <c r="E3965" s="2">
        <v>41996</v>
      </c>
      <c r="F3965" t="str">
        <f>"9789004281806"</f>
        <v>9789004281806</v>
      </c>
      <c r="G3965" t="str">
        <f>"9789004277434"</f>
        <v>9789004277434</v>
      </c>
      <c r="H3965" t="s">
        <v>712</v>
      </c>
      <c r="I3965" t="s">
        <v>1490</v>
      </c>
      <c r="J3965" t="s">
        <v>8213</v>
      </c>
      <c r="K3965" t="s">
        <v>44</v>
      </c>
      <c r="N3965" t="s">
        <v>45</v>
      </c>
      <c r="O3965" t="s">
        <v>46</v>
      </c>
      <c r="P3965" t="s">
        <v>45</v>
      </c>
      <c r="Q3965" t="s">
        <v>47</v>
      </c>
      <c r="R3965" t="s">
        <v>44</v>
      </c>
      <c r="S3965">
        <v>0</v>
      </c>
      <c r="W3965" s="3">
        <v>6.2268518518518515E-3</v>
      </c>
      <c r="X3965" t="s">
        <v>8214</v>
      </c>
      <c r="Y3965">
        <v>15</v>
      </c>
      <c r="Z3965">
        <v>0</v>
      </c>
      <c r="AA3965" t="s">
        <v>49</v>
      </c>
      <c r="AB3965">
        <v>0</v>
      </c>
      <c r="AC3965" t="s">
        <v>49</v>
      </c>
      <c r="AD3965">
        <v>0</v>
      </c>
      <c r="AE3965">
        <v>11014919</v>
      </c>
      <c r="AF3965" t="s">
        <v>50</v>
      </c>
      <c r="AG3965" t="s">
        <v>7760</v>
      </c>
    </row>
    <row r="3966" spans="1:33" x14ac:dyDescent="0.35">
      <c r="A3966" s="1">
        <v>44630.852083333331</v>
      </c>
      <c r="B3966">
        <v>4755328</v>
      </c>
      <c r="C3966" t="s">
        <v>8206</v>
      </c>
      <c r="D3966" t="s">
        <v>76</v>
      </c>
      <c r="E3966" s="2">
        <v>38014</v>
      </c>
      <c r="F3966" t="str">
        <f>"9781351889551"</f>
        <v>9781351889551</v>
      </c>
      <c r="G3966" t="str">
        <f>"9780860787143"</f>
        <v>9780860787143</v>
      </c>
      <c r="H3966" t="s">
        <v>712</v>
      </c>
      <c r="I3966" t="s">
        <v>1490</v>
      </c>
      <c r="J3966" t="s">
        <v>8207</v>
      </c>
      <c r="K3966" t="s">
        <v>44</v>
      </c>
      <c r="N3966" t="s">
        <v>45</v>
      </c>
      <c r="O3966" t="s">
        <v>46</v>
      </c>
      <c r="P3966" t="s">
        <v>45</v>
      </c>
      <c r="Q3966" t="s">
        <v>47</v>
      </c>
      <c r="R3966" t="s">
        <v>44</v>
      </c>
      <c r="S3966">
        <v>0</v>
      </c>
      <c r="W3966" s="3">
        <v>1.4583333333333334E-3</v>
      </c>
      <c r="X3966" t="s">
        <v>8215</v>
      </c>
      <c r="Y3966">
        <v>2</v>
      </c>
      <c r="Z3966">
        <v>0</v>
      </c>
      <c r="AA3966" t="s">
        <v>49</v>
      </c>
      <c r="AB3966">
        <v>0</v>
      </c>
      <c r="AC3966" t="s">
        <v>49</v>
      </c>
      <c r="AD3966">
        <v>0</v>
      </c>
      <c r="AE3966">
        <v>11309413</v>
      </c>
      <c r="AF3966" t="s">
        <v>50</v>
      </c>
      <c r="AG3966" t="s">
        <v>7760</v>
      </c>
    </row>
    <row r="3967" spans="1:33" x14ac:dyDescent="0.35">
      <c r="A3967" s="1">
        <v>44630.847916666666</v>
      </c>
      <c r="B3967">
        <v>1209554</v>
      </c>
      <c r="C3967" t="s">
        <v>6919</v>
      </c>
      <c r="D3967" t="s">
        <v>76</v>
      </c>
      <c r="E3967" s="2">
        <v>41425</v>
      </c>
      <c r="F3967" t="str">
        <f>"9781134609987"</f>
        <v>9781134609987</v>
      </c>
      <c r="G3967" t="str">
        <f>"9780415830812"</f>
        <v>9780415830812</v>
      </c>
      <c r="H3967" t="s">
        <v>712</v>
      </c>
      <c r="I3967">
        <v>340.59</v>
      </c>
      <c r="J3967" t="s">
        <v>6920</v>
      </c>
      <c r="K3967" t="s">
        <v>44</v>
      </c>
      <c r="N3967" t="s">
        <v>45</v>
      </c>
      <c r="O3967" t="s">
        <v>46</v>
      </c>
      <c r="P3967" t="s">
        <v>45</v>
      </c>
      <c r="Q3967" t="s">
        <v>47</v>
      </c>
      <c r="R3967" t="s">
        <v>44</v>
      </c>
      <c r="S3967">
        <v>0</v>
      </c>
      <c r="W3967" s="3">
        <v>7.407407407407407E-4</v>
      </c>
      <c r="X3967" t="s">
        <v>8216</v>
      </c>
      <c r="Y3967">
        <v>6</v>
      </c>
      <c r="Z3967">
        <v>0</v>
      </c>
      <c r="AA3967" t="s">
        <v>49</v>
      </c>
      <c r="AB3967">
        <v>0</v>
      </c>
      <c r="AC3967" t="s">
        <v>49</v>
      </c>
      <c r="AD3967">
        <v>0</v>
      </c>
      <c r="AE3967">
        <v>10716357</v>
      </c>
      <c r="AF3967" t="s">
        <v>50</v>
      </c>
      <c r="AG3967" t="s">
        <v>7760</v>
      </c>
    </row>
    <row r="3968" spans="1:33" x14ac:dyDescent="0.35">
      <c r="A3968" s="1">
        <v>44630.845833333333</v>
      </c>
      <c r="B3968">
        <v>3443314</v>
      </c>
      <c r="C3968" t="s">
        <v>8217</v>
      </c>
      <c r="D3968" t="s">
        <v>2871</v>
      </c>
      <c r="E3968" s="2">
        <v>38899</v>
      </c>
      <c r="F3968" t="str">
        <f>"9780292795778"</f>
        <v>9780292795778</v>
      </c>
      <c r="G3968" t="str">
        <f>"9780292712737"</f>
        <v>9780292712737</v>
      </c>
      <c r="H3968" t="s">
        <v>162</v>
      </c>
      <c r="I3968" t="s">
        <v>8218</v>
      </c>
      <c r="J3968" t="s">
        <v>8219</v>
      </c>
      <c r="K3968" t="s">
        <v>44</v>
      </c>
      <c r="N3968" t="s">
        <v>45</v>
      </c>
      <c r="O3968" t="s">
        <v>46</v>
      </c>
      <c r="P3968" t="s">
        <v>45</v>
      </c>
      <c r="Q3968" t="s">
        <v>47</v>
      </c>
      <c r="R3968" t="s">
        <v>44</v>
      </c>
      <c r="S3968">
        <v>0</v>
      </c>
      <c r="W3968" s="3">
        <v>6.2731481481481484E-3</v>
      </c>
      <c r="X3968" t="s">
        <v>8220</v>
      </c>
      <c r="Y3968">
        <v>6</v>
      </c>
      <c r="Z3968">
        <v>1</v>
      </c>
      <c r="AA3968" t="s">
        <v>942</v>
      </c>
      <c r="AB3968">
        <v>5</v>
      </c>
      <c r="AC3968" t="s">
        <v>49</v>
      </c>
      <c r="AD3968">
        <v>0</v>
      </c>
      <c r="AE3968">
        <v>10245802</v>
      </c>
      <c r="AF3968" t="s">
        <v>50</v>
      </c>
      <c r="AG3968" t="s">
        <v>8221</v>
      </c>
    </row>
    <row r="3969" spans="1:33" x14ac:dyDescent="0.35">
      <c r="A3969" s="1">
        <v>44630.844444444447</v>
      </c>
      <c r="B3969">
        <v>3440575</v>
      </c>
      <c r="C3969" t="s">
        <v>8222</v>
      </c>
      <c r="D3969" t="s">
        <v>2817</v>
      </c>
      <c r="E3969" s="2">
        <v>42121</v>
      </c>
      <c r="F3969" t="str">
        <f>"9780815653196"</f>
        <v>9780815653196</v>
      </c>
      <c r="G3969" t="str">
        <f>"9780815633945"</f>
        <v>9780815633945</v>
      </c>
      <c r="H3969" t="s">
        <v>712</v>
      </c>
      <c r="I3969" t="s">
        <v>8223</v>
      </c>
      <c r="J3969" t="s">
        <v>8224</v>
      </c>
      <c r="K3969" t="s">
        <v>44</v>
      </c>
      <c r="N3969" t="s">
        <v>45</v>
      </c>
      <c r="O3969" t="s">
        <v>46</v>
      </c>
      <c r="P3969" t="s">
        <v>45</v>
      </c>
      <c r="Q3969" t="s">
        <v>47</v>
      </c>
      <c r="R3969" t="s">
        <v>44</v>
      </c>
      <c r="S3969">
        <v>0</v>
      </c>
      <c r="W3969" s="3">
        <v>1.2384259259259258E-3</v>
      </c>
      <c r="X3969" t="s">
        <v>8225</v>
      </c>
      <c r="Y3969">
        <v>12</v>
      </c>
      <c r="Z3969">
        <v>0</v>
      </c>
      <c r="AA3969" t="s">
        <v>49</v>
      </c>
      <c r="AB3969">
        <v>0</v>
      </c>
      <c r="AC3969" t="s">
        <v>49</v>
      </c>
      <c r="AD3969">
        <v>0</v>
      </c>
      <c r="AE3969">
        <v>11070662</v>
      </c>
      <c r="AF3969" t="s">
        <v>50</v>
      </c>
      <c r="AG3969" t="s">
        <v>7760</v>
      </c>
    </row>
    <row r="3970" spans="1:33" x14ac:dyDescent="0.35">
      <c r="A3970" s="1">
        <v>44630.821527777778</v>
      </c>
      <c r="B3970">
        <v>1139723</v>
      </c>
      <c r="C3970" t="s">
        <v>8226</v>
      </c>
      <c r="D3970" t="s">
        <v>502</v>
      </c>
      <c r="E3970" s="2">
        <v>41492</v>
      </c>
      <c r="F3970" t="str">
        <f>"9781107348257"</f>
        <v>9781107348257</v>
      </c>
      <c r="G3970" t="str">
        <f>"9781107031586"</f>
        <v>9781107031586</v>
      </c>
      <c r="H3970" t="s">
        <v>162</v>
      </c>
      <c r="I3970">
        <v>297.08199999999999</v>
      </c>
      <c r="J3970" t="s">
        <v>8227</v>
      </c>
      <c r="K3970" t="s">
        <v>44</v>
      </c>
      <c r="N3970" t="s">
        <v>45</v>
      </c>
      <c r="O3970" t="s">
        <v>46</v>
      </c>
      <c r="P3970" t="s">
        <v>45</v>
      </c>
      <c r="Q3970" t="s">
        <v>47</v>
      </c>
      <c r="R3970" t="s">
        <v>44</v>
      </c>
      <c r="S3970">
        <v>0</v>
      </c>
      <c r="W3970" s="3">
        <v>1.1921296296296296E-3</v>
      </c>
      <c r="X3970" t="s">
        <v>1346</v>
      </c>
      <c r="Y3970">
        <v>4</v>
      </c>
      <c r="Z3970">
        <v>0</v>
      </c>
      <c r="AA3970" t="s">
        <v>49</v>
      </c>
      <c r="AB3970">
        <v>0</v>
      </c>
      <c r="AC3970" t="s">
        <v>49</v>
      </c>
      <c r="AD3970">
        <v>0</v>
      </c>
      <c r="AE3970">
        <v>10729892</v>
      </c>
      <c r="AF3970" t="s">
        <v>50</v>
      </c>
      <c r="AG3970" t="s">
        <v>7760</v>
      </c>
    </row>
    <row r="3971" spans="1:33" x14ac:dyDescent="0.35">
      <c r="A3971" s="1">
        <v>44630.743750000001</v>
      </c>
      <c r="B3971">
        <v>3440575</v>
      </c>
      <c r="C3971" t="s">
        <v>8222</v>
      </c>
      <c r="D3971" t="s">
        <v>2817</v>
      </c>
      <c r="E3971" s="2">
        <v>42121</v>
      </c>
      <c r="F3971" t="str">
        <f>"9780815653196"</f>
        <v>9780815653196</v>
      </c>
      <c r="G3971" t="str">
        <f>"9780815633945"</f>
        <v>9780815633945</v>
      </c>
      <c r="H3971" t="s">
        <v>712</v>
      </c>
      <c r="I3971" t="s">
        <v>8223</v>
      </c>
      <c r="J3971" t="s">
        <v>8224</v>
      </c>
      <c r="K3971" t="s">
        <v>44</v>
      </c>
      <c r="N3971" t="s">
        <v>45</v>
      </c>
      <c r="O3971" t="s">
        <v>46</v>
      </c>
      <c r="P3971" t="s">
        <v>45</v>
      </c>
      <c r="Q3971" t="s">
        <v>47</v>
      </c>
      <c r="R3971" t="s">
        <v>44</v>
      </c>
      <c r="S3971">
        <v>0</v>
      </c>
      <c r="W3971" s="3">
        <v>7.3495370370370372E-3</v>
      </c>
      <c r="X3971" t="s">
        <v>8228</v>
      </c>
      <c r="Y3971">
        <v>61</v>
      </c>
      <c r="Z3971">
        <v>0</v>
      </c>
      <c r="AA3971" t="s">
        <v>49</v>
      </c>
      <c r="AB3971">
        <v>0</v>
      </c>
      <c r="AC3971" t="s">
        <v>49</v>
      </c>
      <c r="AD3971">
        <v>0</v>
      </c>
      <c r="AE3971">
        <v>11070662</v>
      </c>
      <c r="AF3971" t="s">
        <v>50</v>
      </c>
      <c r="AG3971" t="s">
        <v>7760</v>
      </c>
    </row>
    <row r="3972" spans="1:33" x14ac:dyDescent="0.35">
      <c r="A3972" s="1">
        <v>44630.713194444441</v>
      </c>
      <c r="B3972">
        <v>1633675</v>
      </c>
      <c r="C3972" t="s">
        <v>8229</v>
      </c>
      <c r="D3972" t="s">
        <v>76</v>
      </c>
      <c r="E3972" s="2">
        <v>41201</v>
      </c>
      <c r="F3972" t="str">
        <f>"9781466510685"</f>
        <v>9781466510685</v>
      </c>
      <c r="G3972" t="str">
        <f>"9781466510678"</f>
        <v>9781466510678</v>
      </c>
      <c r="H3972" t="s">
        <v>585</v>
      </c>
      <c r="I3972">
        <v>536.70000000000005</v>
      </c>
      <c r="J3972" t="s">
        <v>8230</v>
      </c>
      <c r="K3972" t="s">
        <v>44</v>
      </c>
      <c r="N3972" t="s">
        <v>45</v>
      </c>
      <c r="O3972" t="s">
        <v>46</v>
      </c>
      <c r="P3972" t="s">
        <v>45</v>
      </c>
      <c r="Q3972" t="s">
        <v>47</v>
      </c>
      <c r="R3972" t="s">
        <v>44</v>
      </c>
      <c r="S3972">
        <v>0</v>
      </c>
      <c r="W3972" s="3">
        <v>2.3148148148148151E-3</v>
      </c>
      <c r="X3972" t="s">
        <v>8231</v>
      </c>
      <c r="Y3972">
        <v>18</v>
      </c>
      <c r="Z3972">
        <v>1</v>
      </c>
      <c r="AA3972" t="s">
        <v>2249</v>
      </c>
      <c r="AB3972">
        <v>6</v>
      </c>
      <c r="AC3972" t="s">
        <v>49</v>
      </c>
      <c r="AD3972">
        <v>0</v>
      </c>
      <c r="AE3972">
        <v>11167418</v>
      </c>
      <c r="AF3972" t="s">
        <v>63</v>
      </c>
      <c r="AG3972" t="s">
        <v>7760</v>
      </c>
    </row>
    <row r="3973" spans="1:33" x14ac:dyDescent="0.35">
      <c r="A3973" s="1">
        <v>44630.678472222222</v>
      </c>
      <c r="B3973">
        <v>1184140</v>
      </c>
      <c r="C3973" t="s">
        <v>8232</v>
      </c>
      <c r="D3973" t="s">
        <v>7567</v>
      </c>
      <c r="E3973" s="2">
        <v>41303</v>
      </c>
      <c r="F3973" t="str">
        <f>"9780745676166"</f>
        <v>9780745676166</v>
      </c>
      <c r="G3973" t="str">
        <f>"9780745655628"</f>
        <v>9780745655628</v>
      </c>
      <c r="H3973" t="s">
        <v>8233</v>
      </c>
      <c r="I3973">
        <v>303.66000000000003</v>
      </c>
      <c r="J3973" t="s">
        <v>8234</v>
      </c>
      <c r="K3973" t="s">
        <v>55</v>
      </c>
      <c r="N3973" t="s">
        <v>79</v>
      </c>
      <c r="P3973" t="s">
        <v>80</v>
      </c>
      <c r="Q3973" t="s">
        <v>47</v>
      </c>
      <c r="R3973" t="s">
        <v>44</v>
      </c>
      <c r="S3973">
        <v>0</v>
      </c>
      <c r="W3973" s="3">
        <v>0</v>
      </c>
      <c r="X3973" t="s">
        <v>49</v>
      </c>
      <c r="Y3973">
        <v>0</v>
      </c>
      <c r="Z3973">
        <v>1</v>
      </c>
      <c r="AA3973" t="s">
        <v>8235</v>
      </c>
      <c r="AB3973">
        <v>34</v>
      </c>
      <c r="AC3973" t="s">
        <v>49</v>
      </c>
      <c r="AD3973">
        <v>0</v>
      </c>
      <c r="AE3973">
        <v>11099403</v>
      </c>
      <c r="AF3973" t="s">
        <v>50</v>
      </c>
      <c r="AG3973" t="s">
        <v>7760</v>
      </c>
    </row>
    <row r="3974" spans="1:33" x14ac:dyDescent="0.35">
      <c r="A3974" s="1">
        <v>44630.64166666667</v>
      </c>
      <c r="B3974">
        <v>6123281</v>
      </c>
      <c r="C3974" t="s">
        <v>8236</v>
      </c>
      <c r="D3974" t="s">
        <v>59</v>
      </c>
      <c r="E3974" s="2">
        <v>43879</v>
      </c>
      <c r="F3974" t="str">
        <f>"9780730368465"</f>
        <v>9780730368465</v>
      </c>
      <c r="G3974" t="str">
        <f>"9780730368441"</f>
        <v>9780730368441</v>
      </c>
      <c r="H3974" t="s">
        <v>244</v>
      </c>
      <c r="I3974">
        <v>158.1</v>
      </c>
      <c r="J3974" t="s">
        <v>8237</v>
      </c>
      <c r="K3974" t="s">
        <v>55</v>
      </c>
      <c r="N3974" t="s">
        <v>293</v>
      </c>
      <c r="P3974" t="s">
        <v>80</v>
      </c>
      <c r="Q3974" t="s">
        <v>47</v>
      </c>
      <c r="R3974" t="s">
        <v>44</v>
      </c>
      <c r="S3974">
        <v>0</v>
      </c>
      <c r="W3974" s="3">
        <v>1.273148148148148E-4</v>
      </c>
      <c r="X3974" t="s">
        <v>196</v>
      </c>
      <c r="Y3974">
        <v>2</v>
      </c>
      <c r="Z3974">
        <v>0</v>
      </c>
      <c r="AA3974" t="s">
        <v>49</v>
      </c>
      <c r="AB3974">
        <v>0</v>
      </c>
      <c r="AC3974" t="s">
        <v>49</v>
      </c>
      <c r="AD3974">
        <v>0</v>
      </c>
      <c r="AE3974">
        <v>-1</v>
      </c>
      <c r="AF3974" t="s">
        <v>50</v>
      </c>
      <c r="AG3974" t="s">
        <v>8238</v>
      </c>
    </row>
    <row r="3975" spans="1:33" x14ac:dyDescent="0.35">
      <c r="A3975" s="1">
        <v>44630.633333333331</v>
      </c>
      <c r="B3975">
        <v>1184140</v>
      </c>
      <c r="C3975" t="s">
        <v>8232</v>
      </c>
      <c r="D3975" t="s">
        <v>7567</v>
      </c>
      <c r="E3975" s="2">
        <v>41303</v>
      </c>
      <c r="F3975" t="str">
        <f>"9780745676166"</f>
        <v>9780745676166</v>
      </c>
      <c r="G3975" t="str">
        <f>"9780745655628"</f>
        <v>9780745655628</v>
      </c>
      <c r="H3975" t="s">
        <v>8233</v>
      </c>
      <c r="I3975">
        <v>303.66000000000003</v>
      </c>
      <c r="J3975" t="s">
        <v>8234</v>
      </c>
      <c r="K3975" t="s">
        <v>55</v>
      </c>
      <c r="N3975" t="s">
        <v>79</v>
      </c>
      <c r="P3975" t="s">
        <v>80</v>
      </c>
      <c r="Q3975" t="s">
        <v>47</v>
      </c>
      <c r="R3975" t="s">
        <v>44</v>
      </c>
      <c r="S3975">
        <v>1</v>
      </c>
      <c r="T3975">
        <v>19</v>
      </c>
      <c r="U3975" s="1">
        <v>44630.633333333331</v>
      </c>
      <c r="V3975" s="1">
        <v>44649.633333333331</v>
      </c>
      <c r="W3975" s="3">
        <v>1.1574074074074073E-5</v>
      </c>
      <c r="X3975" t="s">
        <v>49</v>
      </c>
      <c r="Y3975">
        <v>0</v>
      </c>
      <c r="Z3975">
        <v>0</v>
      </c>
      <c r="AA3975" t="s">
        <v>49</v>
      </c>
      <c r="AB3975">
        <v>0</v>
      </c>
      <c r="AC3975" t="s">
        <v>49</v>
      </c>
      <c r="AD3975">
        <v>0</v>
      </c>
      <c r="AE3975">
        <v>11099403</v>
      </c>
      <c r="AF3975" t="s">
        <v>63</v>
      </c>
      <c r="AG3975" t="s">
        <v>7760</v>
      </c>
    </row>
    <row r="3976" spans="1:33" x14ac:dyDescent="0.35">
      <c r="A3976" s="1">
        <v>44630.626388888886</v>
      </c>
      <c r="B3976">
        <v>3034806</v>
      </c>
      <c r="C3976" t="s">
        <v>8239</v>
      </c>
      <c r="D3976" t="s">
        <v>473</v>
      </c>
      <c r="E3976" s="2">
        <v>41275</v>
      </c>
      <c r="F3976" t="str">
        <f>"9789462091375"</f>
        <v>9789462091375</v>
      </c>
      <c r="G3976" t="str">
        <f>"9789462091351"</f>
        <v>9789462091351</v>
      </c>
      <c r="H3976" t="s">
        <v>90</v>
      </c>
      <c r="J3976" t="s">
        <v>3051</v>
      </c>
      <c r="K3976" t="s">
        <v>44</v>
      </c>
      <c r="N3976" t="s">
        <v>45</v>
      </c>
      <c r="O3976" t="s">
        <v>46</v>
      </c>
      <c r="P3976" t="s">
        <v>45</v>
      </c>
      <c r="Q3976" t="s">
        <v>47</v>
      </c>
      <c r="R3976" t="s">
        <v>44</v>
      </c>
      <c r="S3976">
        <v>0</v>
      </c>
      <c r="W3976" s="3">
        <v>4.3472222222222225E-2</v>
      </c>
      <c r="X3976" t="s">
        <v>8240</v>
      </c>
      <c r="Y3976">
        <v>20</v>
      </c>
      <c r="Z3976">
        <v>0</v>
      </c>
      <c r="AA3976" t="s">
        <v>49</v>
      </c>
      <c r="AB3976">
        <v>0</v>
      </c>
      <c r="AC3976" t="s">
        <v>8241</v>
      </c>
      <c r="AD3976">
        <v>7</v>
      </c>
      <c r="AE3976">
        <v>10687672</v>
      </c>
      <c r="AF3976" t="s">
        <v>50</v>
      </c>
      <c r="AG3976" t="s">
        <v>1451</v>
      </c>
    </row>
    <row r="3977" spans="1:33" x14ac:dyDescent="0.35">
      <c r="A3977" s="1">
        <v>44630.602777777778</v>
      </c>
      <c r="B3977">
        <v>6123281</v>
      </c>
      <c r="C3977" t="s">
        <v>8236</v>
      </c>
      <c r="D3977" t="s">
        <v>59</v>
      </c>
      <c r="E3977" s="2">
        <v>43879</v>
      </c>
      <c r="F3977" t="str">
        <f>"9780730368465"</f>
        <v>9780730368465</v>
      </c>
      <c r="G3977" t="str">
        <f>"9780730368441"</f>
        <v>9780730368441</v>
      </c>
      <c r="H3977" t="s">
        <v>244</v>
      </c>
      <c r="I3977">
        <v>158.1</v>
      </c>
      <c r="J3977" t="s">
        <v>8237</v>
      </c>
      <c r="K3977" t="s">
        <v>55</v>
      </c>
      <c r="N3977" t="s">
        <v>293</v>
      </c>
      <c r="P3977" t="s">
        <v>80</v>
      </c>
      <c r="Q3977" t="s">
        <v>47</v>
      </c>
      <c r="R3977" t="s">
        <v>44</v>
      </c>
      <c r="S3977">
        <v>0</v>
      </c>
      <c r="W3977" s="3">
        <v>3.1712962962962964E-2</v>
      </c>
      <c r="X3977" t="s">
        <v>8242</v>
      </c>
      <c r="Y3977">
        <v>32</v>
      </c>
      <c r="Z3977">
        <v>0</v>
      </c>
      <c r="AA3977" t="s">
        <v>49</v>
      </c>
      <c r="AB3977">
        <v>0</v>
      </c>
      <c r="AC3977" t="s">
        <v>246</v>
      </c>
      <c r="AD3977">
        <v>1</v>
      </c>
      <c r="AE3977">
        <v>-1</v>
      </c>
      <c r="AF3977" t="s">
        <v>50</v>
      </c>
      <c r="AG3977" t="s">
        <v>8238</v>
      </c>
    </row>
    <row r="3978" spans="1:33" x14ac:dyDescent="0.35">
      <c r="A3978" s="1">
        <v>44630.602083333331</v>
      </c>
      <c r="B3978">
        <v>5527035</v>
      </c>
      <c r="C3978" t="s">
        <v>8243</v>
      </c>
      <c r="D3978" t="s">
        <v>1017</v>
      </c>
      <c r="E3978" s="2">
        <v>41674</v>
      </c>
      <c r="F3978" t="str">
        <f>"9781614488873"</f>
        <v>9781614488873</v>
      </c>
      <c r="G3978" t="str">
        <f>""</f>
        <v/>
      </c>
      <c r="H3978" t="s">
        <v>60</v>
      </c>
      <c r="I3978">
        <v>658.40920000000006</v>
      </c>
      <c r="J3978" t="s">
        <v>8244</v>
      </c>
      <c r="K3978" t="s">
        <v>44</v>
      </c>
      <c r="N3978" t="s">
        <v>45</v>
      </c>
      <c r="O3978" t="s">
        <v>46</v>
      </c>
      <c r="P3978" t="s">
        <v>45</v>
      </c>
      <c r="Q3978" t="s">
        <v>47</v>
      </c>
      <c r="R3978" t="s">
        <v>44</v>
      </c>
      <c r="S3978">
        <v>0</v>
      </c>
      <c r="W3978" s="3">
        <v>1.9675925925925926E-4</v>
      </c>
      <c r="X3978" t="s">
        <v>8245</v>
      </c>
      <c r="Y3978">
        <v>4</v>
      </c>
      <c r="Z3978">
        <v>0</v>
      </c>
      <c r="AA3978" t="s">
        <v>49</v>
      </c>
      <c r="AB3978">
        <v>0</v>
      </c>
      <c r="AC3978" t="s">
        <v>49</v>
      </c>
      <c r="AD3978">
        <v>0</v>
      </c>
      <c r="AE3978">
        <v>11613180</v>
      </c>
      <c r="AF3978" t="s">
        <v>50</v>
      </c>
      <c r="AG3978" t="s">
        <v>8238</v>
      </c>
    </row>
    <row r="3979" spans="1:33" x14ac:dyDescent="0.35">
      <c r="A3979" s="1">
        <v>44630.601388888892</v>
      </c>
      <c r="B3979">
        <v>28485273</v>
      </c>
      <c r="C3979" t="s">
        <v>8246</v>
      </c>
      <c r="D3979" t="s">
        <v>4343</v>
      </c>
      <c r="E3979" s="2">
        <v>44341</v>
      </c>
      <c r="F3979" t="str">
        <f>"9781644901335"</f>
        <v>9781644901335</v>
      </c>
      <c r="G3979" t="str">
        <f>"9781644901328"</f>
        <v>9781644901328</v>
      </c>
      <c r="H3979" t="s">
        <v>8247</v>
      </c>
      <c r="I3979">
        <v>620.19230000000005</v>
      </c>
      <c r="J3979" t="s">
        <v>8248</v>
      </c>
      <c r="K3979" t="s">
        <v>55</v>
      </c>
      <c r="N3979" t="s">
        <v>79</v>
      </c>
      <c r="P3979" t="s">
        <v>80</v>
      </c>
      <c r="Q3979" t="s">
        <v>47</v>
      </c>
      <c r="R3979" t="s">
        <v>44</v>
      </c>
      <c r="S3979">
        <v>0</v>
      </c>
      <c r="W3979" s="3">
        <v>4.1666666666666669E-4</v>
      </c>
      <c r="X3979" t="s">
        <v>205</v>
      </c>
      <c r="Y3979">
        <v>2</v>
      </c>
      <c r="Z3979">
        <v>0</v>
      </c>
      <c r="AA3979" t="s">
        <v>49</v>
      </c>
      <c r="AB3979">
        <v>0</v>
      </c>
      <c r="AC3979" t="s">
        <v>49</v>
      </c>
      <c r="AD3979">
        <v>0</v>
      </c>
      <c r="AE3979">
        <v>-1</v>
      </c>
      <c r="AF3979" t="s">
        <v>50</v>
      </c>
      <c r="AG3979" t="s">
        <v>8238</v>
      </c>
    </row>
    <row r="3980" spans="1:33" x14ac:dyDescent="0.35">
      <c r="A3980" s="1">
        <v>44630.557638888888</v>
      </c>
      <c r="B3980">
        <v>345467</v>
      </c>
      <c r="C3980" t="s">
        <v>7787</v>
      </c>
      <c r="D3980" t="s">
        <v>2754</v>
      </c>
      <c r="E3980" s="2">
        <v>28491</v>
      </c>
      <c r="F3980" t="str">
        <f>"9780816663668"</f>
        <v>9780816663668</v>
      </c>
      <c r="G3980" t="str">
        <f>"9780816608317"</f>
        <v>9780816608317</v>
      </c>
      <c r="H3980" t="s">
        <v>7788</v>
      </c>
      <c r="I3980" t="s">
        <v>7789</v>
      </c>
      <c r="J3980" t="s">
        <v>7790</v>
      </c>
      <c r="K3980" t="s">
        <v>44</v>
      </c>
      <c r="N3980" t="s">
        <v>45</v>
      </c>
      <c r="O3980" t="s">
        <v>46</v>
      </c>
      <c r="P3980" t="s">
        <v>45</v>
      </c>
      <c r="Q3980" t="s">
        <v>47</v>
      </c>
      <c r="R3980" t="s">
        <v>44</v>
      </c>
      <c r="S3980">
        <v>0</v>
      </c>
      <c r="W3980" s="3">
        <v>2.9629629629629628E-3</v>
      </c>
      <c r="X3980" t="s">
        <v>8249</v>
      </c>
      <c r="Y3980">
        <v>13</v>
      </c>
      <c r="Z3980">
        <v>0</v>
      </c>
      <c r="AA3980" t="s">
        <v>49</v>
      </c>
      <c r="AB3980">
        <v>0</v>
      </c>
      <c r="AC3980" t="s">
        <v>49</v>
      </c>
      <c r="AD3980">
        <v>0</v>
      </c>
      <c r="AE3980">
        <v>10231166</v>
      </c>
      <c r="AF3980" t="s">
        <v>50</v>
      </c>
      <c r="AG3980" t="s">
        <v>8250</v>
      </c>
    </row>
    <row r="3981" spans="1:33" x14ac:dyDescent="0.35">
      <c r="A3981" s="1">
        <v>44630.556250000001</v>
      </c>
      <c r="B3981">
        <v>280599</v>
      </c>
      <c r="C3981" t="s">
        <v>7785</v>
      </c>
      <c r="D3981" t="s">
        <v>473</v>
      </c>
      <c r="E3981" s="2">
        <v>38265</v>
      </c>
      <c r="F3981" t="str">
        <f>"9781433705762"</f>
        <v>9781433705762</v>
      </c>
      <c r="G3981" t="str">
        <f>"9789004142336"</f>
        <v>9789004142336</v>
      </c>
      <c r="H3981" t="s">
        <v>712</v>
      </c>
      <c r="K3981" t="s">
        <v>44</v>
      </c>
      <c r="N3981" t="s">
        <v>45</v>
      </c>
      <c r="O3981" t="s">
        <v>46</v>
      </c>
      <c r="P3981" t="s">
        <v>45</v>
      </c>
      <c r="Q3981" t="s">
        <v>47</v>
      </c>
      <c r="R3981" t="s">
        <v>44</v>
      </c>
      <c r="S3981">
        <v>0</v>
      </c>
      <c r="W3981" s="3">
        <v>1.7361111111111112E-4</v>
      </c>
      <c r="X3981" t="s">
        <v>56</v>
      </c>
      <c r="Y3981">
        <v>3</v>
      </c>
      <c r="Z3981">
        <v>0</v>
      </c>
      <c r="AA3981" t="s">
        <v>49</v>
      </c>
      <c r="AB3981">
        <v>0</v>
      </c>
      <c r="AC3981" t="s">
        <v>49</v>
      </c>
      <c r="AD3981">
        <v>0</v>
      </c>
      <c r="AE3981">
        <v>10171750</v>
      </c>
      <c r="AF3981" t="s">
        <v>50</v>
      </c>
      <c r="AG3981" t="s">
        <v>8250</v>
      </c>
    </row>
    <row r="3982" spans="1:33" x14ac:dyDescent="0.35">
      <c r="A3982" s="1">
        <v>44630.530555555553</v>
      </c>
      <c r="B3982">
        <v>1914976</v>
      </c>
      <c r="C3982" t="s">
        <v>8251</v>
      </c>
      <c r="D3982" t="s">
        <v>8252</v>
      </c>
      <c r="E3982" s="2">
        <v>36468</v>
      </c>
      <c r="F3982" t="str">
        <f>"9780813149752"</f>
        <v>9780813149752</v>
      </c>
      <c r="G3982" t="str">
        <f>"9780813121284"</f>
        <v>9780813121284</v>
      </c>
      <c r="H3982" t="s">
        <v>1069</v>
      </c>
      <c r="I3982">
        <v>823.91200000000003</v>
      </c>
      <c r="J3982" t="s">
        <v>8253</v>
      </c>
      <c r="K3982" t="s">
        <v>44</v>
      </c>
      <c r="N3982" t="s">
        <v>45</v>
      </c>
      <c r="O3982" t="s">
        <v>46</v>
      </c>
      <c r="P3982" t="s">
        <v>45</v>
      </c>
      <c r="Q3982" t="s">
        <v>47</v>
      </c>
      <c r="R3982" t="s">
        <v>44</v>
      </c>
      <c r="S3982">
        <v>0</v>
      </c>
      <c r="W3982" s="3">
        <v>9.8379629629629642E-4</v>
      </c>
      <c r="X3982" t="s">
        <v>8254</v>
      </c>
      <c r="Y3982">
        <v>2</v>
      </c>
      <c r="Z3982">
        <v>0</v>
      </c>
      <c r="AA3982" t="s">
        <v>49</v>
      </c>
      <c r="AB3982">
        <v>0</v>
      </c>
      <c r="AC3982" t="s">
        <v>49</v>
      </c>
      <c r="AD3982">
        <v>0</v>
      </c>
      <c r="AE3982">
        <v>11011733</v>
      </c>
      <c r="AF3982" t="s">
        <v>50</v>
      </c>
      <c r="AG3982" t="s">
        <v>7760</v>
      </c>
    </row>
    <row r="3983" spans="1:33" x14ac:dyDescent="0.35">
      <c r="A3983" s="1">
        <v>44630.510416666664</v>
      </c>
      <c r="B3983">
        <v>1400626</v>
      </c>
      <c r="C3983" t="s">
        <v>8255</v>
      </c>
      <c r="D3983" t="s">
        <v>473</v>
      </c>
      <c r="E3983" s="2">
        <v>41530</v>
      </c>
      <c r="F3983" t="str">
        <f>"9789004243712"</f>
        <v>9789004243712</v>
      </c>
      <c r="G3983" t="str">
        <f>"9789004243705"</f>
        <v>9789004243705</v>
      </c>
      <c r="H3983" t="s">
        <v>525</v>
      </c>
      <c r="J3983" t="s">
        <v>8256</v>
      </c>
      <c r="K3983" t="s">
        <v>44</v>
      </c>
      <c r="N3983" t="s">
        <v>45</v>
      </c>
      <c r="O3983" t="s">
        <v>46</v>
      </c>
      <c r="P3983" t="s">
        <v>45</v>
      </c>
      <c r="Q3983" t="s">
        <v>47</v>
      </c>
      <c r="R3983" t="s">
        <v>44</v>
      </c>
      <c r="S3983">
        <v>0</v>
      </c>
      <c r="W3983" s="3">
        <v>3.0092592592592595E-4</v>
      </c>
      <c r="X3983" t="s">
        <v>1346</v>
      </c>
      <c r="Y3983">
        <v>4</v>
      </c>
      <c r="Z3983">
        <v>0</v>
      </c>
      <c r="AA3983" t="s">
        <v>49</v>
      </c>
      <c r="AB3983">
        <v>0</v>
      </c>
      <c r="AC3983" t="s">
        <v>49</v>
      </c>
      <c r="AD3983">
        <v>0</v>
      </c>
      <c r="AE3983">
        <v>10764676</v>
      </c>
      <c r="AF3983" t="s">
        <v>50</v>
      </c>
      <c r="AG3983" t="s">
        <v>7760</v>
      </c>
    </row>
    <row r="3984" spans="1:33" x14ac:dyDescent="0.35">
      <c r="A3984" s="1">
        <v>44630.422222222223</v>
      </c>
      <c r="B3984">
        <v>28485273</v>
      </c>
      <c r="C3984" t="s">
        <v>8246</v>
      </c>
      <c r="D3984" t="s">
        <v>4343</v>
      </c>
      <c r="E3984" s="2">
        <v>44341</v>
      </c>
      <c r="F3984" t="str">
        <f>"9781644901335"</f>
        <v>9781644901335</v>
      </c>
      <c r="G3984" t="str">
        <f>"9781644901328"</f>
        <v>9781644901328</v>
      </c>
      <c r="H3984" t="s">
        <v>8247</v>
      </c>
      <c r="I3984">
        <v>620.19230000000005</v>
      </c>
      <c r="J3984" t="s">
        <v>8248</v>
      </c>
      <c r="K3984" t="s">
        <v>55</v>
      </c>
      <c r="N3984" t="s">
        <v>79</v>
      </c>
      <c r="P3984" t="s">
        <v>80</v>
      </c>
      <c r="Q3984" t="s">
        <v>47</v>
      </c>
      <c r="R3984" t="s">
        <v>44</v>
      </c>
      <c r="S3984">
        <v>0</v>
      </c>
      <c r="W3984" s="3">
        <v>3.0439814814814821E-3</v>
      </c>
      <c r="X3984" t="s">
        <v>8257</v>
      </c>
      <c r="Y3984">
        <v>10</v>
      </c>
      <c r="Z3984">
        <v>0</v>
      </c>
      <c r="AA3984" t="s">
        <v>49</v>
      </c>
      <c r="AB3984">
        <v>0</v>
      </c>
      <c r="AC3984" t="s">
        <v>49</v>
      </c>
      <c r="AD3984">
        <v>0</v>
      </c>
      <c r="AE3984">
        <v>-1</v>
      </c>
      <c r="AF3984" t="s">
        <v>50</v>
      </c>
      <c r="AG3984" t="s">
        <v>7642</v>
      </c>
    </row>
    <row r="3985" spans="1:33" x14ac:dyDescent="0.35">
      <c r="A3985" s="1">
        <v>44629.796527777777</v>
      </c>
      <c r="B3985">
        <v>3375597</v>
      </c>
      <c r="C3985" t="s">
        <v>8258</v>
      </c>
      <c r="D3985" t="s">
        <v>175</v>
      </c>
      <c r="E3985" s="2">
        <v>36325</v>
      </c>
      <c r="F3985" t="str">
        <f>"9780309518857"</f>
        <v>9780309518857</v>
      </c>
      <c r="G3985" t="str">
        <f>"9780309064798"</f>
        <v>9780309064798</v>
      </c>
      <c r="H3985" t="s">
        <v>8259</v>
      </c>
      <c r="K3985" t="s">
        <v>44</v>
      </c>
      <c r="N3985" t="s">
        <v>45</v>
      </c>
      <c r="O3985" t="s">
        <v>46</v>
      </c>
      <c r="P3985" t="s">
        <v>177</v>
      </c>
      <c r="Q3985" t="s">
        <v>47</v>
      </c>
      <c r="R3985" t="s">
        <v>55</v>
      </c>
      <c r="S3985">
        <v>0</v>
      </c>
      <c r="W3985" s="3">
        <v>5.9027777777777778E-4</v>
      </c>
      <c r="X3985" t="s">
        <v>8260</v>
      </c>
      <c r="Y3985">
        <v>6</v>
      </c>
      <c r="Z3985">
        <v>0</v>
      </c>
      <c r="AA3985" t="s">
        <v>49</v>
      </c>
      <c r="AB3985">
        <v>0</v>
      </c>
      <c r="AC3985" t="s">
        <v>49</v>
      </c>
      <c r="AD3985">
        <v>0</v>
      </c>
      <c r="AE3985">
        <v>10041016</v>
      </c>
      <c r="AF3985" t="s">
        <v>50</v>
      </c>
      <c r="AG3985" t="s">
        <v>1691</v>
      </c>
    </row>
    <row r="3986" spans="1:33" x14ac:dyDescent="0.35">
      <c r="A3986" s="1">
        <v>44629.745138888888</v>
      </c>
      <c r="B3986">
        <v>3379207</v>
      </c>
      <c r="C3986" t="s">
        <v>8261</v>
      </c>
      <c r="D3986" t="s">
        <v>175</v>
      </c>
      <c r="E3986" s="2">
        <v>41659</v>
      </c>
      <c r="F3986" t="str">
        <f>"9780309288460"</f>
        <v>9780309288460</v>
      </c>
      <c r="G3986" t="str">
        <f>"9780309288453"</f>
        <v>9780309288453</v>
      </c>
      <c r="H3986" t="s">
        <v>111</v>
      </c>
      <c r="I3986" t="s">
        <v>8262</v>
      </c>
      <c r="K3986" t="s">
        <v>44</v>
      </c>
      <c r="N3986" t="s">
        <v>45</v>
      </c>
      <c r="O3986" t="s">
        <v>46</v>
      </c>
      <c r="P3986" t="s">
        <v>177</v>
      </c>
      <c r="Q3986" t="s">
        <v>47</v>
      </c>
      <c r="R3986" t="s">
        <v>55</v>
      </c>
      <c r="S3986">
        <v>0</v>
      </c>
      <c r="W3986" s="3">
        <v>2.5000000000000001E-3</v>
      </c>
      <c r="X3986" t="s">
        <v>8263</v>
      </c>
      <c r="Y3986">
        <v>15</v>
      </c>
      <c r="Z3986">
        <v>0</v>
      </c>
      <c r="AA3986" t="s">
        <v>49</v>
      </c>
      <c r="AB3986">
        <v>0</v>
      </c>
      <c r="AC3986" t="s">
        <v>49</v>
      </c>
      <c r="AD3986">
        <v>0</v>
      </c>
      <c r="AE3986">
        <v>10863861</v>
      </c>
      <c r="AF3986" t="s">
        <v>50</v>
      </c>
      <c r="AG3986" t="s">
        <v>7760</v>
      </c>
    </row>
    <row r="3987" spans="1:33" x14ac:dyDescent="0.35">
      <c r="A3987" s="1">
        <v>44629.73541666667</v>
      </c>
      <c r="B3987">
        <v>3378182</v>
      </c>
      <c r="C3987" t="s">
        <v>8264</v>
      </c>
      <c r="D3987" t="s">
        <v>175</v>
      </c>
      <c r="E3987" s="2">
        <v>38618</v>
      </c>
      <c r="F3987" t="str">
        <f>"9780309547932"</f>
        <v>9780309547932</v>
      </c>
      <c r="G3987" t="str">
        <f>"9780309095624"</f>
        <v>9780309095624</v>
      </c>
      <c r="H3987" t="s">
        <v>3583</v>
      </c>
      <c r="K3987" t="s">
        <v>44</v>
      </c>
      <c r="N3987" t="s">
        <v>45</v>
      </c>
      <c r="O3987" t="s">
        <v>46</v>
      </c>
      <c r="P3987" t="s">
        <v>177</v>
      </c>
      <c r="Q3987" t="s">
        <v>47</v>
      </c>
      <c r="R3987" t="s">
        <v>55</v>
      </c>
      <c r="S3987">
        <v>0</v>
      </c>
      <c r="W3987" s="3">
        <v>5.0231481481481481E-3</v>
      </c>
      <c r="X3987" t="s">
        <v>8265</v>
      </c>
      <c r="Y3987">
        <v>23</v>
      </c>
      <c r="Z3987">
        <v>0</v>
      </c>
      <c r="AA3987" t="s">
        <v>49</v>
      </c>
      <c r="AB3987">
        <v>0</v>
      </c>
      <c r="AC3987" t="s">
        <v>49</v>
      </c>
      <c r="AD3987">
        <v>0</v>
      </c>
      <c r="AE3987">
        <v>10160725</v>
      </c>
      <c r="AF3987" t="s">
        <v>50</v>
      </c>
      <c r="AG3987" t="s">
        <v>7760</v>
      </c>
    </row>
    <row r="3988" spans="1:33" x14ac:dyDescent="0.35">
      <c r="A3988" s="1">
        <v>44629.714583333334</v>
      </c>
      <c r="B3988">
        <v>614685</v>
      </c>
      <c r="C3988" t="s">
        <v>8193</v>
      </c>
      <c r="D3988" t="s">
        <v>76</v>
      </c>
      <c r="E3988" s="2">
        <v>40513</v>
      </c>
      <c r="F3988" t="str">
        <f>"9780203840573"</f>
        <v>9780203840573</v>
      </c>
      <c r="G3988" t="str">
        <f>"9780415466899"</f>
        <v>9780415466899</v>
      </c>
      <c r="H3988" t="s">
        <v>1046</v>
      </c>
      <c r="I3988">
        <v>306.36209000000002</v>
      </c>
      <c r="J3988" t="s">
        <v>8194</v>
      </c>
      <c r="K3988" t="s">
        <v>44</v>
      </c>
      <c r="N3988" t="s">
        <v>45</v>
      </c>
      <c r="O3988" t="s">
        <v>46</v>
      </c>
      <c r="P3988" t="s">
        <v>45</v>
      </c>
      <c r="Q3988" t="s">
        <v>47</v>
      </c>
      <c r="R3988" t="s">
        <v>44</v>
      </c>
      <c r="S3988">
        <v>0</v>
      </c>
      <c r="W3988" s="3">
        <v>3.4722222222222222E-5</v>
      </c>
      <c r="X3988" t="s">
        <v>4928</v>
      </c>
      <c r="Y3988">
        <v>1</v>
      </c>
      <c r="Z3988">
        <v>0</v>
      </c>
      <c r="AA3988" t="s">
        <v>49</v>
      </c>
      <c r="AB3988">
        <v>0</v>
      </c>
      <c r="AC3988" t="s">
        <v>49</v>
      </c>
      <c r="AD3988">
        <v>0</v>
      </c>
      <c r="AE3988">
        <v>10446814</v>
      </c>
      <c r="AF3988" t="s">
        <v>50</v>
      </c>
      <c r="AG3988" t="s">
        <v>7642</v>
      </c>
    </row>
    <row r="3989" spans="1:33" x14ac:dyDescent="0.35">
      <c r="A3989" s="1">
        <v>44629.713888888888</v>
      </c>
      <c r="B3989">
        <v>3420805</v>
      </c>
      <c r="C3989" t="s">
        <v>8190</v>
      </c>
      <c r="D3989" t="s">
        <v>347</v>
      </c>
      <c r="E3989" s="2">
        <v>40995</v>
      </c>
      <c r="F3989" t="str">
        <f>"9780300178067"</f>
        <v>9780300178067</v>
      </c>
      <c r="G3989" t="str">
        <f>"9780300113150"</f>
        <v>9780300113150</v>
      </c>
      <c r="H3989" t="s">
        <v>1046</v>
      </c>
      <c r="I3989">
        <v>306.36209000000002</v>
      </c>
      <c r="J3989" t="s">
        <v>8191</v>
      </c>
      <c r="K3989" t="s">
        <v>44</v>
      </c>
      <c r="N3989" t="s">
        <v>45</v>
      </c>
      <c r="O3989" t="s">
        <v>46</v>
      </c>
      <c r="P3989" t="s">
        <v>45</v>
      </c>
      <c r="Q3989" t="s">
        <v>47</v>
      </c>
      <c r="R3989" t="s">
        <v>44</v>
      </c>
      <c r="S3989">
        <v>0</v>
      </c>
      <c r="W3989" s="3">
        <v>6.9444444444444444E-5</v>
      </c>
      <c r="X3989" t="s">
        <v>196</v>
      </c>
      <c r="Y3989">
        <v>2</v>
      </c>
      <c r="Z3989">
        <v>0</v>
      </c>
      <c r="AA3989" t="s">
        <v>49</v>
      </c>
      <c r="AB3989">
        <v>0</v>
      </c>
      <c r="AC3989" t="s">
        <v>49</v>
      </c>
      <c r="AD3989">
        <v>0</v>
      </c>
      <c r="AE3989">
        <v>10546764</v>
      </c>
      <c r="AF3989" t="s">
        <v>50</v>
      </c>
      <c r="AG3989" t="s">
        <v>7642</v>
      </c>
    </row>
    <row r="3990" spans="1:33" x14ac:dyDescent="0.35">
      <c r="A3990" s="1">
        <v>44629.711111111108</v>
      </c>
      <c r="B3990">
        <v>1684462</v>
      </c>
      <c r="C3990" t="s">
        <v>2261</v>
      </c>
      <c r="D3990" t="s">
        <v>76</v>
      </c>
      <c r="E3990" s="2">
        <v>41772</v>
      </c>
      <c r="F3990" t="str">
        <f>"9781782411703"</f>
        <v>9781782411703</v>
      </c>
      <c r="G3990" t="str">
        <f>"9781855758254"</f>
        <v>9781855758254</v>
      </c>
      <c r="H3990" t="s">
        <v>151</v>
      </c>
      <c r="I3990">
        <v>616.89075000000003</v>
      </c>
      <c r="J3990" t="s">
        <v>2262</v>
      </c>
      <c r="K3990" t="s">
        <v>44</v>
      </c>
      <c r="N3990" t="s">
        <v>45</v>
      </c>
      <c r="O3990" t="s">
        <v>46</v>
      </c>
      <c r="P3990" t="s">
        <v>45</v>
      </c>
      <c r="Q3990" t="s">
        <v>47</v>
      </c>
      <c r="R3990" t="s">
        <v>44</v>
      </c>
      <c r="S3990">
        <v>0</v>
      </c>
      <c r="W3990" s="3">
        <v>6.7245370370370367E-3</v>
      </c>
      <c r="X3990" t="s">
        <v>8266</v>
      </c>
      <c r="Y3990">
        <v>31</v>
      </c>
      <c r="Z3990">
        <v>0</v>
      </c>
      <c r="AA3990" t="s">
        <v>49</v>
      </c>
      <c r="AB3990">
        <v>0</v>
      </c>
      <c r="AC3990" t="s">
        <v>49</v>
      </c>
      <c r="AD3990">
        <v>0</v>
      </c>
      <c r="AE3990">
        <v>10869982</v>
      </c>
      <c r="AF3990" t="s">
        <v>50</v>
      </c>
      <c r="AG3990" t="s">
        <v>7910</v>
      </c>
    </row>
    <row r="3991" spans="1:33" x14ac:dyDescent="0.35">
      <c r="A3991" s="1">
        <v>44629.704861111109</v>
      </c>
      <c r="B3991">
        <v>1674220</v>
      </c>
      <c r="C3991" t="s">
        <v>8267</v>
      </c>
      <c r="D3991" t="s">
        <v>59</v>
      </c>
      <c r="E3991" s="2">
        <v>41757</v>
      </c>
      <c r="F3991" t="str">
        <f>"9781118825624"</f>
        <v>9781118825624</v>
      </c>
      <c r="G3991" t="str">
        <f>"9781118206706"</f>
        <v>9781118206706</v>
      </c>
      <c r="H3991" t="s">
        <v>261</v>
      </c>
      <c r="I3991">
        <v>628.16832999999997</v>
      </c>
      <c r="J3991" t="s">
        <v>8268</v>
      </c>
      <c r="K3991" t="s">
        <v>44</v>
      </c>
      <c r="N3991" t="s">
        <v>45</v>
      </c>
      <c r="O3991" t="s">
        <v>46</v>
      </c>
      <c r="P3991" t="s">
        <v>45</v>
      </c>
      <c r="Q3991" t="s">
        <v>47</v>
      </c>
      <c r="R3991" t="s">
        <v>44</v>
      </c>
      <c r="S3991">
        <v>0</v>
      </c>
      <c r="W3991" s="3">
        <v>1.4120370370370369E-3</v>
      </c>
      <c r="X3991" t="s">
        <v>4686</v>
      </c>
      <c r="Y3991">
        <v>20</v>
      </c>
      <c r="Z3991">
        <v>0</v>
      </c>
      <c r="AA3991" t="s">
        <v>49</v>
      </c>
      <c r="AB3991">
        <v>0</v>
      </c>
      <c r="AC3991" t="s">
        <v>49</v>
      </c>
      <c r="AD3991">
        <v>0</v>
      </c>
      <c r="AE3991">
        <v>10862688</v>
      </c>
      <c r="AF3991" t="s">
        <v>50</v>
      </c>
      <c r="AG3991" t="s">
        <v>7760</v>
      </c>
    </row>
    <row r="3992" spans="1:33" x14ac:dyDescent="0.35">
      <c r="A3992" s="1">
        <v>44629.54583333333</v>
      </c>
      <c r="B3992">
        <v>4644607</v>
      </c>
      <c r="C3992" t="s">
        <v>7602</v>
      </c>
      <c r="D3992" t="s">
        <v>115</v>
      </c>
      <c r="E3992" s="2">
        <v>42576</v>
      </c>
      <c r="F3992" t="str">
        <f>"9783110458114"</f>
        <v>9783110458114</v>
      </c>
      <c r="G3992" t="str">
        <f>"9783110455328"</f>
        <v>9783110455328</v>
      </c>
      <c r="H3992" t="s">
        <v>1069</v>
      </c>
      <c r="I3992">
        <v>833.91200000000003</v>
      </c>
      <c r="J3992" t="s">
        <v>7603</v>
      </c>
      <c r="K3992" t="s">
        <v>44</v>
      </c>
      <c r="N3992" t="s">
        <v>45</v>
      </c>
      <c r="O3992" t="s">
        <v>46</v>
      </c>
      <c r="P3992" t="s">
        <v>45</v>
      </c>
      <c r="Q3992" t="s">
        <v>47</v>
      </c>
      <c r="R3992" t="s">
        <v>44</v>
      </c>
      <c r="S3992">
        <v>0</v>
      </c>
      <c r="W3992" s="3">
        <v>0.11092592592592593</v>
      </c>
      <c r="X3992" t="s">
        <v>8269</v>
      </c>
      <c r="Y3992">
        <v>74</v>
      </c>
      <c r="Z3992">
        <v>0</v>
      </c>
      <c r="AA3992" t="s">
        <v>49</v>
      </c>
      <c r="AB3992">
        <v>0</v>
      </c>
      <c r="AC3992" t="s">
        <v>8270</v>
      </c>
      <c r="AD3992">
        <v>8</v>
      </c>
      <c r="AE3992">
        <v>11247851</v>
      </c>
      <c r="AF3992" t="s">
        <v>50</v>
      </c>
      <c r="AG3992" t="s">
        <v>7760</v>
      </c>
    </row>
    <row r="3993" spans="1:33" x14ac:dyDescent="0.35">
      <c r="A3993" s="1">
        <v>44629.509027777778</v>
      </c>
      <c r="B3993">
        <v>3418164</v>
      </c>
      <c r="C3993" t="s">
        <v>8271</v>
      </c>
      <c r="D3993" t="s">
        <v>627</v>
      </c>
      <c r="E3993" s="2">
        <v>38443</v>
      </c>
      <c r="F3993" t="str">
        <f>"9781469874364"</f>
        <v>9781469874364</v>
      </c>
      <c r="G3993" t="str">
        <f>"9780781747271"</f>
        <v>9780781747271</v>
      </c>
      <c r="H3993" t="s">
        <v>176</v>
      </c>
      <c r="I3993">
        <v>362.11</v>
      </c>
      <c r="J3993" t="s">
        <v>8272</v>
      </c>
      <c r="K3993" t="s">
        <v>44</v>
      </c>
      <c r="N3993" t="s">
        <v>45</v>
      </c>
      <c r="O3993" t="s">
        <v>46</v>
      </c>
      <c r="P3993" t="s">
        <v>45</v>
      </c>
      <c r="Q3993" t="s">
        <v>47</v>
      </c>
      <c r="R3993" t="s">
        <v>44</v>
      </c>
      <c r="S3993">
        <v>0</v>
      </c>
      <c r="W3993" s="3">
        <v>1.9907407407407408E-3</v>
      </c>
      <c r="X3993" t="s">
        <v>8273</v>
      </c>
      <c r="Y3993">
        <v>29</v>
      </c>
      <c r="Z3993">
        <v>0</v>
      </c>
      <c r="AA3993" t="s">
        <v>49</v>
      </c>
      <c r="AB3993">
        <v>0</v>
      </c>
      <c r="AC3993" t="s">
        <v>49</v>
      </c>
      <c r="AD3993">
        <v>0</v>
      </c>
      <c r="AE3993">
        <v>10825240</v>
      </c>
      <c r="AF3993" t="s">
        <v>50</v>
      </c>
      <c r="AG3993" t="s">
        <v>7910</v>
      </c>
    </row>
    <row r="3994" spans="1:33" x14ac:dyDescent="0.35">
      <c r="A3994" s="1">
        <v>44629.509027777778</v>
      </c>
      <c r="B3994">
        <v>5603031</v>
      </c>
      <c r="C3994" t="s">
        <v>8274</v>
      </c>
      <c r="D3994" t="s">
        <v>105</v>
      </c>
      <c r="E3994" s="2">
        <v>43438</v>
      </c>
      <c r="F3994" t="str">
        <f>"9783030048372"</f>
        <v>9783030048372</v>
      </c>
      <c r="G3994" t="str">
        <f>"9783030048365"</f>
        <v>9783030048365</v>
      </c>
      <c r="H3994" t="s">
        <v>8275</v>
      </c>
      <c r="I3994">
        <v>616.00720000000001</v>
      </c>
      <c r="J3994" t="s">
        <v>8276</v>
      </c>
      <c r="K3994" t="s">
        <v>55</v>
      </c>
      <c r="N3994" t="s">
        <v>79</v>
      </c>
      <c r="P3994" t="s">
        <v>97</v>
      </c>
      <c r="Q3994" t="s">
        <v>47</v>
      </c>
      <c r="R3994" t="s">
        <v>44</v>
      </c>
      <c r="S3994">
        <v>0</v>
      </c>
      <c r="W3994" s="3">
        <v>4.5138888888888892E-4</v>
      </c>
      <c r="X3994" t="s">
        <v>8277</v>
      </c>
      <c r="Y3994">
        <v>5</v>
      </c>
      <c r="Z3994">
        <v>0</v>
      </c>
      <c r="AA3994" t="s">
        <v>49</v>
      </c>
      <c r="AB3994">
        <v>0</v>
      </c>
      <c r="AC3994" t="s">
        <v>49</v>
      </c>
      <c r="AD3994">
        <v>0</v>
      </c>
      <c r="AE3994">
        <v>-1</v>
      </c>
      <c r="AF3994" t="s">
        <v>50</v>
      </c>
      <c r="AG3994" t="s">
        <v>7910</v>
      </c>
    </row>
    <row r="3995" spans="1:33" x14ac:dyDescent="0.35">
      <c r="A3995" s="1">
        <v>44629.498611111114</v>
      </c>
      <c r="B3995">
        <v>1114516</v>
      </c>
      <c r="C3995" t="s">
        <v>8278</v>
      </c>
      <c r="D3995" t="s">
        <v>2022</v>
      </c>
      <c r="E3995" s="2">
        <v>39632</v>
      </c>
      <c r="F3995" t="str">
        <f>"9781443811804"</f>
        <v>9781443811804</v>
      </c>
      <c r="G3995" t="str">
        <f>"9781847185754"</f>
        <v>9781847185754</v>
      </c>
      <c r="H3995" t="s">
        <v>525</v>
      </c>
      <c r="I3995">
        <v>302.23081999999999</v>
      </c>
      <c r="J3995" t="s">
        <v>8279</v>
      </c>
      <c r="K3995" t="s">
        <v>44</v>
      </c>
      <c r="N3995" t="s">
        <v>45</v>
      </c>
      <c r="O3995" t="s">
        <v>46</v>
      </c>
      <c r="P3995" t="s">
        <v>45</v>
      </c>
      <c r="Q3995" t="s">
        <v>47</v>
      </c>
      <c r="R3995" t="s">
        <v>44</v>
      </c>
      <c r="S3995">
        <v>0</v>
      </c>
      <c r="W3995" s="3">
        <v>1.5509259259259261E-3</v>
      </c>
      <c r="X3995" t="s">
        <v>8280</v>
      </c>
      <c r="Y3995">
        <v>8</v>
      </c>
      <c r="Z3995">
        <v>0</v>
      </c>
      <c r="AA3995" t="s">
        <v>49</v>
      </c>
      <c r="AB3995">
        <v>0</v>
      </c>
      <c r="AC3995" t="s">
        <v>49</v>
      </c>
      <c r="AD3995">
        <v>0</v>
      </c>
      <c r="AE3995">
        <v>10655342</v>
      </c>
      <c r="AF3995" t="s">
        <v>50</v>
      </c>
      <c r="AG3995" t="s">
        <v>7910</v>
      </c>
    </row>
    <row r="3996" spans="1:33" x14ac:dyDescent="0.35">
      <c r="A3996" s="1">
        <v>44629.495833333334</v>
      </c>
      <c r="B3996">
        <v>6269585</v>
      </c>
      <c r="C3996" t="s">
        <v>8205</v>
      </c>
      <c r="D3996" t="s">
        <v>7257</v>
      </c>
      <c r="E3996" s="2">
        <v>44167</v>
      </c>
      <c r="F3996" t="str">
        <f>"9781789142594"</f>
        <v>9781789142594</v>
      </c>
      <c r="G3996" t="str">
        <f>"9781789142204"</f>
        <v>9781789142204</v>
      </c>
      <c r="H3996" t="s">
        <v>404</v>
      </c>
      <c r="I3996">
        <v>523.42999999999995</v>
      </c>
      <c r="K3996" t="s">
        <v>55</v>
      </c>
      <c r="Q3996" t="s">
        <v>47</v>
      </c>
      <c r="R3996" t="s">
        <v>44</v>
      </c>
      <c r="S3996">
        <v>0</v>
      </c>
      <c r="W3996" s="3">
        <v>1.3379629629629628E-2</v>
      </c>
      <c r="X3996" t="s">
        <v>8281</v>
      </c>
      <c r="Y3996">
        <v>20</v>
      </c>
      <c r="Z3996">
        <v>0</v>
      </c>
      <c r="AA3996" t="s">
        <v>49</v>
      </c>
      <c r="AB3996">
        <v>0</v>
      </c>
      <c r="AC3996" t="s">
        <v>49</v>
      </c>
      <c r="AD3996">
        <v>0</v>
      </c>
      <c r="AE3996">
        <v>-1</v>
      </c>
      <c r="AF3996" t="s">
        <v>63</v>
      </c>
      <c r="AG3996" t="s">
        <v>8250</v>
      </c>
    </row>
    <row r="3997" spans="1:33" x14ac:dyDescent="0.35">
      <c r="A3997" s="1">
        <v>44629.472222222219</v>
      </c>
      <c r="B3997">
        <v>6729563</v>
      </c>
      <c r="C3997" t="s">
        <v>7877</v>
      </c>
      <c r="D3997" t="s">
        <v>443</v>
      </c>
      <c r="E3997" s="2">
        <v>44537</v>
      </c>
      <c r="F3997" t="str">
        <f>"9780520381209"</f>
        <v>9780520381209</v>
      </c>
      <c r="G3997" t="str">
        <f>"9780520381216"</f>
        <v>9780520381216</v>
      </c>
      <c r="H3997" t="s">
        <v>1046</v>
      </c>
      <c r="I3997">
        <v>307.1216</v>
      </c>
      <c r="K3997" t="s">
        <v>55</v>
      </c>
      <c r="N3997" t="s">
        <v>79</v>
      </c>
      <c r="P3997" t="s">
        <v>950</v>
      </c>
      <c r="Q3997" t="s">
        <v>47</v>
      </c>
      <c r="R3997" t="s">
        <v>55</v>
      </c>
      <c r="S3997">
        <v>0</v>
      </c>
      <c r="W3997" s="3">
        <v>1.4328703703703703E-2</v>
      </c>
      <c r="X3997" t="s">
        <v>8282</v>
      </c>
      <c r="Y3997">
        <v>9</v>
      </c>
      <c r="Z3997">
        <v>0</v>
      </c>
      <c r="AA3997" t="s">
        <v>49</v>
      </c>
      <c r="AB3997">
        <v>0</v>
      </c>
      <c r="AC3997" t="s">
        <v>49</v>
      </c>
      <c r="AD3997">
        <v>0</v>
      </c>
      <c r="AE3997">
        <v>-1</v>
      </c>
      <c r="AF3997" t="s">
        <v>50</v>
      </c>
      <c r="AG3997" t="s">
        <v>8283</v>
      </c>
    </row>
    <row r="3998" spans="1:33" x14ac:dyDescent="0.35">
      <c r="A3998" s="1">
        <v>44629.463194444441</v>
      </c>
      <c r="B3998">
        <v>6526588</v>
      </c>
      <c r="C3998" t="s">
        <v>8284</v>
      </c>
      <c r="D3998" t="s">
        <v>76</v>
      </c>
      <c r="E3998" s="2">
        <v>44317</v>
      </c>
      <c r="F3998" t="str">
        <f>"9781000386769"</f>
        <v>9781000386769</v>
      </c>
      <c r="G3998" t="str">
        <f>"9780367227739"</f>
        <v>9780367227739</v>
      </c>
      <c r="H3998" t="s">
        <v>90</v>
      </c>
      <c r="I3998">
        <v>370.91766999999999</v>
      </c>
      <c r="J3998" t="s">
        <v>8285</v>
      </c>
      <c r="K3998" t="s">
        <v>55</v>
      </c>
      <c r="Q3998" t="s">
        <v>47</v>
      </c>
      <c r="R3998" t="s">
        <v>44</v>
      </c>
      <c r="S3998">
        <v>0</v>
      </c>
      <c r="W3998" s="3">
        <v>1.2499999999999999E-2</v>
      </c>
      <c r="X3998" t="s">
        <v>8286</v>
      </c>
      <c r="Y3998">
        <v>12</v>
      </c>
      <c r="Z3998">
        <v>0</v>
      </c>
      <c r="AA3998" t="s">
        <v>49</v>
      </c>
      <c r="AB3998">
        <v>0</v>
      </c>
      <c r="AC3998" t="s">
        <v>49</v>
      </c>
      <c r="AD3998">
        <v>0</v>
      </c>
      <c r="AE3998">
        <v>-1</v>
      </c>
      <c r="AF3998" t="s">
        <v>50</v>
      </c>
      <c r="AG3998" t="s">
        <v>7910</v>
      </c>
    </row>
    <row r="3999" spans="1:33" x14ac:dyDescent="0.35">
      <c r="A3999" s="1">
        <v>44628.915972222225</v>
      </c>
      <c r="B3999">
        <v>4829166</v>
      </c>
      <c r="C3999" t="s">
        <v>7142</v>
      </c>
      <c r="D3999" t="s">
        <v>59</v>
      </c>
      <c r="E3999" s="2">
        <v>42835</v>
      </c>
      <c r="F3999" t="str">
        <f>"9781119219835"</f>
        <v>9781119219835</v>
      </c>
      <c r="G3999" t="str">
        <f>"9781119219811"</f>
        <v>9781119219811</v>
      </c>
      <c r="H3999" t="s">
        <v>525</v>
      </c>
      <c r="I3999" t="s">
        <v>7143</v>
      </c>
      <c r="J3999" t="s">
        <v>7144</v>
      </c>
      <c r="K3999" t="s">
        <v>44</v>
      </c>
      <c r="N3999" t="s">
        <v>45</v>
      </c>
      <c r="O3999" t="s">
        <v>46</v>
      </c>
      <c r="P3999" t="s">
        <v>45</v>
      </c>
      <c r="Q3999" t="s">
        <v>47</v>
      </c>
      <c r="R3999" t="s">
        <v>44</v>
      </c>
      <c r="S3999">
        <v>0</v>
      </c>
      <c r="W3999" s="3">
        <v>2.0370370370370373E-3</v>
      </c>
      <c r="X3999" t="s">
        <v>8287</v>
      </c>
      <c r="Y3999">
        <v>11</v>
      </c>
      <c r="Z3999">
        <v>0</v>
      </c>
      <c r="AA3999" t="s">
        <v>49</v>
      </c>
      <c r="AB3999">
        <v>0</v>
      </c>
      <c r="AC3999" t="s">
        <v>49</v>
      </c>
      <c r="AD3999">
        <v>0</v>
      </c>
      <c r="AE3999">
        <v>11365259</v>
      </c>
      <c r="AF3999" t="s">
        <v>50</v>
      </c>
      <c r="AG3999" t="s">
        <v>5005</v>
      </c>
    </row>
    <row r="4000" spans="1:33" x14ac:dyDescent="0.35">
      <c r="A4000" s="1">
        <v>44628.880555555559</v>
      </c>
      <c r="B4000">
        <v>4829166</v>
      </c>
      <c r="C4000" t="s">
        <v>7142</v>
      </c>
      <c r="D4000" t="s">
        <v>59</v>
      </c>
      <c r="E4000" s="2">
        <v>42835</v>
      </c>
      <c r="F4000" t="str">
        <f>"9781119219835"</f>
        <v>9781119219835</v>
      </c>
      <c r="G4000" t="str">
        <f>"9781119219811"</f>
        <v>9781119219811</v>
      </c>
      <c r="H4000" t="s">
        <v>525</v>
      </c>
      <c r="I4000" t="s">
        <v>7143</v>
      </c>
      <c r="J4000" t="s">
        <v>7144</v>
      </c>
      <c r="K4000" t="s">
        <v>44</v>
      </c>
      <c r="N4000" t="s">
        <v>45</v>
      </c>
      <c r="O4000" t="s">
        <v>46</v>
      </c>
      <c r="P4000" t="s">
        <v>45</v>
      </c>
      <c r="Q4000" t="s">
        <v>47</v>
      </c>
      <c r="R4000" t="s">
        <v>44</v>
      </c>
      <c r="S4000">
        <v>1</v>
      </c>
      <c r="W4000" s="3">
        <v>4.1817129629629628E-2</v>
      </c>
      <c r="X4000" t="s">
        <v>8288</v>
      </c>
      <c r="Y4000">
        <v>32</v>
      </c>
      <c r="Z4000">
        <v>0</v>
      </c>
      <c r="AA4000" t="s">
        <v>49</v>
      </c>
      <c r="AB4000">
        <v>0</v>
      </c>
      <c r="AC4000" t="s">
        <v>49</v>
      </c>
      <c r="AD4000">
        <v>0</v>
      </c>
      <c r="AE4000">
        <v>11365259</v>
      </c>
      <c r="AF4000" t="s">
        <v>63</v>
      </c>
      <c r="AG4000" t="s">
        <v>2782</v>
      </c>
    </row>
    <row r="4001" spans="1:33" x14ac:dyDescent="0.35">
      <c r="A4001" s="1">
        <v>44628.875</v>
      </c>
      <c r="B4001">
        <v>4829166</v>
      </c>
      <c r="C4001" t="s">
        <v>7142</v>
      </c>
      <c r="D4001" t="s">
        <v>59</v>
      </c>
      <c r="E4001" s="2">
        <v>42835</v>
      </c>
      <c r="F4001" t="str">
        <f>"9781119219835"</f>
        <v>9781119219835</v>
      </c>
      <c r="G4001" t="str">
        <f>"9781119219811"</f>
        <v>9781119219811</v>
      </c>
      <c r="H4001" t="s">
        <v>525</v>
      </c>
      <c r="I4001" t="s">
        <v>7143</v>
      </c>
      <c r="J4001" t="s">
        <v>7144</v>
      </c>
      <c r="K4001" t="s">
        <v>44</v>
      </c>
      <c r="N4001" t="s">
        <v>45</v>
      </c>
      <c r="O4001" t="s">
        <v>46</v>
      </c>
      <c r="P4001" t="s">
        <v>45</v>
      </c>
      <c r="Q4001" t="s">
        <v>47</v>
      </c>
      <c r="R4001" t="s">
        <v>44</v>
      </c>
      <c r="S4001">
        <v>0</v>
      </c>
      <c r="W4001" s="3">
        <v>4.3981481481481484E-3</v>
      </c>
      <c r="X4001" t="s">
        <v>8289</v>
      </c>
      <c r="Y4001">
        <v>2</v>
      </c>
      <c r="Z4001">
        <v>3</v>
      </c>
      <c r="AA4001" t="s">
        <v>8290</v>
      </c>
      <c r="AB4001">
        <v>90</v>
      </c>
      <c r="AC4001" t="s">
        <v>49</v>
      </c>
      <c r="AD4001">
        <v>0</v>
      </c>
      <c r="AE4001">
        <v>11365259</v>
      </c>
      <c r="AF4001" t="s">
        <v>50</v>
      </c>
      <c r="AG4001" t="s">
        <v>2782</v>
      </c>
    </row>
    <row r="4002" spans="1:33" x14ac:dyDescent="0.35">
      <c r="A4002" s="1">
        <v>44628.874305555553</v>
      </c>
      <c r="B4002">
        <v>4829166</v>
      </c>
      <c r="C4002" t="s">
        <v>7142</v>
      </c>
      <c r="D4002" t="s">
        <v>59</v>
      </c>
      <c r="E4002" s="2">
        <v>42835</v>
      </c>
      <c r="F4002" t="str">
        <f>"9781119219835"</f>
        <v>9781119219835</v>
      </c>
      <c r="G4002" t="str">
        <f>"9781119219811"</f>
        <v>9781119219811</v>
      </c>
      <c r="H4002" t="s">
        <v>525</v>
      </c>
      <c r="I4002" t="s">
        <v>7143</v>
      </c>
      <c r="J4002" t="s">
        <v>7144</v>
      </c>
      <c r="K4002" t="s">
        <v>44</v>
      </c>
      <c r="N4002" t="s">
        <v>45</v>
      </c>
      <c r="O4002" t="s">
        <v>46</v>
      </c>
      <c r="P4002" t="s">
        <v>45</v>
      </c>
      <c r="Q4002" t="s">
        <v>47</v>
      </c>
      <c r="R4002" t="s">
        <v>44</v>
      </c>
      <c r="S4002">
        <v>0</v>
      </c>
      <c r="W4002" s="3">
        <v>4.0567129629629627E-2</v>
      </c>
      <c r="X4002" t="s">
        <v>8291</v>
      </c>
      <c r="Y4002">
        <v>49</v>
      </c>
      <c r="Z4002">
        <v>0</v>
      </c>
      <c r="AA4002" t="s">
        <v>49</v>
      </c>
      <c r="AB4002">
        <v>0</v>
      </c>
      <c r="AC4002" t="s">
        <v>49</v>
      </c>
      <c r="AD4002">
        <v>0</v>
      </c>
      <c r="AE4002">
        <v>11365259</v>
      </c>
      <c r="AF4002" t="s">
        <v>50</v>
      </c>
      <c r="AG4002" t="s">
        <v>7760</v>
      </c>
    </row>
    <row r="4003" spans="1:33" x14ac:dyDescent="0.35">
      <c r="A4003" s="1">
        <v>44628.870833333334</v>
      </c>
      <c r="B4003">
        <v>4829166</v>
      </c>
      <c r="C4003" t="s">
        <v>7142</v>
      </c>
      <c r="D4003" t="s">
        <v>59</v>
      </c>
      <c r="E4003" s="2">
        <v>42835</v>
      </c>
      <c r="F4003" t="str">
        <f>"9781119219835"</f>
        <v>9781119219835</v>
      </c>
      <c r="G4003" t="str">
        <f>"9781119219811"</f>
        <v>9781119219811</v>
      </c>
      <c r="H4003" t="s">
        <v>525</v>
      </c>
      <c r="I4003" t="s">
        <v>7143</v>
      </c>
      <c r="J4003" t="s">
        <v>7144</v>
      </c>
      <c r="K4003" t="s">
        <v>44</v>
      </c>
      <c r="N4003" t="s">
        <v>45</v>
      </c>
      <c r="O4003" t="s">
        <v>46</v>
      </c>
      <c r="P4003" t="s">
        <v>45</v>
      </c>
      <c r="Q4003" t="s">
        <v>47</v>
      </c>
      <c r="R4003" t="s">
        <v>44</v>
      </c>
      <c r="S4003">
        <v>0</v>
      </c>
      <c r="W4003" s="3">
        <v>7.8125E-3</v>
      </c>
      <c r="X4003" t="s">
        <v>8292</v>
      </c>
      <c r="Y4003">
        <v>65</v>
      </c>
      <c r="Z4003">
        <v>1</v>
      </c>
      <c r="AA4003" t="s">
        <v>8293</v>
      </c>
      <c r="AB4003">
        <v>20</v>
      </c>
      <c r="AC4003" t="s">
        <v>49</v>
      </c>
      <c r="AD4003">
        <v>0</v>
      </c>
      <c r="AE4003">
        <v>11365259</v>
      </c>
      <c r="AF4003" t="s">
        <v>50</v>
      </c>
      <c r="AG4003" t="s">
        <v>5005</v>
      </c>
    </row>
    <row r="4004" spans="1:33" x14ac:dyDescent="0.35">
      <c r="A4004" s="1">
        <v>44628.636805555558</v>
      </c>
      <c r="B4004">
        <v>5646559</v>
      </c>
      <c r="C4004" t="s">
        <v>8294</v>
      </c>
      <c r="D4004" t="s">
        <v>3838</v>
      </c>
      <c r="E4004" s="2">
        <v>43504</v>
      </c>
      <c r="F4004" t="str">
        <f>"9781787444201"</f>
        <v>9781787444201</v>
      </c>
      <c r="G4004" t="str">
        <f>"9781571139818"</f>
        <v>9781571139818</v>
      </c>
      <c r="H4004" t="s">
        <v>8295</v>
      </c>
      <c r="K4004" t="s">
        <v>55</v>
      </c>
      <c r="Q4004" t="s">
        <v>47</v>
      </c>
      <c r="R4004" t="s">
        <v>44</v>
      </c>
      <c r="S4004">
        <v>0</v>
      </c>
      <c r="W4004" s="3">
        <v>7.0601851851851841E-3</v>
      </c>
      <c r="X4004" t="s">
        <v>8296</v>
      </c>
      <c r="Y4004">
        <v>6</v>
      </c>
      <c r="Z4004">
        <v>0</v>
      </c>
      <c r="AA4004" t="s">
        <v>49</v>
      </c>
      <c r="AB4004">
        <v>0</v>
      </c>
      <c r="AC4004" t="s">
        <v>49</v>
      </c>
      <c r="AD4004">
        <v>0</v>
      </c>
      <c r="AE4004">
        <v>-1</v>
      </c>
      <c r="AF4004" t="s">
        <v>50</v>
      </c>
      <c r="AG4004" t="s">
        <v>7760</v>
      </c>
    </row>
    <row r="4005" spans="1:33" x14ac:dyDescent="0.35">
      <c r="A4005" s="1">
        <v>44628.621527777781</v>
      </c>
      <c r="B4005">
        <v>5945707</v>
      </c>
      <c r="C4005" t="s">
        <v>8297</v>
      </c>
      <c r="D4005" t="s">
        <v>65</v>
      </c>
      <c r="E4005" s="2">
        <v>43751</v>
      </c>
      <c r="F4005" t="str">
        <f>"9780128177372"</f>
        <v>9780128177372</v>
      </c>
      <c r="G4005" t="str">
        <f>"9780128177365"</f>
        <v>9780128177365</v>
      </c>
      <c r="H4005" t="s">
        <v>8298</v>
      </c>
      <c r="I4005">
        <v>550.28563099999997</v>
      </c>
      <c r="J4005" t="s">
        <v>8299</v>
      </c>
      <c r="K4005" t="s">
        <v>55</v>
      </c>
      <c r="Q4005" t="s">
        <v>47</v>
      </c>
      <c r="R4005" t="s">
        <v>44</v>
      </c>
      <c r="S4005">
        <v>0</v>
      </c>
      <c r="W4005" s="3">
        <v>9.9537037037037042E-4</v>
      </c>
      <c r="X4005" t="s">
        <v>8300</v>
      </c>
      <c r="Y4005">
        <v>12</v>
      </c>
      <c r="Z4005">
        <v>0</v>
      </c>
      <c r="AA4005" t="s">
        <v>49</v>
      </c>
      <c r="AB4005">
        <v>0</v>
      </c>
      <c r="AC4005" t="s">
        <v>49</v>
      </c>
      <c r="AD4005">
        <v>0</v>
      </c>
      <c r="AE4005">
        <v>-1</v>
      </c>
      <c r="AF4005" t="s">
        <v>50</v>
      </c>
      <c r="AG4005" t="s">
        <v>7760</v>
      </c>
    </row>
    <row r="4006" spans="1:33" x14ac:dyDescent="0.35">
      <c r="A4006" s="1">
        <v>44628.571527777778</v>
      </c>
      <c r="B4006">
        <v>422724</v>
      </c>
      <c r="C4006" t="s">
        <v>1115</v>
      </c>
      <c r="D4006" t="s">
        <v>125</v>
      </c>
      <c r="E4006" s="2">
        <v>38288</v>
      </c>
      <c r="F4006" t="str">
        <f>"9780191516924"</f>
        <v>9780191516924</v>
      </c>
      <c r="G4006" t="str">
        <f>"9780192804556"</f>
        <v>9780192804556</v>
      </c>
      <c r="H4006" t="s">
        <v>1069</v>
      </c>
      <c r="I4006" t="s">
        <v>1116</v>
      </c>
      <c r="J4006" t="s">
        <v>1117</v>
      </c>
      <c r="K4006" t="s">
        <v>44</v>
      </c>
      <c r="N4006" t="s">
        <v>45</v>
      </c>
      <c r="O4006" t="s">
        <v>46</v>
      </c>
      <c r="P4006" t="s">
        <v>45</v>
      </c>
      <c r="Q4006" t="s">
        <v>47</v>
      </c>
      <c r="R4006" t="s">
        <v>44</v>
      </c>
      <c r="S4006">
        <v>0</v>
      </c>
      <c r="W4006" s="3">
        <v>5.4282407407407411E-2</v>
      </c>
      <c r="X4006" t="s">
        <v>8301</v>
      </c>
      <c r="Y4006">
        <v>54</v>
      </c>
      <c r="Z4006">
        <v>0</v>
      </c>
      <c r="AA4006" t="s">
        <v>49</v>
      </c>
      <c r="AB4006">
        <v>0</v>
      </c>
      <c r="AC4006" t="s">
        <v>49</v>
      </c>
      <c r="AD4006">
        <v>0</v>
      </c>
      <c r="AE4006">
        <v>10263681</v>
      </c>
      <c r="AF4006" t="s">
        <v>50</v>
      </c>
      <c r="AG4006" t="s">
        <v>7760</v>
      </c>
    </row>
    <row r="4007" spans="1:33" x14ac:dyDescent="0.35">
      <c r="A4007" s="1">
        <v>44628.417361111111</v>
      </c>
      <c r="B4007">
        <v>422724</v>
      </c>
      <c r="C4007" t="s">
        <v>1115</v>
      </c>
      <c r="D4007" t="s">
        <v>125</v>
      </c>
      <c r="E4007" s="2">
        <v>38288</v>
      </c>
      <c r="F4007" t="str">
        <f>"9780191516924"</f>
        <v>9780191516924</v>
      </c>
      <c r="G4007" t="str">
        <f>"9780192804556"</f>
        <v>9780192804556</v>
      </c>
      <c r="H4007" t="s">
        <v>1069</v>
      </c>
      <c r="I4007" t="s">
        <v>1116</v>
      </c>
      <c r="J4007" t="s">
        <v>1117</v>
      </c>
      <c r="K4007" t="s">
        <v>44</v>
      </c>
      <c r="N4007" t="s">
        <v>45</v>
      </c>
      <c r="O4007" t="s">
        <v>46</v>
      </c>
      <c r="P4007" t="s">
        <v>45</v>
      </c>
      <c r="Q4007" t="s">
        <v>47</v>
      </c>
      <c r="R4007" t="s">
        <v>44</v>
      </c>
      <c r="S4007">
        <v>0</v>
      </c>
      <c r="W4007" s="3">
        <v>1.0439814814814813E-2</v>
      </c>
      <c r="X4007" t="s">
        <v>8302</v>
      </c>
      <c r="Y4007">
        <v>14</v>
      </c>
      <c r="Z4007">
        <v>0</v>
      </c>
      <c r="AA4007" t="s">
        <v>49</v>
      </c>
      <c r="AB4007">
        <v>0</v>
      </c>
      <c r="AC4007" t="s">
        <v>2197</v>
      </c>
      <c r="AD4007">
        <v>1</v>
      </c>
      <c r="AE4007">
        <v>10263681</v>
      </c>
      <c r="AF4007" t="s">
        <v>50</v>
      </c>
      <c r="AG4007" t="s">
        <v>7760</v>
      </c>
    </row>
    <row r="4008" spans="1:33" x14ac:dyDescent="0.35">
      <c r="A4008" s="1">
        <v>44628.131944444445</v>
      </c>
      <c r="B4008">
        <v>1633778</v>
      </c>
      <c r="C4008" t="s">
        <v>8303</v>
      </c>
      <c r="D4008" t="s">
        <v>424</v>
      </c>
      <c r="E4008" s="2">
        <v>41677</v>
      </c>
      <c r="F4008" t="str">
        <f>"9781442229525"</f>
        <v>9781442229525</v>
      </c>
      <c r="G4008" t="str">
        <f>"9781442229518"</f>
        <v>9781442229518</v>
      </c>
      <c r="H4008" t="s">
        <v>2915</v>
      </c>
      <c r="I4008">
        <v>305.69709399999999</v>
      </c>
      <c r="J4008" t="s">
        <v>8304</v>
      </c>
      <c r="K4008" t="s">
        <v>44</v>
      </c>
      <c r="N4008" t="s">
        <v>45</v>
      </c>
      <c r="O4008" t="s">
        <v>46</v>
      </c>
      <c r="P4008" t="s">
        <v>45</v>
      </c>
      <c r="Q4008" t="s">
        <v>47</v>
      </c>
      <c r="R4008" t="s">
        <v>44</v>
      </c>
      <c r="S4008">
        <v>0</v>
      </c>
      <c r="W4008" s="3">
        <v>2.7546296296296294E-3</v>
      </c>
      <c r="X4008" t="s">
        <v>8305</v>
      </c>
      <c r="Y4008">
        <v>30</v>
      </c>
      <c r="Z4008">
        <v>0</v>
      </c>
      <c r="AA4008" t="s">
        <v>49</v>
      </c>
      <c r="AB4008">
        <v>0</v>
      </c>
      <c r="AC4008" t="s">
        <v>8306</v>
      </c>
      <c r="AD4008">
        <v>2</v>
      </c>
      <c r="AE4008">
        <v>10852602</v>
      </c>
      <c r="AF4008" t="s">
        <v>50</v>
      </c>
      <c r="AG4008" t="s">
        <v>7910</v>
      </c>
    </row>
    <row r="4009" spans="1:33" x14ac:dyDescent="0.35">
      <c r="A4009" s="1">
        <v>44627.772916666669</v>
      </c>
      <c r="B4009">
        <v>415554</v>
      </c>
      <c r="C4009" t="s">
        <v>8307</v>
      </c>
      <c r="D4009" t="s">
        <v>125</v>
      </c>
      <c r="E4009" s="2">
        <v>39251</v>
      </c>
      <c r="F4009" t="str">
        <f>"9780198040279"</f>
        <v>9780198040279</v>
      </c>
      <c r="G4009" t="str">
        <f>"9780195182675"</f>
        <v>9780195182675</v>
      </c>
      <c r="H4009" t="s">
        <v>1046</v>
      </c>
      <c r="I4009" t="s">
        <v>8308</v>
      </c>
      <c r="J4009" t="s">
        <v>8309</v>
      </c>
      <c r="K4009" t="s">
        <v>44</v>
      </c>
      <c r="N4009" t="s">
        <v>45</v>
      </c>
      <c r="O4009" t="s">
        <v>46</v>
      </c>
      <c r="P4009" t="s">
        <v>45</v>
      </c>
      <c r="Q4009" t="s">
        <v>47</v>
      </c>
      <c r="R4009" t="s">
        <v>44</v>
      </c>
      <c r="S4009">
        <v>0</v>
      </c>
      <c r="W4009" s="3">
        <v>1.8530092592592595E-2</v>
      </c>
      <c r="X4009" t="s">
        <v>8310</v>
      </c>
      <c r="Y4009">
        <v>16</v>
      </c>
      <c r="Z4009">
        <v>0</v>
      </c>
      <c r="AA4009" t="s">
        <v>49</v>
      </c>
      <c r="AB4009">
        <v>0</v>
      </c>
      <c r="AC4009" t="s">
        <v>49</v>
      </c>
      <c r="AD4009">
        <v>0</v>
      </c>
      <c r="AE4009">
        <v>10212157</v>
      </c>
      <c r="AF4009" t="s">
        <v>50</v>
      </c>
      <c r="AG4009" t="s">
        <v>8311</v>
      </c>
    </row>
    <row r="4010" spans="1:33" x14ac:dyDescent="0.35">
      <c r="A4010" s="1">
        <v>44627.70208333333</v>
      </c>
      <c r="B4010">
        <v>419861</v>
      </c>
      <c r="C4010" t="s">
        <v>8312</v>
      </c>
      <c r="D4010" t="s">
        <v>3265</v>
      </c>
      <c r="E4010" s="2">
        <v>39448</v>
      </c>
      <c r="F4010" t="str">
        <f>"9789048501083"</f>
        <v>9789048501083</v>
      </c>
      <c r="G4010" t="str">
        <f>"9789053560877"</f>
        <v>9789053560877</v>
      </c>
      <c r="H4010" t="s">
        <v>337</v>
      </c>
      <c r="I4010" t="s">
        <v>8313</v>
      </c>
      <c r="J4010" t="s">
        <v>8314</v>
      </c>
      <c r="K4010" t="s">
        <v>44</v>
      </c>
      <c r="N4010" t="s">
        <v>45</v>
      </c>
      <c r="O4010" t="s">
        <v>46</v>
      </c>
      <c r="P4010" t="s">
        <v>177</v>
      </c>
      <c r="Q4010" t="s">
        <v>47</v>
      </c>
      <c r="R4010" t="s">
        <v>55</v>
      </c>
      <c r="S4010">
        <v>0</v>
      </c>
      <c r="W4010" s="3">
        <v>1.9398148148148147E-2</v>
      </c>
      <c r="X4010" t="s">
        <v>8315</v>
      </c>
      <c r="Y4010">
        <v>24</v>
      </c>
      <c r="Z4010">
        <v>0</v>
      </c>
      <c r="AA4010" t="s">
        <v>49</v>
      </c>
      <c r="AB4010">
        <v>0</v>
      </c>
      <c r="AC4010" t="s">
        <v>49</v>
      </c>
      <c r="AD4010">
        <v>0</v>
      </c>
      <c r="AE4010">
        <v>10302710</v>
      </c>
      <c r="AF4010" t="s">
        <v>50</v>
      </c>
      <c r="AG4010" t="s">
        <v>7910</v>
      </c>
    </row>
    <row r="4011" spans="1:33" x14ac:dyDescent="0.35">
      <c r="A4011" s="1">
        <v>44627.355555555558</v>
      </c>
      <c r="B4011">
        <v>413144</v>
      </c>
      <c r="C4011" t="s">
        <v>5322</v>
      </c>
      <c r="D4011" t="s">
        <v>76</v>
      </c>
      <c r="E4011" s="2">
        <v>39923</v>
      </c>
      <c r="F4011" t="str">
        <f>"9780203881552"</f>
        <v>9780203881552</v>
      </c>
      <c r="G4011" t="str">
        <f>"9780415484718"</f>
        <v>9780415484718</v>
      </c>
      <c r="H4011" t="s">
        <v>162</v>
      </c>
      <c r="I4011" t="s">
        <v>5323</v>
      </c>
      <c r="J4011" t="s">
        <v>5324</v>
      </c>
      <c r="K4011" t="s">
        <v>44</v>
      </c>
      <c r="N4011" t="s">
        <v>45</v>
      </c>
      <c r="O4011" t="s">
        <v>46</v>
      </c>
      <c r="P4011" t="s">
        <v>45</v>
      </c>
      <c r="Q4011" t="s">
        <v>47</v>
      </c>
      <c r="R4011" t="s">
        <v>44</v>
      </c>
      <c r="S4011">
        <v>0</v>
      </c>
      <c r="W4011" s="3">
        <v>1.315972222222222E-2</v>
      </c>
      <c r="X4011" t="s">
        <v>8316</v>
      </c>
      <c r="Y4011">
        <v>10</v>
      </c>
      <c r="Z4011">
        <v>0</v>
      </c>
      <c r="AA4011" t="s">
        <v>49</v>
      </c>
      <c r="AB4011">
        <v>0</v>
      </c>
      <c r="AC4011" t="s">
        <v>49</v>
      </c>
      <c r="AD4011">
        <v>0</v>
      </c>
      <c r="AE4011">
        <v>10282390</v>
      </c>
      <c r="AF4011" t="s">
        <v>50</v>
      </c>
      <c r="AG4011" t="s">
        <v>2642</v>
      </c>
    </row>
    <row r="4012" spans="1:33" x14ac:dyDescent="0.35">
      <c r="A4012" s="1">
        <v>44626.98333333333</v>
      </c>
      <c r="B4012">
        <v>3411440</v>
      </c>
      <c r="C4012" t="s">
        <v>8317</v>
      </c>
      <c r="D4012" t="s">
        <v>8318</v>
      </c>
      <c r="E4012" s="2">
        <v>37803</v>
      </c>
      <c r="F4012" t="str">
        <f>""</f>
        <v/>
      </c>
      <c r="G4012" t="str">
        <f>""</f>
        <v/>
      </c>
      <c r="H4012" t="s">
        <v>811</v>
      </c>
      <c r="J4012" t="s">
        <v>8319</v>
      </c>
      <c r="K4012" t="s">
        <v>44</v>
      </c>
      <c r="N4012" t="s">
        <v>45</v>
      </c>
      <c r="O4012" t="s">
        <v>46</v>
      </c>
      <c r="P4012" t="s">
        <v>45</v>
      </c>
      <c r="Q4012" t="s">
        <v>47</v>
      </c>
      <c r="R4012" t="s">
        <v>44</v>
      </c>
      <c r="S4012">
        <v>0</v>
      </c>
      <c r="W4012" s="3">
        <v>1.7361111111111112E-4</v>
      </c>
      <c r="X4012" t="s">
        <v>3322</v>
      </c>
      <c r="Y4012">
        <v>3</v>
      </c>
      <c r="Z4012">
        <v>0</v>
      </c>
      <c r="AA4012" t="s">
        <v>49</v>
      </c>
      <c r="AB4012">
        <v>0</v>
      </c>
      <c r="AC4012" t="s">
        <v>49</v>
      </c>
      <c r="AD4012">
        <v>0</v>
      </c>
      <c r="AE4012">
        <v>10041658</v>
      </c>
      <c r="AF4012" t="s">
        <v>50</v>
      </c>
      <c r="AG4012" t="s">
        <v>2642</v>
      </c>
    </row>
    <row r="4013" spans="1:33" x14ac:dyDescent="0.35">
      <c r="A4013" s="1">
        <v>44626.915277777778</v>
      </c>
      <c r="B4013">
        <v>1024675</v>
      </c>
      <c r="C4013" t="s">
        <v>8036</v>
      </c>
      <c r="D4013" t="s">
        <v>76</v>
      </c>
      <c r="E4013" s="2">
        <v>40750</v>
      </c>
      <c r="F4013" t="str">
        <f>"9780203810415"</f>
        <v>9780203810415</v>
      </c>
      <c r="G4013" t="str">
        <f>"9780415568050"</f>
        <v>9780415568050</v>
      </c>
      <c r="H4013" t="s">
        <v>712</v>
      </c>
      <c r="I4013">
        <v>349.42</v>
      </c>
      <c r="J4013" t="s">
        <v>8037</v>
      </c>
      <c r="K4013" t="s">
        <v>44</v>
      </c>
      <c r="N4013" t="s">
        <v>45</v>
      </c>
      <c r="O4013" t="s">
        <v>46</v>
      </c>
      <c r="P4013" t="s">
        <v>45</v>
      </c>
      <c r="Q4013" t="s">
        <v>47</v>
      </c>
      <c r="R4013" t="s">
        <v>44</v>
      </c>
      <c r="S4013">
        <v>0</v>
      </c>
      <c r="W4013" s="3">
        <v>1.4317129629629631E-2</v>
      </c>
      <c r="X4013" t="s">
        <v>8320</v>
      </c>
      <c r="Y4013">
        <v>27</v>
      </c>
      <c r="Z4013">
        <v>0</v>
      </c>
      <c r="AA4013" t="s">
        <v>49</v>
      </c>
      <c r="AB4013">
        <v>0</v>
      </c>
      <c r="AC4013" t="s">
        <v>49</v>
      </c>
      <c r="AD4013">
        <v>0</v>
      </c>
      <c r="AE4013">
        <v>10603877</v>
      </c>
      <c r="AF4013" t="s">
        <v>50</v>
      </c>
      <c r="AG4013" t="s">
        <v>7910</v>
      </c>
    </row>
    <row r="4014" spans="1:33" x14ac:dyDescent="0.35">
      <c r="A4014" s="1">
        <v>44626.811111111114</v>
      </c>
      <c r="B4014">
        <v>422724</v>
      </c>
      <c r="C4014" t="s">
        <v>1115</v>
      </c>
      <c r="D4014" t="s">
        <v>125</v>
      </c>
      <c r="E4014" s="2">
        <v>38288</v>
      </c>
      <c r="F4014" t="str">
        <f>"9780191516924"</f>
        <v>9780191516924</v>
      </c>
      <c r="G4014" t="str">
        <f>"9780192804556"</f>
        <v>9780192804556</v>
      </c>
      <c r="H4014" t="s">
        <v>1069</v>
      </c>
      <c r="I4014" t="s">
        <v>1116</v>
      </c>
      <c r="J4014" t="s">
        <v>1117</v>
      </c>
      <c r="K4014" t="s">
        <v>44</v>
      </c>
      <c r="N4014" t="s">
        <v>45</v>
      </c>
      <c r="O4014" t="s">
        <v>46</v>
      </c>
      <c r="P4014" t="s">
        <v>45</v>
      </c>
      <c r="Q4014" t="s">
        <v>47</v>
      </c>
      <c r="R4014" t="s">
        <v>44</v>
      </c>
      <c r="S4014">
        <v>0</v>
      </c>
      <c r="W4014" s="3">
        <v>2.2430555555555554E-2</v>
      </c>
      <c r="X4014" t="s">
        <v>8321</v>
      </c>
      <c r="Y4014">
        <v>6</v>
      </c>
      <c r="Z4014">
        <v>0</v>
      </c>
      <c r="AA4014" t="s">
        <v>49</v>
      </c>
      <c r="AB4014">
        <v>0</v>
      </c>
      <c r="AC4014" t="s">
        <v>49</v>
      </c>
      <c r="AD4014">
        <v>0</v>
      </c>
      <c r="AE4014">
        <v>10263681</v>
      </c>
      <c r="AF4014" t="s">
        <v>50</v>
      </c>
      <c r="AG4014" t="s">
        <v>7760</v>
      </c>
    </row>
    <row r="4015" spans="1:33" x14ac:dyDescent="0.35">
      <c r="A4015" s="1">
        <v>44626.799305555556</v>
      </c>
      <c r="B4015">
        <v>601821</v>
      </c>
      <c r="C4015" t="s">
        <v>8322</v>
      </c>
      <c r="D4015" t="s">
        <v>497</v>
      </c>
      <c r="E4015" s="2">
        <v>40409</v>
      </c>
      <c r="F4015" t="str">
        <f>"9781441155764"</f>
        <v>9781441155764</v>
      </c>
      <c r="G4015" t="str">
        <f>"9780826495792"</f>
        <v>9780826495792</v>
      </c>
      <c r="H4015" t="s">
        <v>1069</v>
      </c>
      <c r="I4015">
        <v>833.91200000000003</v>
      </c>
      <c r="J4015" t="s">
        <v>8323</v>
      </c>
      <c r="K4015" t="s">
        <v>44</v>
      </c>
      <c r="N4015" t="s">
        <v>45</v>
      </c>
      <c r="O4015" t="s">
        <v>46</v>
      </c>
      <c r="P4015" t="s">
        <v>45</v>
      </c>
      <c r="Q4015" t="s">
        <v>47</v>
      </c>
      <c r="R4015" t="s">
        <v>44</v>
      </c>
      <c r="S4015">
        <v>0</v>
      </c>
      <c r="W4015" s="3">
        <v>1.0625000000000001E-2</v>
      </c>
      <c r="X4015" t="s">
        <v>8324</v>
      </c>
      <c r="Y4015">
        <v>21</v>
      </c>
      <c r="Z4015">
        <v>0</v>
      </c>
      <c r="AA4015" t="s">
        <v>49</v>
      </c>
      <c r="AB4015">
        <v>0</v>
      </c>
      <c r="AC4015" t="s">
        <v>49</v>
      </c>
      <c r="AD4015">
        <v>0</v>
      </c>
      <c r="AE4015">
        <v>10427108</v>
      </c>
      <c r="AF4015" t="s">
        <v>50</v>
      </c>
      <c r="AG4015" t="s">
        <v>7760</v>
      </c>
    </row>
    <row r="4016" spans="1:33" x14ac:dyDescent="0.35">
      <c r="A4016" s="1">
        <v>44626.777777777781</v>
      </c>
      <c r="B4016">
        <v>3564232</v>
      </c>
      <c r="C4016" t="s">
        <v>8325</v>
      </c>
      <c r="D4016" t="s">
        <v>175</v>
      </c>
      <c r="E4016" s="2">
        <v>40812</v>
      </c>
      <c r="F4016" t="str">
        <f>"9780309212175"</f>
        <v>9780309212175</v>
      </c>
      <c r="G4016" t="str">
        <f>"9780309212168"</f>
        <v>9780309212168</v>
      </c>
      <c r="H4016" t="s">
        <v>77</v>
      </c>
      <c r="K4016" t="s">
        <v>44</v>
      </c>
      <c r="N4016" t="s">
        <v>45</v>
      </c>
      <c r="O4016" t="s">
        <v>46</v>
      </c>
      <c r="P4016" t="s">
        <v>177</v>
      </c>
      <c r="Q4016" t="s">
        <v>47</v>
      </c>
      <c r="R4016" t="s">
        <v>55</v>
      </c>
      <c r="S4016">
        <v>0</v>
      </c>
      <c r="W4016" s="3">
        <v>6.8055555555555569E-3</v>
      </c>
      <c r="X4016" t="s">
        <v>8326</v>
      </c>
      <c r="Y4016">
        <v>12</v>
      </c>
      <c r="Z4016">
        <v>0</v>
      </c>
      <c r="AA4016" t="s">
        <v>49</v>
      </c>
      <c r="AB4016">
        <v>0</v>
      </c>
      <c r="AC4016" t="s">
        <v>49</v>
      </c>
      <c r="AD4016">
        <v>0</v>
      </c>
      <c r="AE4016">
        <v>10500211</v>
      </c>
      <c r="AF4016" t="s">
        <v>50</v>
      </c>
      <c r="AG4016" t="s">
        <v>8283</v>
      </c>
    </row>
    <row r="4017" spans="1:33" x14ac:dyDescent="0.35">
      <c r="A4017" s="1">
        <v>44626.775694444441</v>
      </c>
      <c r="B4017">
        <v>1024675</v>
      </c>
      <c r="C4017" t="s">
        <v>8036</v>
      </c>
      <c r="D4017" t="s">
        <v>76</v>
      </c>
      <c r="E4017" s="2">
        <v>40750</v>
      </c>
      <c r="F4017" t="str">
        <f>"9780203810415"</f>
        <v>9780203810415</v>
      </c>
      <c r="G4017" t="str">
        <f>"9780415568050"</f>
        <v>9780415568050</v>
      </c>
      <c r="H4017" t="s">
        <v>712</v>
      </c>
      <c r="I4017">
        <v>349.42</v>
      </c>
      <c r="J4017" t="s">
        <v>8037</v>
      </c>
      <c r="K4017" t="s">
        <v>44</v>
      </c>
      <c r="N4017" t="s">
        <v>45</v>
      </c>
      <c r="O4017" t="s">
        <v>46</v>
      </c>
      <c r="P4017" t="s">
        <v>45</v>
      </c>
      <c r="Q4017" t="s">
        <v>47</v>
      </c>
      <c r="R4017" t="s">
        <v>44</v>
      </c>
      <c r="S4017">
        <v>0</v>
      </c>
      <c r="W4017" s="3">
        <v>2.5914351851851855E-2</v>
      </c>
      <c r="X4017" t="s">
        <v>8327</v>
      </c>
      <c r="Y4017">
        <v>11</v>
      </c>
      <c r="Z4017">
        <v>0</v>
      </c>
      <c r="AA4017" t="s">
        <v>49</v>
      </c>
      <c r="AB4017">
        <v>0</v>
      </c>
      <c r="AC4017" t="s">
        <v>49</v>
      </c>
      <c r="AD4017">
        <v>0</v>
      </c>
      <c r="AE4017">
        <v>10603877</v>
      </c>
      <c r="AF4017" t="s">
        <v>50</v>
      </c>
      <c r="AG4017" t="s">
        <v>7910</v>
      </c>
    </row>
    <row r="4018" spans="1:33" x14ac:dyDescent="0.35">
      <c r="A4018" s="1">
        <v>44626.758333333331</v>
      </c>
      <c r="B4018">
        <v>415486</v>
      </c>
      <c r="C4018" t="s">
        <v>8195</v>
      </c>
      <c r="D4018" t="s">
        <v>125</v>
      </c>
      <c r="E4018" s="2">
        <v>39534</v>
      </c>
      <c r="F4018" t="str">
        <f>"9780191526862"</f>
        <v>9780191526862</v>
      </c>
      <c r="G4018" t="str">
        <f>"9780199214969"</f>
        <v>9780199214969</v>
      </c>
      <c r="H4018" t="s">
        <v>712</v>
      </c>
      <c r="I4018" t="s">
        <v>8196</v>
      </c>
      <c r="J4018" t="s">
        <v>8197</v>
      </c>
      <c r="K4018" t="s">
        <v>44</v>
      </c>
      <c r="N4018" t="s">
        <v>45</v>
      </c>
      <c r="O4018" t="s">
        <v>46</v>
      </c>
      <c r="P4018" t="s">
        <v>45</v>
      </c>
      <c r="Q4018" t="s">
        <v>47</v>
      </c>
      <c r="R4018" t="s">
        <v>44</v>
      </c>
      <c r="S4018">
        <v>0</v>
      </c>
      <c r="W4018" s="3">
        <v>1.7523148148148149E-2</v>
      </c>
      <c r="X4018" t="s">
        <v>8328</v>
      </c>
      <c r="Y4018">
        <v>27</v>
      </c>
      <c r="Z4018">
        <v>0</v>
      </c>
      <c r="AA4018" t="s">
        <v>49</v>
      </c>
      <c r="AB4018">
        <v>0</v>
      </c>
      <c r="AC4018" t="s">
        <v>49</v>
      </c>
      <c r="AD4018">
        <v>0</v>
      </c>
      <c r="AE4018">
        <v>10229930</v>
      </c>
      <c r="AF4018" t="s">
        <v>50</v>
      </c>
      <c r="AG4018" t="s">
        <v>7910</v>
      </c>
    </row>
    <row r="4019" spans="1:33" x14ac:dyDescent="0.35">
      <c r="A4019" s="1">
        <v>44626.581250000003</v>
      </c>
      <c r="B4019">
        <v>807304</v>
      </c>
      <c r="C4019" t="s">
        <v>8329</v>
      </c>
      <c r="D4019" t="s">
        <v>502</v>
      </c>
      <c r="E4019" s="2">
        <v>40892</v>
      </c>
      <c r="F4019" t="str">
        <f>"9781139185691"</f>
        <v>9781139185691</v>
      </c>
      <c r="G4019" t="str">
        <f>"9780521895446"</f>
        <v>9780521895446</v>
      </c>
      <c r="H4019" t="s">
        <v>43</v>
      </c>
      <c r="I4019" t="s">
        <v>8330</v>
      </c>
      <c r="J4019" t="s">
        <v>8331</v>
      </c>
      <c r="K4019" t="s">
        <v>44</v>
      </c>
      <c r="N4019" t="s">
        <v>45</v>
      </c>
      <c r="O4019" t="s">
        <v>46</v>
      </c>
      <c r="P4019" t="s">
        <v>45</v>
      </c>
      <c r="Q4019" t="s">
        <v>47</v>
      </c>
      <c r="R4019" t="s">
        <v>44</v>
      </c>
      <c r="S4019">
        <v>1</v>
      </c>
      <c r="W4019" s="3">
        <v>0</v>
      </c>
      <c r="X4019" t="s">
        <v>49</v>
      </c>
      <c r="Y4019">
        <v>0</v>
      </c>
      <c r="Z4019">
        <v>0</v>
      </c>
      <c r="AA4019" t="s">
        <v>49</v>
      </c>
      <c r="AB4019">
        <v>0</v>
      </c>
      <c r="AC4019" t="s">
        <v>49</v>
      </c>
      <c r="AD4019">
        <v>0</v>
      </c>
      <c r="AE4019">
        <v>10520981</v>
      </c>
      <c r="AF4019" t="s">
        <v>63</v>
      </c>
      <c r="AG4019" t="s">
        <v>8332</v>
      </c>
    </row>
    <row r="4020" spans="1:33" x14ac:dyDescent="0.35">
      <c r="A4020" s="1">
        <v>44626.506249999999</v>
      </c>
      <c r="B4020">
        <v>807304</v>
      </c>
      <c r="C4020" t="s">
        <v>8329</v>
      </c>
      <c r="D4020" t="s">
        <v>502</v>
      </c>
      <c r="E4020" s="2">
        <v>40892</v>
      </c>
      <c r="F4020" t="str">
        <f>"9781139185691"</f>
        <v>9781139185691</v>
      </c>
      <c r="G4020" t="str">
        <f>"9780521895446"</f>
        <v>9780521895446</v>
      </c>
      <c r="H4020" t="s">
        <v>43</v>
      </c>
      <c r="I4020" t="s">
        <v>8330</v>
      </c>
      <c r="J4020" t="s">
        <v>8331</v>
      </c>
      <c r="K4020" t="s">
        <v>44</v>
      </c>
      <c r="N4020" t="s">
        <v>45</v>
      </c>
      <c r="O4020" t="s">
        <v>46</v>
      </c>
      <c r="P4020" t="s">
        <v>45</v>
      </c>
      <c r="Q4020" t="s">
        <v>47</v>
      </c>
      <c r="R4020" t="s">
        <v>44</v>
      </c>
      <c r="S4020">
        <v>1</v>
      </c>
      <c r="W4020" s="3">
        <v>0</v>
      </c>
      <c r="X4020" t="s">
        <v>49</v>
      </c>
      <c r="Y4020">
        <v>0</v>
      </c>
      <c r="Z4020">
        <v>3</v>
      </c>
      <c r="AA4020" t="s">
        <v>8333</v>
      </c>
      <c r="AB4020">
        <v>312</v>
      </c>
      <c r="AC4020" t="s">
        <v>49</v>
      </c>
      <c r="AD4020">
        <v>0</v>
      </c>
      <c r="AE4020">
        <v>10520981</v>
      </c>
      <c r="AF4020" t="s">
        <v>63</v>
      </c>
      <c r="AG4020" t="s">
        <v>8332</v>
      </c>
    </row>
    <row r="4021" spans="1:33" x14ac:dyDescent="0.35">
      <c r="A4021" s="1">
        <v>44626.505555555559</v>
      </c>
      <c r="B4021">
        <v>807304</v>
      </c>
      <c r="C4021" t="s">
        <v>8329</v>
      </c>
      <c r="D4021" t="s">
        <v>502</v>
      </c>
      <c r="E4021" s="2">
        <v>40892</v>
      </c>
      <c r="F4021" t="str">
        <f>"9781139185691"</f>
        <v>9781139185691</v>
      </c>
      <c r="G4021" t="str">
        <f>"9780521895446"</f>
        <v>9780521895446</v>
      </c>
      <c r="H4021" t="s">
        <v>43</v>
      </c>
      <c r="I4021" t="s">
        <v>8330</v>
      </c>
      <c r="J4021" t="s">
        <v>8331</v>
      </c>
      <c r="K4021" t="s">
        <v>44</v>
      </c>
      <c r="N4021" t="s">
        <v>45</v>
      </c>
      <c r="O4021" t="s">
        <v>46</v>
      </c>
      <c r="P4021" t="s">
        <v>45</v>
      </c>
      <c r="Q4021" t="s">
        <v>47</v>
      </c>
      <c r="R4021" t="s">
        <v>44</v>
      </c>
      <c r="S4021">
        <v>0</v>
      </c>
      <c r="W4021" s="3">
        <v>7.5231481481481471E-4</v>
      </c>
      <c r="X4021" t="s">
        <v>196</v>
      </c>
      <c r="Y4021">
        <v>2</v>
      </c>
      <c r="Z4021">
        <v>0</v>
      </c>
      <c r="AA4021" t="s">
        <v>49</v>
      </c>
      <c r="AB4021">
        <v>0</v>
      </c>
      <c r="AC4021" t="s">
        <v>49</v>
      </c>
      <c r="AD4021">
        <v>0</v>
      </c>
      <c r="AE4021">
        <v>10520981</v>
      </c>
      <c r="AF4021" t="s">
        <v>63</v>
      </c>
      <c r="AG4021" t="s">
        <v>8332</v>
      </c>
    </row>
    <row r="4022" spans="1:33" x14ac:dyDescent="0.35">
      <c r="A4022" s="1">
        <v>44625.979166666664</v>
      </c>
      <c r="B4022">
        <v>1699226</v>
      </c>
      <c r="C4022" t="s">
        <v>6670</v>
      </c>
      <c r="D4022" t="s">
        <v>6671</v>
      </c>
      <c r="E4022" s="2">
        <v>41780</v>
      </c>
      <c r="F4022" t="str">
        <f>"9780739179079"</f>
        <v>9780739179079</v>
      </c>
      <c r="G4022" t="str">
        <f>"9780739179062"</f>
        <v>9780739179062</v>
      </c>
      <c r="H4022" t="s">
        <v>162</v>
      </c>
      <c r="I4022">
        <v>297.08199999999999</v>
      </c>
      <c r="J4022" t="s">
        <v>6672</v>
      </c>
      <c r="K4022" t="s">
        <v>44</v>
      </c>
      <c r="N4022" t="s">
        <v>45</v>
      </c>
      <c r="O4022" t="s">
        <v>46</v>
      </c>
      <c r="P4022" t="s">
        <v>45</v>
      </c>
      <c r="Q4022" t="s">
        <v>47</v>
      </c>
      <c r="R4022" t="s">
        <v>44</v>
      </c>
      <c r="S4022">
        <v>0</v>
      </c>
      <c r="W4022" s="3">
        <v>1.0763888888888889E-3</v>
      </c>
      <c r="X4022" t="s">
        <v>8334</v>
      </c>
      <c r="Y4022">
        <v>3</v>
      </c>
      <c r="Z4022">
        <v>0</v>
      </c>
      <c r="AA4022" t="s">
        <v>49</v>
      </c>
      <c r="AB4022">
        <v>0</v>
      </c>
      <c r="AC4022" t="s">
        <v>49</v>
      </c>
      <c r="AD4022">
        <v>0</v>
      </c>
      <c r="AE4022">
        <v>10878893</v>
      </c>
      <c r="AF4022" t="s">
        <v>50</v>
      </c>
      <c r="AG4022" t="s">
        <v>7760</v>
      </c>
    </row>
    <row r="4023" spans="1:33" x14ac:dyDescent="0.35">
      <c r="A4023" s="1">
        <v>44625.88958333333</v>
      </c>
      <c r="B4023">
        <v>415994</v>
      </c>
      <c r="C4023" t="s">
        <v>8335</v>
      </c>
      <c r="D4023" t="s">
        <v>2728</v>
      </c>
      <c r="E4023" s="2">
        <v>39478</v>
      </c>
      <c r="F4023" t="str">
        <f>"9780191525322"</f>
        <v>9780191525322</v>
      </c>
      <c r="G4023" t="str">
        <f>"9780199203864"</f>
        <v>9780199203864</v>
      </c>
      <c r="H4023" t="s">
        <v>8336</v>
      </c>
      <c r="I4023">
        <v>541.39400000000001</v>
      </c>
      <c r="J4023" t="s">
        <v>8337</v>
      </c>
      <c r="K4023" t="s">
        <v>44</v>
      </c>
      <c r="N4023" t="s">
        <v>45</v>
      </c>
      <c r="O4023" t="s">
        <v>46</v>
      </c>
      <c r="P4023" t="s">
        <v>45</v>
      </c>
      <c r="Q4023" t="s">
        <v>47</v>
      </c>
      <c r="R4023" t="s">
        <v>44</v>
      </c>
      <c r="S4023">
        <v>0</v>
      </c>
      <c r="W4023" s="3">
        <v>2.4305555555555552E-4</v>
      </c>
      <c r="X4023" t="s">
        <v>8338</v>
      </c>
      <c r="Y4023">
        <v>4</v>
      </c>
      <c r="Z4023">
        <v>0</v>
      </c>
      <c r="AA4023" t="s">
        <v>49</v>
      </c>
      <c r="AB4023">
        <v>0</v>
      </c>
      <c r="AC4023" t="s">
        <v>49</v>
      </c>
      <c r="AD4023">
        <v>0</v>
      </c>
      <c r="AE4023">
        <v>10218535</v>
      </c>
      <c r="AF4023" t="s">
        <v>50</v>
      </c>
      <c r="AG4023" t="s">
        <v>7760</v>
      </c>
    </row>
    <row r="4024" spans="1:33" x14ac:dyDescent="0.35">
      <c r="A4024" s="1">
        <v>44625.822222222225</v>
      </c>
      <c r="B4024">
        <v>1813344</v>
      </c>
      <c r="C4024" t="s">
        <v>8339</v>
      </c>
      <c r="D4024" t="s">
        <v>59</v>
      </c>
      <c r="E4024" s="2">
        <v>41967</v>
      </c>
      <c r="F4024" t="str">
        <f>"9781118842836"</f>
        <v>9781118842836</v>
      </c>
      <c r="G4024" t="str">
        <f>"9781118842690"</f>
        <v>9781118842690</v>
      </c>
      <c r="H4024" t="s">
        <v>297</v>
      </c>
      <c r="I4024" t="s">
        <v>8340</v>
      </c>
      <c r="J4024" t="s">
        <v>8341</v>
      </c>
      <c r="K4024" t="s">
        <v>44</v>
      </c>
      <c r="N4024" t="s">
        <v>45</v>
      </c>
      <c r="O4024" t="s">
        <v>46</v>
      </c>
      <c r="P4024" t="s">
        <v>45</v>
      </c>
      <c r="Q4024" t="s">
        <v>47</v>
      </c>
      <c r="R4024" t="s">
        <v>44</v>
      </c>
      <c r="S4024">
        <v>1</v>
      </c>
      <c r="W4024" s="3">
        <v>0</v>
      </c>
      <c r="X4024" t="s">
        <v>49</v>
      </c>
      <c r="Y4024">
        <v>0</v>
      </c>
      <c r="Z4024">
        <v>0</v>
      </c>
      <c r="AA4024" t="s">
        <v>49</v>
      </c>
      <c r="AB4024">
        <v>0</v>
      </c>
      <c r="AC4024" t="s">
        <v>49</v>
      </c>
      <c r="AD4024">
        <v>0</v>
      </c>
      <c r="AE4024">
        <v>10955844</v>
      </c>
      <c r="AF4024" t="s">
        <v>63</v>
      </c>
      <c r="AG4024" t="s">
        <v>300</v>
      </c>
    </row>
    <row r="4025" spans="1:33" x14ac:dyDescent="0.35">
      <c r="A4025" s="1">
        <v>44625.732638888891</v>
      </c>
      <c r="B4025">
        <v>6370240</v>
      </c>
      <c r="C4025" t="s">
        <v>8342</v>
      </c>
      <c r="D4025" t="s">
        <v>105</v>
      </c>
      <c r="E4025" s="2">
        <v>44113</v>
      </c>
      <c r="F4025" t="str">
        <f>"9783030547349"</f>
        <v>9783030547349</v>
      </c>
      <c r="G4025" t="str">
        <f>"9783030547332"</f>
        <v>9783030547332</v>
      </c>
      <c r="H4025" t="s">
        <v>8343</v>
      </c>
      <c r="I4025">
        <v>363.73874000000001</v>
      </c>
      <c r="J4025" t="s">
        <v>8344</v>
      </c>
      <c r="K4025" t="s">
        <v>55</v>
      </c>
      <c r="N4025" t="s">
        <v>293</v>
      </c>
      <c r="P4025" t="s">
        <v>80</v>
      </c>
      <c r="Q4025" t="s">
        <v>47</v>
      </c>
      <c r="R4025" t="s">
        <v>44</v>
      </c>
      <c r="S4025">
        <v>0</v>
      </c>
      <c r="W4025" s="3">
        <v>4.6874999999999998E-3</v>
      </c>
      <c r="X4025" t="s">
        <v>8345</v>
      </c>
      <c r="Y4025">
        <v>25</v>
      </c>
      <c r="Z4025">
        <v>0</v>
      </c>
      <c r="AA4025" t="s">
        <v>49</v>
      </c>
      <c r="AB4025">
        <v>0</v>
      </c>
      <c r="AC4025" t="s">
        <v>49</v>
      </c>
      <c r="AD4025">
        <v>0</v>
      </c>
      <c r="AE4025">
        <v>-1</v>
      </c>
      <c r="AF4025" t="s">
        <v>63</v>
      </c>
      <c r="AG4025" t="s">
        <v>7760</v>
      </c>
    </row>
    <row r="4026" spans="1:33" x14ac:dyDescent="0.35">
      <c r="A4026" s="1">
        <v>44625.643055555556</v>
      </c>
      <c r="B4026">
        <v>365575</v>
      </c>
      <c r="C4026" t="s">
        <v>8346</v>
      </c>
      <c r="D4026" t="s">
        <v>65</v>
      </c>
      <c r="E4026" s="2">
        <v>39743</v>
      </c>
      <c r="F4026" t="str">
        <f>"9780080568812"</f>
        <v>9780080568812</v>
      </c>
      <c r="G4026" t="str">
        <f>"9780120885732"</f>
        <v>9780120885732</v>
      </c>
      <c r="H4026" t="s">
        <v>1040</v>
      </c>
      <c r="I4026" t="s">
        <v>8347</v>
      </c>
      <c r="J4026" t="s">
        <v>8348</v>
      </c>
      <c r="K4026" t="s">
        <v>44</v>
      </c>
      <c r="N4026" t="s">
        <v>45</v>
      </c>
      <c r="O4026" t="s">
        <v>46</v>
      </c>
      <c r="P4026" t="s">
        <v>45</v>
      </c>
      <c r="Q4026" t="s">
        <v>47</v>
      </c>
      <c r="R4026" t="s">
        <v>44</v>
      </c>
      <c r="S4026">
        <v>0</v>
      </c>
      <c r="W4026" s="3">
        <v>3.3101851851851851E-3</v>
      </c>
      <c r="X4026" t="s">
        <v>8349</v>
      </c>
      <c r="Y4026">
        <v>18</v>
      </c>
      <c r="Z4026">
        <v>0</v>
      </c>
      <c r="AA4026" t="s">
        <v>49</v>
      </c>
      <c r="AB4026">
        <v>0</v>
      </c>
      <c r="AC4026" t="s">
        <v>49</v>
      </c>
      <c r="AD4026">
        <v>0</v>
      </c>
      <c r="AE4026">
        <v>10254733</v>
      </c>
      <c r="AF4026" t="s">
        <v>50</v>
      </c>
      <c r="AG4026" t="s">
        <v>8350</v>
      </c>
    </row>
    <row r="4027" spans="1:33" x14ac:dyDescent="0.35">
      <c r="A4027" s="1">
        <v>44625.371527777781</v>
      </c>
      <c r="B4027">
        <v>945026</v>
      </c>
      <c r="C4027" t="s">
        <v>8351</v>
      </c>
      <c r="D4027" t="s">
        <v>65</v>
      </c>
      <c r="E4027" s="2">
        <v>41117</v>
      </c>
      <c r="F4027" t="str">
        <f>"9780123877895"</f>
        <v>9780123877895</v>
      </c>
      <c r="G4027" t="str">
        <f>"9780123877857"</f>
        <v>9780123877857</v>
      </c>
      <c r="H4027" t="s">
        <v>116</v>
      </c>
      <c r="I4027">
        <v>660</v>
      </c>
      <c r="J4027" t="s">
        <v>8352</v>
      </c>
      <c r="K4027" t="s">
        <v>44</v>
      </c>
      <c r="N4027" t="s">
        <v>45</v>
      </c>
      <c r="O4027" t="s">
        <v>46</v>
      </c>
      <c r="P4027" t="s">
        <v>45</v>
      </c>
      <c r="Q4027" t="s">
        <v>47</v>
      </c>
      <c r="R4027" t="s">
        <v>44</v>
      </c>
      <c r="S4027">
        <v>0</v>
      </c>
      <c r="W4027" s="3">
        <v>0</v>
      </c>
      <c r="X4027" t="s">
        <v>49</v>
      </c>
      <c r="Y4027">
        <v>0</v>
      </c>
      <c r="Z4027">
        <v>5</v>
      </c>
      <c r="AA4027" t="s">
        <v>8353</v>
      </c>
      <c r="AB4027">
        <v>74</v>
      </c>
      <c r="AC4027" t="s">
        <v>49</v>
      </c>
      <c r="AD4027">
        <v>0</v>
      </c>
      <c r="AE4027">
        <v>10571149</v>
      </c>
      <c r="AF4027" t="s">
        <v>50</v>
      </c>
      <c r="AG4027" t="s">
        <v>1451</v>
      </c>
    </row>
    <row r="4028" spans="1:33" x14ac:dyDescent="0.35">
      <c r="A4028" s="1">
        <v>44624.915277777778</v>
      </c>
      <c r="B4028">
        <v>415994</v>
      </c>
      <c r="C4028" t="s">
        <v>8335</v>
      </c>
      <c r="D4028" t="s">
        <v>2728</v>
      </c>
      <c r="E4028" s="2">
        <v>39478</v>
      </c>
      <c r="F4028" t="str">
        <f>"9780191525322"</f>
        <v>9780191525322</v>
      </c>
      <c r="G4028" t="str">
        <f>"9780199203864"</f>
        <v>9780199203864</v>
      </c>
      <c r="H4028" t="s">
        <v>8336</v>
      </c>
      <c r="I4028">
        <v>541.39400000000001</v>
      </c>
      <c r="J4028" t="s">
        <v>8337</v>
      </c>
      <c r="K4028" t="s">
        <v>44</v>
      </c>
      <c r="N4028" t="s">
        <v>45</v>
      </c>
      <c r="O4028" t="s">
        <v>46</v>
      </c>
      <c r="P4028" t="s">
        <v>45</v>
      </c>
      <c r="Q4028" t="s">
        <v>47</v>
      </c>
      <c r="R4028" t="s">
        <v>44</v>
      </c>
      <c r="S4028">
        <v>0</v>
      </c>
      <c r="W4028" s="3">
        <v>2.5462962962962961E-4</v>
      </c>
      <c r="X4028" t="s">
        <v>8354</v>
      </c>
      <c r="Y4028">
        <v>6</v>
      </c>
      <c r="Z4028">
        <v>0</v>
      </c>
      <c r="AA4028" t="s">
        <v>49</v>
      </c>
      <c r="AB4028">
        <v>0</v>
      </c>
      <c r="AC4028" t="s">
        <v>49</v>
      </c>
      <c r="AD4028">
        <v>0</v>
      </c>
      <c r="AE4028">
        <v>10218535</v>
      </c>
      <c r="AF4028" t="s">
        <v>50</v>
      </c>
      <c r="AG4028" t="s">
        <v>7760</v>
      </c>
    </row>
    <row r="4029" spans="1:33" x14ac:dyDescent="0.35">
      <c r="A4029" s="1">
        <v>44624.857638888891</v>
      </c>
      <c r="B4029">
        <v>415994</v>
      </c>
      <c r="C4029" t="s">
        <v>8335</v>
      </c>
      <c r="D4029" t="s">
        <v>2728</v>
      </c>
      <c r="E4029" s="2">
        <v>39478</v>
      </c>
      <c r="F4029" t="str">
        <f>"9780191525322"</f>
        <v>9780191525322</v>
      </c>
      <c r="G4029" t="str">
        <f>"9780199203864"</f>
        <v>9780199203864</v>
      </c>
      <c r="H4029" t="s">
        <v>8336</v>
      </c>
      <c r="I4029">
        <v>541.39400000000001</v>
      </c>
      <c r="J4029" t="s">
        <v>8337</v>
      </c>
      <c r="K4029" t="s">
        <v>44</v>
      </c>
      <c r="N4029" t="s">
        <v>45</v>
      </c>
      <c r="O4029" t="s">
        <v>46</v>
      </c>
      <c r="P4029" t="s">
        <v>45</v>
      </c>
      <c r="Q4029" t="s">
        <v>47</v>
      </c>
      <c r="R4029" t="s">
        <v>44</v>
      </c>
      <c r="S4029">
        <v>0</v>
      </c>
      <c r="W4029" s="3">
        <v>2.1666666666666667E-2</v>
      </c>
      <c r="X4029" t="s">
        <v>8355</v>
      </c>
      <c r="Y4029">
        <v>21</v>
      </c>
      <c r="Z4029">
        <v>1</v>
      </c>
      <c r="AA4029" t="s">
        <v>8356</v>
      </c>
      <c r="AB4029">
        <v>16</v>
      </c>
      <c r="AC4029" t="s">
        <v>49</v>
      </c>
      <c r="AD4029">
        <v>0</v>
      </c>
      <c r="AE4029">
        <v>10218535</v>
      </c>
      <c r="AF4029" t="s">
        <v>50</v>
      </c>
      <c r="AG4029" t="s">
        <v>7760</v>
      </c>
    </row>
    <row r="4030" spans="1:33" x14ac:dyDescent="0.35">
      <c r="A4030" s="1">
        <v>44624.511111111111</v>
      </c>
      <c r="B4030">
        <v>675893</v>
      </c>
      <c r="C4030" t="s">
        <v>8357</v>
      </c>
      <c r="D4030" t="s">
        <v>53</v>
      </c>
      <c r="E4030" s="2">
        <v>37094</v>
      </c>
      <c r="F4030" t="str">
        <f>"9781400823406"</f>
        <v>9781400823406</v>
      </c>
      <c r="G4030" t="str">
        <f>"9780691089560"</f>
        <v>9780691089560</v>
      </c>
      <c r="H4030" t="s">
        <v>1046</v>
      </c>
      <c r="I4030">
        <v>306</v>
      </c>
      <c r="J4030" t="s">
        <v>8358</v>
      </c>
      <c r="K4030" t="s">
        <v>44</v>
      </c>
      <c r="N4030" t="s">
        <v>45</v>
      </c>
      <c r="O4030" t="s">
        <v>46</v>
      </c>
      <c r="P4030" t="s">
        <v>45</v>
      </c>
      <c r="Q4030" t="s">
        <v>47</v>
      </c>
      <c r="R4030" t="s">
        <v>44</v>
      </c>
      <c r="S4030">
        <v>0</v>
      </c>
      <c r="W4030" s="3">
        <v>4.5138888888888892E-4</v>
      </c>
      <c r="X4030" t="s">
        <v>1346</v>
      </c>
      <c r="Y4030">
        <v>4</v>
      </c>
      <c r="Z4030">
        <v>0</v>
      </c>
      <c r="AA4030" t="s">
        <v>49</v>
      </c>
      <c r="AB4030">
        <v>0</v>
      </c>
      <c r="AC4030" t="s">
        <v>49</v>
      </c>
      <c r="AD4030">
        <v>0</v>
      </c>
      <c r="AE4030">
        <v>10460252</v>
      </c>
      <c r="AF4030" t="s">
        <v>50</v>
      </c>
      <c r="AG4030" t="s">
        <v>7910</v>
      </c>
    </row>
    <row r="4031" spans="1:33" x14ac:dyDescent="0.35">
      <c r="A4031" s="1">
        <v>44624.43472222222</v>
      </c>
      <c r="B4031">
        <v>1057557</v>
      </c>
      <c r="C4031" t="s">
        <v>7797</v>
      </c>
      <c r="D4031" t="s">
        <v>502</v>
      </c>
      <c r="E4031" s="2">
        <v>41211</v>
      </c>
      <c r="F4031" t="str">
        <f>"9781139845380"</f>
        <v>9781139845380</v>
      </c>
      <c r="G4031" t="str">
        <f>"9781107031852"</f>
        <v>9781107031852</v>
      </c>
      <c r="H4031" t="s">
        <v>7798</v>
      </c>
      <c r="I4031" t="s">
        <v>7799</v>
      </c>
      <c r="J4031" t="s">
        <v>7800</v>
      </c>
      <c r="K4031" t="s">
        <v>44</v>
      </c>
      <c r="N4031" t="s">
        <v>45</v>
      </c>
      <c r="O4031" t="s">
        <v>46</v>
      </c>
      <c r="P4031" t="s">
        <v>45</v>
      </c>
      <c r="Q4031" t="s">
        <v>47</v>
      </c>
      <c r="R4031" t="s">
        <v>44</v>
      </c>
      <c r="S4031">
        <v>0</v>
      </c>
      <c r="W4031" s="3">
        <v>4.6296296296296294E-5</v>
      </c>
      <c r="X4031" t="s">
        <v>121</v>
      </c>
      <c r="Y4031">
        <v>1</v>
      </c>
      <c r="Z4031">
        <v>0</v>
      </c>
      <c r="AA4031" t="s">
        <v>49</v>
      </c>
      <c r="AB4031">
        <v>0</v>
      </c>
      <c r="AC4031" t="s">
        <v>49</v>
      </c>
      <c r="AD4031">
        <v>0</v>
      </c>
      <c r="AE4031">
        <v>10628050</v>
      </c>
      <c r="AF4031" t="s">
        <v>50</v>
      </c>
      <c r="AG4031" t="s">
        <v>1816</v>
      </c>
    </row>
    <row r="4032" spans="1:33" x14ac:dyDescent="0.35">
      <c r="A4032" s="1">
        <v>44624.434027777781</v>
      </c>
      <c r="B4032">
        <v>272845</v>
      </c>
      <c r="C4032" t="s">
        <v>8359</v>
      </c>
      <c r="D4032" t="s">
        <v>125</v>
      </c>
      <c r="E4032" s="2">
        <v>37622</v>
      </c>
      <c r="F4032" t="str">
        <f>"9780199731039"</f>
        <v>9780199731039</v>
      </c>
      <c r="G4032" t="str">
        <f>"9780195128833"</f>
        <v>9780195128833</v>
      </c>
      <c r="H4032" t="s">
        <v>7798</v>
      </c>
      <c r="I4032">
        <v>176</v>
      </c>
      <c r="J4032" t="s">
        <v>8360</v>
      </c>
      <c r="K4032" t="s">
        <v>44</v>
      </c>
      <c r="N4032" t="s">
        <v>45</v>
      </c>
      <c r="O4032" t="s">
        <v>46</v>
      </c>
      <c r="P4032" t="s">
        <v>45</v>
      </c>
      <c r="Q4032" t="s">
        <v>47</v>
      </c>
      <c r="R4032" t="s">
        <v>44</v>
      </c>
      <c r="S4032">
        <v>0</v>
      </c>
      <c r="W4032" s="3">
        <v>8.2986111111111108E-3</v>
      </c>
      <c r="X4032" t="s">
        <v>8361</v>
      </c>
      <c r="Y4032">
        <v>10</v>
      </c>
      <c r="Z4032">
        <v>0</v>
      </c>
      <c r="AA4032" t="s">
        <v>49</v>
      </c>
      <c r="AB4032">
        <v>0</v>
      </c>
      <c r="AC4032" t="s">
        <v>49</v>
      </c>
      <c r="AD4032">
        <v>0</v>
      </c>
      <c r="AE4032">
        <v>10084790</v>
      </c>
      <c r="AF4032" t="s">
        <v>50</v>
      </c>
      <c r="AG4032" t="s">
        <v>1816</v>
      </c>
    </row>
    <row r="4033" spans="1:33" x14ac:dyDescent="0.35">
      <c r="A4033" s="1">
        <v>44623.944444444445</v>
      </c>
      <c r="B4033">
        <v>415554</v>
      </c>
      <c r="C4033" t="s">
        <v>8307</v>
      </c>
      <c r="D4033" t="s">
        <v>125</v>
      </c>
      <c r="E4033" s="2">
        <v>39251</v>
      </c>
      <c r="F4033" t="str">
        <f>"9780198040279"</f>
        <v>9780198040279</v>
      </c>
      <c r="G4033" t="str">
        <f>"9780195182675"</f>
        <v>9780195182675</v>
      </c>
      <c r="H4033" t="s">
        <v>1046</v>
      </c>
      <c r="I4033" t="s">
        <v>8308</v>
      </c>
      <c r="J4033" t="s">
        <v>8309</v>
      </c>
      <c r="K4033" t="s">
        <v>44</v>
      </c>
      <c r="N4033" t="s">
        <v>45</v>
      </c>
      <c r="O4033" t="s">
        <v>46</v>
      </c>
      <c r="P4033" t="s">
        <v>45</v>
      </c>
      <c r="Q4033" t="s">
        <v>47</v>
      </c>
      <c r="R4033" t="s">
        <v>44</v>
      </c>
      <c r="S4033">
        <v>0</v>
      </c>
      <c r="W4033" s="3">
        <v>7.291666666666667E-4</v>
      </c>
      <c r="X4033" t="s">
        <v>121</v>
      </c>
      <c r="Y4033">
        <v>1</v>
      </c>
      <c r="Z4033">
        <v>1</v>
      </c>
      <c r="AA4033" t="s">
        <v>942</v>
      </c>
      <c r="AB4033">
        <v>5</v>
      </c>
      <c r="AC4033" t="s">
        <v>49</v>
      </c>
      <c r="AD4033">
        <v>0</v>
      </c>
      <c r="AE4033">
        <v>10212157</v>
      </c>
      <c r="AF4033" t="s">
        <v>50</v>
      </c>
      <c r="AG4033" t="s">
        <v>8283</v>
      </c>
    </row>
    <row r="4034" spans="1:33" x14ac:dyDescent="0.35">
      <c r="A4034" s="1">
        <v>44623.771527777775</v>
      </c>
      <c r="B4034">
        <v>272845</v>
      </c>
      <c r="C4034" t="s">
        <v>8359</v>
      </c>
      <c r="D4034" t="s">
        <v>125</v>
      </c>
      <c r="E4034" s="2">
        <v>37622</v>
      </c>
      <c r="F4034" t="str">
        <f>"9780199731039"</f>
        <v>9780199731039</v>
      </c>
      <c r="G4034" t="str">
        <f>"9780195128833"</f>
        <v>9780195128833</v>
      </c>
      <c r="H4034" t="s">
        <v>7798</v>
      </c>
      <c r="I4034">
        <v>176</v>
      </c>
      <c r="J4034" t="s">
        <v>8360</v>
      </c>
      <c r="K4034" t="s">
        <v>44</v>
      </c>
      <c r="N4034" t="s">
        <v>45</v>
      </c>
      <c r="O4034" t="s">
        <v>46</v>
      </c>
      <c r="P4034" t="s">
        <v>45</v>
      </c>
      <c r="Q4034" t="s">
        <v>47</v>
      </c>
      <c r="R4034" t="s">
        <v>44</v>
      </c>
      <c r="S4034">
        <v>0</v>
      </c>
      <c r="W4034" s="3">
        <v>3.2175925925925926E-3</v>
      </c>
      <c r="X4034" t="s">
        <v>8362</v>
      </c>
      <c r="Y4034">
        <v>3</v>
      </c>
      <c r="Z4034">
        <v>0</v>
      </c>
      <c r="AA4034" t="s">
        <v>49</v>
      </c>
      <c r="AB4034">
        <v>0</v>
      </c>
      <c r="AC4034" t="s">
        <v>49</v>
      </c>
      <c r="AD4034">
        <v>0</v>
      </c>
      <c r="AE4034">
        <v>10084790</v>
      </c>
      <c r="AF4034" t="s">
        <v>50</v>
      </c>
      <c r="AG4034" t="s">
        <v>1816</v>
      </c>
    </row>
    <row r="4035" spans="1:33" x14ac:dyDescent="0.35">
      <c r="A4035" s="1">
        <v>44623.759027777778</v>
      </c>
      <c r="B4035">
        <v>6026520</v>
      </c>
      <c r="C4035" t="s">
        <v>8363</v>
      </c>
      <c r="D4035" t="s">
        <v>65</v>
      </c>
      <c r="E4035" s="2">
        <v>43850</v>
      </c>
      <c r="F4035" t="str">
        <f>"9780128165607"</f>
        <v>9780128165607</v>
      </c>
      <c r="G4035" t="str">
        <f>"9780128166512"</f>
        <v>9780128166512</v>
      </c>
      <c r="H4035" t="s">
        <v>538</v>
      </c>
      <c r="I4035">
        <v>629.13499999999999</v>
      </c>
      <c r="J4035" t="s">
        <v>8364</v>
      </c>
      <c r="K4035" t="s">
        <v>55</v>
      </c>
      <c r="Q4035" t="s">
        <v>47</v>
      </c>
      <c r="R4035" t="s">
        <v>44</v>
      </c>
      <c r="S4035">
        <v>0</v>
      </c>
      <c r="W4035" s="3">
        <v>6.9444444444444444E-5</v>
      </c>
      <c r="X4035" t="s">
        <v>8365</v>
      </c>
      <c r="Y4035">
        <v>1</v>
      </c>
      <c r="Z4035">
        <v>0</v>
      </c>
      <c r="AA4035" t="s">
        <v>49</v>
      </c>
      <c r="AB4035">
        <v>0</v>
      </c>
      <c r="AC4035" t="s">
        <v>49</v>
      </c>
      <c r="AD4035">
        <v>0</v>
      </c>
      <c r="AE4035">
        <v>-1</v>
      </c>
      <c r="AF4035" t="s">
        <v>63</v>
      </c>
      <c r="AG4035" t="s">
        <v>7104</v>
      </c>
    </row>
    <row r="4036" spans="1:33" x14ac:dyDescent="0.35">
      <c r="A4036" s="1">
        <v>44623.72152777778</v>
      </c>
      <c r="B4036">
        <v>3339851</v>
      </c>
      <c r="C4036" t="s">
        <v>1048</v>
      </c>
      <c r="D4036" t="s">
        <v>303</v>
      </c>
      <c r="E4036" s="2">
        <v>41873</v>
      </c>
      <c r="F4036" t="str">
        <f>"9780262325745"</f>
        <v>9780262325745</v>
      </c>
      <c r="G4036" t="str">
        <f>"9780262028189"</f>
        <v>9780262028189</v>
      </c>
      <c r="H4036" t="s">
        <v>106</v>
      </c>
      <c r="I4036" t="s">
        <v>1049</v>
      </c>
      <c r="J4036" t="s">
        <v>1050</v>
      </c>
      <c r="K4036" t="s">
        <v>44</v>
      </c>
      <c r="N4036" t="s">
        <v>45</v>
      </c>
      <c r="O4036" t="s">
        <v>46</v>
      </c>
      <c r="P4036" t="s">
        <v>45</v>
      </c>
      <c r="Q4036" t="s">
        <v>47</v>
      </c>
      <c r="R4036" t="s">
        <v>44</v>
      </c>
      <c r="S4036">
        <v>0</v>
      </c>
      <c r="W4036" s="3">
        <v>0</v>
      </c>
      <c r="X4036" t="s">
        <v>49</v>
      </c>
      <c r="Y4036">
        <v>0</v>
      </c>
      <c r="Z4036">
        <v>2</v>
      </c>
      <c r="AA4036" t="s">
        <v>8366</v>
      </c>
      <c r="AB4036">
        <v>52</v>
      </c>
      <c r="AC4036" t="s">
        <v>49</v>
      </c>
      <c r="AD4036">
        <v>0</v>
      </c>
      <c r="AE4036">
        <v>10919034</v>
      </c>
      <c r="AF4036" t="s">
        <v>50</v>
      </c>
      <c r="AG4036" t="s">
        <v>8367</v>
      </c>
    </row>
    <row r="4037" spans="1:33" x14ac:dyDescent="0.35">
      <c r="A4037" s="1">
        <v>44623.681944444441</v>
      </c>
      <c r="B4037">
        <v>6526588</v>
      </c>
      <c r="C4037" t="s">
        <v>8284</v>
      </c>
      <c r="D4037" t="s">
        <v>76</v>
      </c>
      <c r="E4037" s="2">
        <v>44317</v>
      </c>
      <c r="F4037" t="str">
        <f>"9781000386769"</f>
        <v>9781000386769</v>
      </c>
      <c r="G4037" t="str">
        <f>"9780367227739"</f>
        <v>9780367227739</v>
      </c>
      <c r="H4037" t="s">
        <v>90</v>
      </c>
      <c r="I4037">
        <v>370.91766999999999</v>
      </c>
      <c r="J4037" t="s">
        <v>8285</v>
      </c>
      <c r="K4037" t="s">
        <v>55</v>
      </c>
      <c r="Q4037" t="s">
        <v>47</v>
      </c>
      <c r="R4037" t="s">
        <v>44</v>
      </c>
      <c r="S4037">
        <v>0</v>
      </c>
      <c r="W4037" s="3">
        <v>5.7870370370370366E-5</v>
      </c>
      <c r="X4037" t="s">
        <v>121</v>
      </c>
      <c r="Y4037">
        <v>1</v>
      </c>
      <c r="Z4037">
        <v>0</v>
      </c>
      <c r="AA4037" t="s">
        <v>49</v>
      </c>
      <c r="AB4037">
        <v>0</v>
      </c>
      <c r="AC4037" t="s">
        <v>49</v>
      </c>
      <c r="AD4037">
        <v>0</v>
      </c>
      <c r="AE4037">
        <v>-1</v>
      </c>
      <c r="AF4037" t="s">
        <v>50</v>
      </c>
      <c r="AG4037" t="s">
        <v>7910</v>
      </c>
    </row>
    <row r="4038" spans="1:33" x14ac:dyDescent="0.35">
      <c r="A4038" s="1">
        <v>44623.662499999999</v>
      </c>
      <c r="B4038">
        <v>697758</v>
      </c>
      <c r="C4038" t="s">
        <v>8368</v>
      </c>
      <c r="D4038" t="s">
        <v>59</v>
      </c>
      <c r="E4038" s="2">
        <v>40854</v>
      </c>
      <c r="F4038" t="str">
        <f>"9781444344363"</f>
        <v>9781444344363</v>
      </c>
      <c r="G4038" t="str">
        <f>"9781405117425"</f>
        <v>9781405117425</v>
      </c>
      <c r="H4038" t="s">
        <v>425</v>
      </c>
      <c r="I4038">
        <v>320.55700000000002</v>
      </c>
      <c r="J4038" t="s">
        <v>8369</v>
      </c>
      <c r="K4038" t="s">
        <v>55</v>
      </c>
      <c r="N4038" t="s">
        <v>45</v>
      </c>
      <c r="O4038" t="s">
        <v>46</v>
      </c>
      <c r="P4038" t="s">
        <v>45</v>
      </c>
      <c r="Q4038" t="s">
        <v>47</v>
      </c>
      <c r="R4038" t="s">
        <v>44</v>
      </c>
      <c r="S4038">
        <v>0</v>
      </c>
      <c r="W4038" s="3">
        <v>5.7870370370370378E-4</v>
      </c>
      <c r="X4038" t="s">
        <v>8370</v>
      </c>
      <c r="Y4038">
        <v>7</v>
      </c>
      <c r="Z4038">
        <v>0</v>
      </c>
      <c r="AA4038" t="s">
        <v>49</v>
      </c>
      <c r="AB4038">
        <v>0</v>
      </c>
      <c r="AC4038" t="s">
        <v>49</v>
      </c>
      <c r="AD4038">
        <v>0</v>
      </c>
      <c r="AE4038">
        <v>10494587</v>
      </c>
      <c r="AF4038" t="s">
        <v>50</v>
      </c>
      <c r="AG4038" t="s">
        <v>7910</v>
      </c>
    </row>
    <row r="4039" spans="1:33" x14ac:dyDescent="0.35">
      <c r="A4039" s="1">
        <v>44623.611805555556</v>
      </c>
      <c r="B4039">
        <v>6480202</v>
      </c>
      <c r="C4039" t="s">
        <v>8371</v>
      </c>
      <c r="D4039" t="s">
        <v>105</v>
      </c>
      <c r="E4039" s="2">
        <v>44243</v>
      </c>
      <c r="F4039" t="str">
        <f>"9783030601669"</f>
        <v>9783030601669</v>
      </c>
      <c r="G4039" t="str">
        <f>"9783030601652"</f>
        <v>9783030601652</v>
      </c>
      <c r="H4039" t="s">
        <v>8372</v>
      </c>
      <c r="I4039">
        <v>629.1</v>
      </c>
      <c r="J4039" t="s">
        <v>8373</v>
      </c>
      <c r="K4039" t="s">
        <v>55</v>
      </c>
      <c r="N4039" t="s">
        <v>79</v>
      </c>
      <c r="P4039" t="s">
        <v>80</v>
      </c>
      <c r="Q4039" t="s">
        <v>47</v>
      </c>
      <c r="R4039" t="s">
        <v>44</v>
      </c>
      <c r="S4039">
        <v>1</v>
      </c>
      <c r="T4039">
        <v>90</v>
      </c>
      <c r="U4039" s="1">
        <v>44623.611805555556</v>
      </c>
      <c r="V4039" s="1">
        <v>44713.611805555556</v>
      </c>
      <c r="W4039" s="3">
        <v>0</v>
      </c>
      <c r="X4039" t="s">
        <v>49</v>
      </c>
      <c r="Y4039">
        <v>0</v>
      </c>
      <c r="Z4039">
        <v>0</v>
      </c>
      <c r="AA4039" t="s">
        <v>49</v>
      </c>
      <c r="AB4039">
        <v>0</v>
      </c>
      <c r="AC4039" t="s">
        <v>49</v>
      </c>
      <c r="AD4039">
        <v>0</v>
      </c>
      <c r="AE4039">
        <v>-1</v>
      </c>
      <c r="AF4039" t="s">
        <v>63</v>
      </c>
      <c r="AG4039" t="s">
        <v>7910</v>
      </c>
    </row>
    <row r="4040" spans="1:33" x14ac:dyDescent="0.35">
      <c r="A4040" s="1">
        <v>44623.570833333331</v>
      </c>
      <c r="B4040">
        <v>280599</v>
      </c>
      <c r="C4040" t="s">
        <v>7785</v>
      </c>
      <c r="D4040" t="s">
        <v>473</v>
      </c>
      <c r="E4040" s="2">
        <v>38265</v>
      </c>
      <c r="F4040" t="str">
        <f>"9781433705762"</f>
        <v>9781433705762</v>
      </c>
      <c r="G4040" t="str">
        <f>"9789004142336"</f>
        <v>9789004142336</v>
      </c>
      <c r="H4040" t="s">
        <v>712</v>
      </c>
      <c r="K4040" t="s">
        <v>44</v>
      </c>
      <c r="N4040" t="s">
        <v>45</v>
      </c>
      <c r="O4040" t="s">
        <v>46</v>
      </c>
      <c r="P4040" t="s">
        <v>45</v>
      </c>
      <c r="Q4040" t="s">
        <v>47</v>
      </c>
      <c r="R4040" t="s">
        <v>44</v>
      </c>
      <c r="S4040">
        <v>0</v>
      </c>
      <c r="W4040" s="3">
        <v>2.5462962962962961E-4</v>
      </c>
      <c r="X4040" t="s">
        <v>8374</v>
      </c>
      <c r="Y4040">
        <v>4</v>
      </c>
      <c r="Z4040">
        <v>0</v>
      </c>
      <c r="AA4040" t="s">
        <v>49</v>
      </c>
      <c r="AB4040">
        <v>0</v>
      </c>
      <c r="AC4040" t="s">
        <v>49</v>
      </c>
      <c r="AD4040">
        <v>0</v>
      </c>
      <c r="AE4040">
        <v>10171750</v>
      </c>
      <c r="AF4040" t="s">
        <v>50</v>
      </c>
      <c r="AG4040" t="s">
        <v>1816</v>
      </c>
    </row>
    <row r="4041" spans="1:33" x14ac:dyDescent="0.35">
      <c r="A4041" s="1">
        <v>44623.561111111114</v>
      </c>
      <c r="B4041">
        <v>272845</v>
      </c>
      <c r="C4041" t="s">
        <v>8359</v>
      </c>
      <c r="D4041" t="s">
        <v>125</v>
      </c>
      <c r="E4041" s="2">
        <v>37622</v>
      </c>
      <c r="F4041" t="str">
        <f>"9780199731039"</f>
        <v>9780199731039</v>
      </c>
      <c r="G4041" t="str">
        <f>"9780195128833"</f>
        <v>9780195128833</v>
      </c>
      <c r="H4041" t="s">
        <v>7798</v>
      </c>
      <c r="I4041">
        <v>176</v>
      </c>
      <c r="J4041" t="s">
        <v>8360</v>
      </c>
      <c r="K4041" t="s">
        <v>44</v>
      </c>
      <c r="N4041" t="s">
        <v>45</v>
      </c>
      <c r="O4041" t="s">
        <v>46</v>
      </c>
      <c r="P4041" t="s">
        <v>45</v>
      </c>
      <c r="Q4041" t="s">
        <v>47</v>
      </c>
      <c r="R4041" t="s">
        <v>44</v>
      </c>
      <c r="S4041">
        <v>0</v>
      </c>
      <c r="W4041" s="3">
        <v>6.2615740740740748E-3</v>
      </c>
      <c r="X4041" t="s">
        <v>8375</v>
      </c>
      <c r="Y4041">
        <v>7</v>
      </c>
      <c r="Z4041">
        <v>0</v>
      </c>
      <c r="AA4041" t="s">
        <v>49</v>
      </c>
      <c r="AB4041">
        <v>0</v>
      </c>
      <c r="AC4041" t="s">
        <v>49</v>
      </c>
      <c r="AD4041">
        <v>0</v>
      </c>
      <c r="AE4041">
        <v>10084790</v>
      </c>
      <c r="AF4041" t="s">
        <v>50</v>
      </c>
      <c r="AG4041" t="s">
        <v>1816</v>
      </c>
    </row>
    <row r="4042" spans="1:33" x14ac:dyDescent="0.35">
      <c r="A4042" s="1">
        <v>44623.560416666667</v>
      </c>
      <c r="B4042">
        <v>1057557</v>
      </c>
      <c r="C4042" t="s">
        <v>7797</v>
      </c>
      <c r="D4042" t="s">
        <v>502</v>
      </c>
      <c r="E4042" s="2">
        <v>41211</v>
      </c>
      <c r="F4042" t="str">
        <f>"9781139845380"</f>
        <v>9781139845380</v>
      </c>
      <c r="G4042" t="str">
        <f>"9781107031852"</f>
        <v>9781107031852</v>
      </c>
      <c r="H4042" t="s">
        <v>7798</v>
      </c>
      <c r="I4042" t="s">
        <v>7799</v>
      </c>
      <c r="J4042" t="s">
        <v>7800</v>
      </c>
      <c r="K4042" t="s">
        <v>44</v>
      </c>
      <c r="N4042" t="s">
        <v>45</v>
      </c>
      <c r="O4042" t="s">
        <v>46</v>
      </c>
      <c r="P4042" t="s">
        <v>45</v>
      </c>
      <c r="Q4042" t="s">
        <v>47</v>
      </c>
      <c r="R4042" t="s">
        <v>44</v>
      </c>
      <c r="S4042">
        <v>0</v>
      </c>
      <c r="W4042" s="3">
        <v>1.5046296296296297E-4</v>
      </c>
      <c r="X4042" t="s">
        <v>56</v>
      </c>
      <c r="Y4042">
        <v>3</v>
      </c>
      <c r="Z4042">
        <v>0</v>
      </c>
      <c r="AA4042" t="s">
        <v>49</v>
      </c>
      <c r="AB4042">
        <v>0</v>
      </c>
      <c r="AC4042" t="s">
        <v>49</v>
      </c>
      <c r="AD4042">
        <v>0</v>
      </c>
      <c r="AE4042">
        <v>10628050</v>
      </c>
      <c r="AF4042" t="s">
        <v>50</v>
      </c>
      <c r="AG4042" t="s">
        <v>1816</v>
      </c>
    </row>
    <row r="4043" spans="1:33" x14ac:dyDescent="0.35">
      <c r="A4043" s="1">
        <v>44623.324305555558</v>
      </c>
      <c r="B4043">
        <v>614685</v>
      </c>
      <c r="C4043" t="s">
        <v>8193</v>
      </c>
      <c r="D4043" t="s">
        <v>76</v>
      </c>
      <c r="E4043" s="2">
        <v>40513</v>
      </c>
      <c r="F4043" t="str">
        <f>"9780203840573"</f>
        <v>9780203840573</v>
      </c>
      <c r="G4043" t="str">
        <f>"9780415466899"</f>
        <v>9780415466899</v>
      </c>
      <c r="H4043" t="s">
        <v>1046</v>
      </c>
      <c r="I4043">
        <v>306.36209000000002</v>
      </c>
      <c r="J4043" t="s">
        <v>8194</v>
      </c>
      <c r="K4043" t="s">
        <v>44</v>
      </c>
      <c r="N4043" t="s">
        <v>45</v>
      </c>
      <c r="O4043" t="s">
        <v>46</v>
      </c>
      <c r="P4043" t="s">
        <v>45</v>
      </c>
      <c r="Q4043" t="s">
        <v>47</v>
      </c>
      <c r="R4043" t="s">
        <v>44</v>
      </c>
      <c r="S4043">
        <v>0</v>
      </c>
      <c r="W4043" s="3">
        <v>1.0995370370370371E-3</v>
      </c>
      <c r="X4043" t="s">
        <v>8376</v>
      </c>
      <c r="Y4043">
        <v>18</v>
      </c>
      <c r="Z4043">
        <v>1</v>
      </c>
      <c r="AA4043" t="s">
        <v>8377</v>
      </c>
      <c r="AB4043">
        <v>16</v>
      </c>
      <c r="AC4043" t="s">
        <v>49</v>
      </c>
      <c r="AD4043">
        <v>0</v>
      </c>
      <c r="AE4043">
        <v>10446814</v>
      </c>
      <c r="AF4043" t="s">
        <v>50</v>
      </c>
      <c r="AG4043" t="s">
        <v>8250</v>
      </c>
    </row>
    <row r="4044" spans="1:33" x14ac:dyDescent="0.35">
      <c r="A4044" s="1">
        <v>44623.324305555558</v>
      </c>
      <c r="B4044">
        <v>3420805</v>
      </c>
      <c r="C4044" t="s">
        <v>8190</v>
      </c>
      <c r="D4044" t="s">
        <v>347</v>
      </c>
      <c r="E4044" s="2">
        <v>40995</v>
      </c>
      <c r="F4044" t="str">
        <f>"9780300178067"</f>
        <v>9780300178067</v>
      </c>
      <c r="G4044" t="str">
        <f>"9780300113150"</f>
        <v>9780300113150</v>
      </c>
      <c r="H4044" t="s">
        <v>1046</v>
      </c>
      <c r="I4044">
        <v>306.36209000000002</v>
      </c>
      <c r="J4044" t="s">
        <v>8191</v>
      </c>
      <c r="K4044" t="s">
        <v>44</v>
      </c>
      <c r="N4044" t="s">
        <v>45</v>
      </c>
      <c r="O4044" t="s">
        <v>46</v>
      </c>
      <c r="P4044" t="s">
        <v>45</v>
      </c>
      <c r="Q4044" t="s">
        <v>47</v>
      </c>
      <c r="R4044" t="s">
        <v>44</v>
      </c>
      <c r="S4044">
        <v>0</v>
      </c>
      <c r="W4044" s="3">
        <v>1.5046296296296297E-4</v>
      </c>
      <c r="X4044" t="s">
        <v>8378</v>
      </c>
      <c r="Y4044">
        <v>6</v>
      </c>
      <c r="Z4044">
        <v>0</v>
      </c>
      <c r="AA4044" t="s">
        <v>49</v>
      </c>
      <c r="AB4044">
        <v>0</v>
      </c>
      <c r="AC4044" t="s">
        <v>49</v>
      </c>
      <c r="AD4044">
        <v>0</v>
      </c>
      <c r="AE4044">
        <v>10546764</v>
      </c>
      <c r="AF4044" t="s">
        <v>50</v>
      </c>
      <c r="AG4044" t="s">
        <v>8250</v>
      </c>
    </row>
    <row r="4045" spans="1:33" x14ac:dyDescent="0.35">
      <c r="A4045" s="1">
        <v>44623.272222222222</v>
      </c>
      <c r="B4045">
        <v>614685</v>
      </c>
      <c r="C4045" t="s">
        <v>8193</v>
      </c>
      <c r="D4045" t="s">
        <v>76</v>
      </c>
      <c r="E4045" s="2">
        <v>40513</v>
      </c>
      <c r="F4045" t="str">
        <f>"9780203840573"</f>
        <v>9780203840573</v>
      </c>
      <c r="G4045" t="str">
        <f>"9780415466899"</f>
        <v>9780415466899</v>
      </c>
      <c r="H4045" t="s">
        <v>1046</v>
      </c>
      <c r="I4045">
        <v>306.36209000000002</v>
      </c>
      <c r="J4045" t="s">
        <v>8194</v>
      </c>
      <c r="K4045" t="s">
        <v>44</v>
      </c>
      <c r="N4045" t="s">
        <v>45</v>
      </c>
      <c r="O4045" t="s">
        <v>46</v>
      </c>
      <c r="P4045" t="s">
        <v>45</v>
      </c>
      <c r="Q4045" t="s">
        <v>47</v>
      </c>
      <c r="R4045" t="s">
        <v>44</v>
      </c>
      <c r="S4045">
        <v>0</v>
      </c>
      <c r="W4045" s="3">
        <v>2.372685185185185E-2</v>
      </c>
      <c r="X4045" t="s">
        <v>8379</v>
      </c>
      <c r="Y4045">
        <v>13</v>
      </c>
      <c r="Z4045">
        <v>0</v>
      </c>
      <c r="AA4045" t="s">
        <v>49</v>
      </c>
      <c r="AB4045">
        <v>0</v>
      </c>
      <c r="AC4045" t="s">
        <v>49</v>
      </c>
      <c r="AD4045">
        <v>0</v>
      </c>
      <c r="AE4045">
        <v>10446814</v>
      </c>
      <c r="AF4045" t="s">
        <v>50</v>
      </c>
      <c r="AG4045" t="s">
        <v>8250</v>
      </c>
    </row>
    <row r="4046" spans="1:33" x14ac:dyDescent="0.35">
      <c r="A4046" s="1">
        <v>44623.263888888891</v>
      </c>
      <c r="B4046">
        <v>310690</v>
      </c>
      <c r="C4046" t="s">
        <v>3233</v>
      </c>
      <c r="D4046" t="s">
        <v>2754</v>
      </c>
      <c r="E4046" s="2">
        <v>38412</v>
      </c>
      <c r="F4046" t="str">
        <f>"9780816696321"</f>
        <v>9780816696321</v>
      </c>
      <c r="G4046" t="str">
        <f>"9780816644100"</f>
        <v>9780816644100</v>
      </c>
      <c r="H4046" t="s">
        <v>3234</v>
      </c>
      <c r="I4046">
        <v>322.10956099999999</v>
      </c>
      <c r="J4046" t="s">
        <v>3235</v>
      </c>
      <c r="K4046" t="s">
        <v>44</v>
      </c>
      <c r="N4046" t="s">
        <v>45</v>
      </c>
      <c r="O4046" t="s">
        <v>46</v>
      </c>
      <c r="P4046" t="s">
        <v>45</v>
      </c>
      <c r="Q4046" t="s">
        <v>47</v>
      </c>
      <c r="R4046" t="s">
        <v>44</v>
      </c>
      <c r="S4046">
        <v>0</v>
      </c>
      <c r="W4046" s="3">
        <v>1.4479166666666668E-2</v>
      </c>
      <c r="X4046" t="s">
        <v>8380</v>
      </c>
      <c r="Y4046">
        <v>21</v>
      </c>
      <c r="Z4046">
        <v>0</v>
      </c>
      <c r="AA4046" t="s">
        <v>49</v>
      </c>
      <c r="AB4046">
        <v>0</v>
      </c>
      <c r="AC4046" t="s">
        <v>49</v>
      </c>
      <c r="AD4046">
        <v>0</v>
      </c>
      <c r="AE4046">
        <v>10151200</v>
      </c>
      <c r="AF4046" t="s">
        <v>50</v>
      </c>
      <c r="AG4046" t="s">
        <v>7910</v>
      </c>
    </row>
    <row r="4047" spans="1:33" x14ac:dyDescent="0.35">
      <c r="A4047" s="1">
        <v>44623.226388888892</v>
      </c>
      <c r="B4047">
        <v>310690</v>
      </c>
      <c r="C4047" t="s">
        <v>3233</v>
      </c>
      <c r="D4047" t="s">
        <v>2754</v>
      </c>
      <c r="E4047" s="2">
        <v>38412</v>
      </c>
      <c r="F4047" t="str">
        <f>"9780816696321"</f>
        <v>9780816696321</v>
      </c>
      <c r="G4047" t="str">
        <f>"9780816644100"</f>
        <v>9780816644100</v>
      </c>
      <c r="H4047" t="s">
        <v>3234</v>
      </c>
      <c r="I4047">
        <v>322.10956099999999</v>
      </c>
      <c r="J4047" t="s">
        <v>3235</v>
      </c>
      <c r="K4047" t="s">
        <v>44</v>
      </c>
      <c r="N4047" t="s">
        <v>45</v>
      </c>
      <c r="O4047" t="s">
        <v>46</v>
      </c>
      <c r="P4047" t="s">
        <v>45</v>
      </c>
      <c r="Q4047" t="s">
        <v>47</v>
      </c>
      <c r="R4047" t="s">
        <v>44</v>
      </c>
      <c r="S4047">
        <v>0</v>
      </c>
      <c r="W4047" s="3">
        <v>1.7939814814814815E-3</v>
      </c>
      <c r="X4047" t="s">
        <v>8381</v>
      </c>
      <c r="Y4047">
        <v>15</v>
      </c>
      <c r="Z4047">
        <v>0</v>
      </c>
      <c r="AA4047" t="s">
        <v>49</v>
      </c>
      <c r="AB4047">
        <v>0</v>
      </c>
      <c r="AC4047" t="s">
        <v>49</v>
      </c>
      <c r="AD4047">
        <v>0</v>
      </c>
      <c r="AE4047">
        <v>10151200</v>
      </c>
      <c r="AF4047" t="s">
        <v>50</v>
      </c>
      <c r="AG4047" t="s">
        <v>7910</v>
      </c>
    </row>
    <row r="4048" spans="1:33" x14ac:dyDescent="0.35">
      <c r="A4048" s="1">
        <v>44623.180555555555</v>
      </c>
      <c r="B4048">
        <v>1884177</v>
      </c>
      <c r="C4048" t="s">
        <v>8382</v>
      </c>
      <c r="D4048" t="s">
        <v>8383</v>
      </c>
      <c r="E4048" s="2">
        <v>41378</v>
      </c>
      <c r="F4048" t="str">
        <f>"9780873898805"</f>
        <v>9780873898805</v>
      </c>
      <c r="G4048" t="str">
        <f>"9780873898539"</f>
        <v>9780873898539</v>
      </c>
      <c r="H4048" t="s">
        <v>60</v>
      </c>
      <c r="I4048" t="s">
        <v>8384</v>
      </c>
      <c r="J4048" t="s">
        <v>8385</v>
      </c>
      <c r="K4048" t="s">
        <v>44</v>
      </c>
      <c r="N4048" t="s">
        <v>45</v>
      </c>
      <c r="O4048" t="s">
        <v>46</v>
      </c>
      <c r="P4048" t="s">
        <v>45</v>
      </c>
      <c r="Q4048" t="s">
        <v>47</v>
      </c>
      <c r="R4048" t="s">
        <v>44</v>
      </c>
      <c r="S4048">
        <v>0</v>
      </c>
      <c r="W4048" s="3">
        <v>4.6296296296296294E-5</v>
      </c>
      <c r="X4048" t="s">
        <v>121</v>
      </c>
      <c r="Y4048">
        <v>1</v>
      </c>
      <c r="Z4048">
        <v>0</v>
      </c>
      <c r="AA4048" t="s">
        <v>49</v>
      </c>
      <c r="AB4048">
        <v>0</v>
      </c>
      <c r="AC4048" t="s">
        <v>49</v>
      </c>
      <c r="AD4048">
        <v>0</v>
      </c>
      <c r="AE4048">
        <v>10929588</v>
      </c>
      <c r="AF4048" t="s">
        <v>50</v>
      </c>
      <c r="AG4048" t="s">
        <v>840</v>
      </c>
    </row>
    <row r="4049" spans="1:33" x14ac:dyDescent="0.35">
      <c r="A4049" s="1">
        <v>44623.148611111108</v>
      </c>
      <c r="B4049">
        <v>1884177</v>
      </c>
      <c r="C4049" t="s">
        <v>8382</v>
      </c>
      <c r="D4049" t="s">
        <v>8383</v>
      </c>
      <c r="E4049" s="2">
        <v>41378</v>
      </c>
      <c r="F4049" t="str">
        <f>"9780873898805"</f>
        <v>9780873898805</v>
      </c>
      <c r="G4049" t="str">
        <f>"9780873898539"</f>
        <v>9780873898539</v>
      </c>
      <c r="H4049" t="s">
        <v>60</v>
      </c>
      <c r="I4049" t="s">
        <v>8384</v>
      </c>
      <c r="J4049" t="s">
        <v>8385</v>
      </c>
      <c r="K4049" t="s">
        <v>44</v>
      </c>
      <c r="N4049" t="s">
        <v>45</v>
      </c>
      <c r="O4049" t="s">
        <v>46</v>
      </c>
      <c r="P4049" t="s">
        <v>45</v>
      </c>
      <c r="Q4049" t="s">
        <v>47</v>
      </c>
      <c r="R4049" t="s">
        <v>44</v>
      </c>
      <c r="S4049">
        <v>0</v>
      </c>
      <c r="W4049" s="3">
        <v>3.3564814814814812E-4</v>
      </c>
      <c r="X4049" t="s">
        <v>8386</v>
      </c>
      <c r="Y4049">
        <v>3</v>
      </c>
      <c r="Z4049">
        <v>0</v>
      </c>
      <c r="AA4049" t="s">
        <v>49</v>
      </c>
      <c r="AB4049">
        <v>0</v>
      </c>
      <c r="AC4049" t="s">
        <v>49</v>
      </c>
      <c r="AD4049">
        <v>0</v>
      </c>
      <c r="AE4049">
        <v>10929588</v>
      </c>
      <c r="AF4049" t="s">
        <v>50</v>
      </c>
      <c r="AG4049" t="s">
        <v>840</v>
      </c>
    </row>
    <row r="4050" spans="1:33" x14ac:dyDescent="0.35">
      <c r="A4050" s="1">
        <v>44623.137499999997</v>
      </c>
      <c r="B4050">
        <v>1884177</v>
      </c>
      <c r="C4050" t="s">
        <v>8382</v>
      </c>
      <c r="D4050" t="s">
        <v>8383</v>
      </c>
      <c r="E4050" s="2">
        <v>41378</v>
      </c>
      <c r="F4050" t="str">
        <f>"9780873898805"</f>
        <v>9780873898805</v>
      </c>
      <c r="G4050" t="str">
        <f>"9780873898539"</f>
        <v>9780873898539</v>
      </c>
      <c r="H4050" t="s">
        <v>60</v>
      </c>
      <c r="I4050" t="s">
        <v>8384</v>
      </c>
      <c r="J4050" t="s">
        <v>8385</v>
      </c>
      <c r="K4050" t="s">
        <v>44</v>
      </c>
      <c r="N4050" t="s">
        <v>45</v>
      </c>
      <c r="O4050" t="s">
        <v>46</v>
      </c>
      <c r="P4050" t="s">
        <v>45</v>
      </c>
      <c r="Q4050" t="s">
        <v>47</v>
      </c>
      <c r="R4050" t="s">
        <v>44</v>
      </c>
      <c r="S4050">
        <v>0</v>
      </c>
      <c r="W4050" s="3">
        <v>2.146990740740741E-2</v>
      </c>
      <c r="X4050" t="s">
        <v>8387</v>
      </c>
      <c r="Y4050">
        <v>12</v>
      </c>
      <c r="Z4050">
        <v>0</v>
      </c>
      <c r="AA4050" t="s">
        <v>49</v>
      </c>
      <c r="AB4050">
        <v>0</v>
      </c>
      <c r="AC4050" t="s">
        <v>8388</v>
      </c>
      <c r="AD4050">
        <v>1</v>
      </c>
      <c r="AE4050">
        <v>10929588</v>
      </c>
      <c r="AF4050" t="s">
        <v>50</v>
      </c>
      <c r="AG4050" t="s">
        <v>2642</v>
      </c>
    </row>
    <row r="4051" spans="1:33" x14ac:dyDescent="0.35">
      <c r="A4051" s="1">
        <v>44623.120833333334</v>
      </c>
      <c r="B4051">
        <v>1884177</v>
      </c>
      <c r="C4051" t="s">
        <v>8382</v>
      </c>
      <c r="D4051" t="s">
        <v>8383</v>
      </c>
      <c r="E4051" s="2">
        <v>41378</v>
      </c>
      <c r="F4051" t="str">
        <f>"9780873898805"</f>
        <v>9780873898805</v>
      </c>
      <c r="G4051" t="str">
        <f>"9780873898539"</f>
        <v>9780873898539</v>
      </c>
      <c r="H4051" t="s">
        <v>60</v>
      </c>
      <c r="I4051" t="s">
        <v>8384</v>
      </c>
      <c r="J4051" t="s">
        <v>8385</v>
      </c>
      <c r="K4051" t="s">
        <v>44</v>
      </c>
      <c r="N4051" t="s">
        <v>45</v>
      </c>
      <c r="O4051" t="s">
        <v>46</v>
      </c>
      <c r="P4051" t="s">
        <v>45</v>
      </c>
      <c r="Q4051" t="s">
        <v>47</v>
      </c>
      <c r="R4051" t="s">
        <v>44</v>
      </c>
      <c r="S4051">
        <v>0</v>
      </c>
      <c r="W4051" s="3">
        <v>9.2592592592592585E-4</v>
      </c>
      <c r="X4051" t="s">
        <v>8389</v>
      </c>
      <c r="Y4051">
        <v>7</v>
      </c>
      <c r="Z4051">
        <v>0</v>
      </c>
      <c r="AA4051" t="s">
        <v>49</v>
      </c>
      <c r="AB4051">
        <v>0</v>
      </c>
      <c r="AC4051" t="s">
        <v>49</v>
      </c>
      <c r="AD4051">
        <v>0</v>
      </c>
      <c r="AE4051">
        <v>10929588</v>
      </c>
      <c r="AF4051" t="s">
        <v>50</v>
      </c>
      <c r="AG4051" t="s">
        <v>840</v>
      </c>
    </row>
    <row r="4052" spans="1:33" x14ac:dyDescent="0.35">
      <c r="A4052" s="1">
        <v>44623.106249999997</v>
      </c>
      <c r="B4052">
        <v>3239659</v>
      </c>
      <c r="C4052" t="s">
        <v>8390</v>
      </c>
      <c r="D4052" t="s">
        <v>6899</v>
      </c>
      <c r="E4052" s="2">
        <v>39553</v>
      </c>
      <c r="F4052" t="str">
        <f>"9780823247721"</f>
        <v>9780823247721</v>
      </c>
      <c r="G4052" t="str">
        <f>"9780823228539"</f>
        <v>9780823228539</v>
      </c>
      <c r="H4052" t="s">
        <v>498</v>
      </c>
      <c r="I4052">
        <v>171.2</v>
      </c>
      <c r="J4052" t="s">
        <v>8391</v>
      </c>
      <c r="K4052" t="s">
        <v>44</v>
      </c>
      <c r="N4052" t="s">
        <v>45</v>
      </c>
      <c r="O4052" t="s">
        <v>46</v>
      </c>
      <c r="P4052" t="s">
        <v>45</v>
      </c>
      <c r="Q4052" t="s">
        <v>47</v>
      </c>
      <c r="R4052" t="s">
        <v>44</v>
      </c>
      <c r="S4052">
        <v>0</v>
      </c>
      <c r="W4052" s="3">
        <v>6.4814814814814813E-3</v>
      </c>
      <c r="X4052" t="s">
        <v>8392</v>
      </c>
      <c r="Y4052">
        <v>34</v>
      </c>
      <c r="Z4052">
        <v>0</v>
      </c>
      <c r="AA4052" t="s">
        <v>49</v>
      </c>
      <c r="AB4052">
        <v>0</v>
      </c>
      <c r="AC4052" t="s">
        <v>49</v>
      </c>
      <c r="AD4052">
        <v>0</v>
      </c>
      <c r="AE4052">
        <v>10586717</v>
      </c>
      <c r="AF4052" t="s">
        <v>50</v>
      </c>
      <c r="AG4052" t="s">
        <v>7910</v>
      </c>
    </row>
    <row r="4053" spans="1:33" x14ac:dyDescent="0.35">
      <c r="A4053" s="1">
        <v>44623.102083333331</v>
      </c>
      <c r="B4053">
        <v>415486</v>
      </c>
      <c r="C4053" t="s">
        <v>8195</v>
      </c>
      <c r="D4053" t="s">
        <v>125</v>
      </c>
      <c r="E4053" s="2">
        <v>39534</v>
      </c>
      <c r="F4053" t="str">
        <f>"9780191526862"</f>
        <v>9780191526862</v>
      </c>
      <c r="G4053" t="str">
        <f>"9780199214969"</f>
        <v>9780199214969</v>
      </c>
      <c r="H4053" t="s">
        <v>712</v>
      </c>
      <c r="I4053" t="s">
        <v>8196</v>
      </c>
      <c r="J4053" t="s">
        <v>8197</v>
      </c>
      <c r="K4053" t="s">
        <v>44</v>
      </c>
      <c r="N4053" t="s">
        <v>45</v>
      </c>
      <c r="O4053" t="s">
        <v>46</v>
      </c>
      <c r="P4053" t="s">
        <v>45</v>
      </c>
      <c r="Q4053" t="s">
        <v>47</v>
      </c>
      <c r="R4053" t="s">
        <v>44</v>
      </c>
      <c r="S4053">
        <v>0</v>
      </c>
      <c r="W4053" s="3">
        <v>2.6064814814814815E-2</v>
      </c>
      <c r="X4053" t="s">
        <v>8393</v>
      </c>
      <c r="Y4053">
        <v>32</v>
      </c>
      <c r="Z4053">
        <v>0</v>
      </c>
      <c r="AA4053" t="s">
        <v>49</v>
      </c>
      <c r="AB4053">
        <v>0</v>
      </c>
      <c r="AC4053" t="s">
        <v>49</v>
      </c>
      <c r="AD4053">
        <v>0</v>
      </c>
      <c r="AE4053">
        <v>10229930</v>
      </c>
      <c r="AF4053" t="s">
        <v>50</v>
      </c>
      <c r="AG4053" t="s">
        <v>7910</v>
      </c>
    </row>
    <row r="4054" spans="1:33" x14ac:dyDescent="0.35">
      <c r="A4054" s="1">
        <v>44623.100694444445</v>
      </c>
      <c r="B4054">
        <v>866898</v>
      </c>
      <c r="C4054" t="s">
        <v>8394</v>
      </c>
      <c r="D4054" t="s">
        <v>502</v>
      </c>
      <c r="E4054" s="2">
        <v>40990</v>
      </c>
      <c r="F4054" t="str">
        <f>"9781139340274"</f>
        <v>9781139340274</v>
      </c>
      <c r="G4054" t="str">
        <f>"9781107016729"</f>
        <v>9781107016729</v>
      </c>
      <c r="H4054" t="s">
        <v>712</v>
      </c>
      <c r="I4054">
        <v>341.09730000000002</v>
      </c>
      <c r="J4054" t="s">
        <v>8395</v>
      </c>
      <c r="K4054" t="s">
        <v>44</v>
      </c>
      <c r="N4054" t="s">
        <v>45</v>
      </c>
      <c r="O4054" t="s">
        <v>46</v>
      </c>
      <c r="P4054" t="s">
        <v>45</v>
      </c>
      <c r="Q4054" t="s">
        <v>47</v>
      </c>
      <c r="R4054" t="s">
        <v>44</v>
      </c>
      <c r="S4054">
        <v>0</v>
      </c>
      <c r="W4054" s="3">
        <v>1.9675925925925928E-3</v>
      </c>
      <c r="X4054" t="s">
        <v>8396</v>
      </c>
      <c r="Y4054">
        <v>4</v>
      </c>
      <c r="Z4054">
        <v>0</v>
      </c>
      <c r="AA4054" t="s">
        <v>49</v>
      </c>
      <c r="AB4054">
        <v>0</v>
      </c>
      <c r="AC4054" t="s">
        <v>49</v>
      </c>
      <c r="AD4054">
        <v>0</v>
      </c>
      <c r="AE4054">
        <v>10558203</v>
      </c>
      <c r="AF4054" t="s">
        <v>50</v>
      </c>
      <c r="AG4054" t="s">
        <v>7910</v>
      </c>
    </row>
    <row r="4055" spans="1:33" x14ac:dyDescent="0.35">
      <c r="A4055" s="1">
        <v>44623.080555555556</v>
      </c>
      <c r="B4055">
        <v>1936135</v>
      </c>
      <c r="C4055" t="s">
        <v>8212</v>
      </c>
      <c r="D4055" t="s">
        <v>473</v>
      </c>
      <c r="E4055" s="2">
        <v>41996</v>
      </c>
      <c r="F4055" t="str">
        <f>"9789004281806"</f>
        <v>9789004281806</v>
      </c>
      <c r="G4055" t="str">
        <f>"9789004277434"</f>
        <v>9789004277434</v>
      </c>
      <c r="H4055" t="s">
        <v>712</v>
      </c>
      <c r="I4055" t="s">
        <v>1490</v>
      </c>
      <c r="J4055" t="s">
        <v>8213</v>
      </c>
      <c r="K4055" t="s">
        <v>44</v>
      </c>
      <c r="N4055" t="s">
        <v>45</v>
      </c>
      <c r="O4055" t="s">
        <v>46</v>
      </c>
      <c r="P4055" t="s">
        <v>45</v>
      </c>
      <c r="Q4055" t="s">
        <v>47</v>
      </c>
      <c r="R4055" t="s">
        <v>44</v>
      </c>
      <c r="S4055">
        <v>0</v>
      </c>
      <c r="W4055" s="3">
        <v>6.4814814814814813E-4</v>
      </c>
      <c r="X4055" t="s">
        <v>8397</v>
      </c>
      <c r="Y4055">
        <v>6</v>
      </c>
      <c r="Z4055">
        <v>0</v>
      </c>
      <c r="AA4055" t="s">
        <v>49</v>
      </c>
      <c r="AB4055">
        <v>0</v>
      </c>
      <c r="AC4055" t="s">
        <v>49</v>
      </c>
      <c r="AD4055">
        <v>0</v>
      </c>
      <c r="AE4055">
        <v>11014919</v>
      </c>
      <c r="AF4055" t="s">
        <v>50</v>
      </c>
      <c r="AG4055" t="s">
        <v>7910</v>
      </c>
    </row>
    <row r="4056" spans="1:33" x14ac:dyDescent="0.35">
      <c r="A4056" s="1">
        <v>44623.080555555556</v>
      </c>
      <c r="B4056">
        <v>1637638</v>
      </c>
      <c r="C4056" t="s">
        <v>8398</v>
      </c>
      <c r="D4056" t="s">
        <v>59</v>
      </c>
      <c r="E4056" s="2">
        <v>41708</v>
      </c>
      <c r="F4056" t="str">
        <f>"9781118420133"</f>
        <v>9781118420133</v>
      </c>
      <c r="G4056" t="str">
        <f>"9781118342329"</f>
        <v>9781118342329</v>
      </c>
      <c r="H4056" t="s">
        <v>138</v>
      </c>
      <c r="I4056">
        <v>4</v>
      </c>
      <c r="J4056" t="s">
        <v>8399</v>
      </c>
      <c r="K4056" t="s">
        <v>44</v>
      </c>
      <c r="N4056" t="s">
        <v>45</v>
      </c>
      <c r="O4056" t="s">
        <v>46</v>
      </c>
      <c r="P4056" t="s">
        <v>45</v>
      </c>
      <c r="Q4056" t="s">
        <v>47</v>
      </c>
      <c r="R4056" t="s">
        <v>44</v>
      </c>
      <c r="S4056">
        <v>0</v>
      </c>
      <c r="W4056" s="3">
        <v>4.0509259259259258E-4</v>
      </c>
      <c r="X4056" t="s">
        <v>8400</v>
      </c>
      <c r="Y4056">
        <v>5</v>
      </c>
      <c r="Z4056">
        <v>0</v>
      </c>
      <c r="AA4056" t="s">
        <v>49</v>
      </c>
      <c r="AB4056">
        <v>0</v>
      </c>
      <c r="AC4056" t="s">
        <v>49</v>
      </c>
      <c r="AD4056">
        <v>0</v>
      </c>
      <c r="AE4056">
        <v>10842263</v>
      </c>
      <c r="AF4056" t="s">
        <v>50</v>
      </c>
      <c r="AG4056" t="s">
        <v>2642</v>
      </c>
    </row>
    <row r="4057" spans="1:33" x14ac:dyDescent="0.35">
      <c r="A4057" s="1">
        <v>44623.073611111111</v>
      </c>
      <c r="B4057">
        <v>3002676</v>
      </c>
      <c r="C4057" t="s">
        <v>8401</v>
      </c>
      <c r="D4057" t="s">
        <v>8383</v>
      </c>
      <c r="E4057" s="2">
        <v>40640</v>
      </c>
      <c r="F4057" t="str">
        <f>"9780873898195"</f>
        <v>9780873898195</v>
      </c>
      <c r="G4057" t="str">
        <f>"9780873898195"</f>
        <v>9780873898195</v>
      </c>
      <c r="H4057" t="s">
        <v>176</v>
      </c>
      <c r="I4057" t="s">
        <v>8402</v>
      </c>
      <c r="J4057" t="s">
        <v>8403</v>
      </c>
      <c r="K4057" t="s">
        <v>44</v>
      </c>
      <c r="N4057" t="s">
        <v>45</v>
      </c>
      <c r="O4057" t="s">
        <v>46</v>
      </c>
      <c r="P4057" t="s">
        <v>45</v>
      </c>
      <c r="Q4057" t="s">
        <v>47</v>
      </c>
      <c r="R4057" t="s">
        <v>44</v>
      </c>
      <c r="S4057">
        <v>0</v>
      </c>
      <c r="W4057" s="3">
        <v>3.7037037037037035E-4</v>
      </c>
      <c r="X4057" t="s">
        <v>196</v>
      </c>
      <c r="Y4057">
        <v>2</v>
      </c>
      <c r="Z4057">
        <v>0</v>
      </c>
      <c r="AA4057" t="s">
        <v>49</v>
      </c>
      <c r="AB4057">
        <v>0</v>
      </c>
      <c r="AC4057" t="s">
        <v>49</v>
      </c>
      <c r="AD4057">
        <v>0</v>
      </c>
      <c r="AE4057">
        <v>10929643</v>
      </c>
      <c r="AF4057" t="s">
        <v>50</v>
      </c>
      <c r="AG4057" t="s">
        <v>2642</v>
      </c>
    </row>
    <row r="4058" spans="1:33" x14ac:dyDescent="0.35">
      <c r="A4058" s="1">
        <v>44623.070138888892</v>
      </c>
      <c r="B4058">
        <v>3420805</v>
      </c>
      <c r="C4058" t="s">
        <v>8190</v>
      </c>
      <c r="D4058" t="s">
        <v>347</v>
      </c>
      <c r="E4058" s="2">
        <v>40995</v>
      </c>
      <c r="F4058" t="str">
        <f>"9780300178067"</f>
        <v>9780300178067</v>
      </c>
      <c r="G4058" t="str">
        <f>"9780300113150"</f>
        <v>9780300113150</v>
      </c>
      <c r="H4058" t="s">
        <v>1046</v>
      </c>
      <c r="I4058">
        <v>306.36209000000002</v>
      </c>
      <c r="J4058" t="s">
        <v>8191</v>
      </c>
      <c r="K4058" t="s">
        <v>44</v>
      </c>
      <c r="N4058" t="s">
        <v>45</v>
      </c>
      <c r="O4058" t="s">
        <v>46</v>
      </c>
      <c r="P4058" t="s">
        <v>45</v>
      </c>
      <c r="Q4058" t="s">
        <v>47</v>
      </c>
      <c r="R4058" t="s">
        <v>44</v>
      </c>
      <c r="S4058">
        <v>0</v>
      </c>
      <c r="W4058" s="3">
        <v>4.6296296296296294E-5</v>
      </c>
      <c r="X4058" t="s">
        <v>121</v>
      </c>
      <c r="Y4058">
        <v>1</v>
      </c>
      <c r="Z4058">
        <v>0</v>
      </c>
      <c r="AA4058" t="s">
        <v>49</v>
      </c>
      <c r="AB4058">
        <v>0</v>
      </c>
      <c r="AC4058" t="s">
        <v>49</v>
      </c>
      <c r="AD4058">
        <v>0</v>
      </c>
      <c r="AE4058">
        <v>10546764</v>
      </c>
      <c r="AF4058" t="s">
        <v>50</v>
      </c>
      <c r="AG4058" t="s">
        <v>8250</v>
      </c>
    </row>
    <row r="4059" spans="1:33" x14ac:dyDescent="0.35">
      <c r="A4059" s="1">
        <v>44623.067361111112</v>
      </c>
      <c r="B4059">
        <v>614685</v>
      </c>
      <c r="C4059" t="s">
        <v>8193</v>
      </c>
      <c r="D4059" t="s">
        <v>76</v>
      </c>
      <c r="E4059" s="2">
        <v>40513</v>
      </c>
      <c r="F4059" t="str">
        <f>"9780203840573"</f>
        <v>9780203840573</v>
      </c>
      <c r="G4059" t="str">
        <f>"9780415466899"</f>
        <v>9780415466899</v>
      </c>
      <c r="H4059" t="s">
        <v>1046</v>
      </c>
      <c r="I4059">
        <v>306.36209000000002</v>
      </c>
      <c r="J4059" t="s">
        <v>8194</v>
      </c>
      <c r="K4059" t="s">
        <v>44</v>
      </c>
      <c r="N4059" t="s">
        <v>45</v>
      </c>
      <c r="O4059" t="s">
        <v>46</v>
      </c>
      <c r="P4059" t="s">
        <v>45</v>
      </c>
      <c r="Q4059" t="s">
        <v>47</v>
      </c>
      <c r="R4059" t="s">
        <v>44</v>
      </c>
      <c r="S4059">
        <v>0</v>
      </c>
      <c r="W4059" s="3">
        <v>2.7777777777777778E-4</v>
      </c>
      <c r="X4059" t="s">
        <v>8404</v>
      </c>
      <c r="Y4059">
        <v>6</v>
      </c>
      <c r="Z4059">
        <v>0</v>
      </c>
      <c r="AA4059" t="s">
        <v>49</v>
      </c>
      <c r="AB4059">
        <v>0</v>
      </c>
      <c r="AC4059" t="s">
        <v>49</v>
      </c>
      <c r="AD4059">
        <v>0</v>
      </c>
      <c r="AE4059">
        <v>10446814</v>
      </c>
      <c r="AF4059" t="s">
        <v>50</v>
      </c>
      <c r="AG4059" t="s">
        <v>8250</v>
      </c>
    </row>
    <row r="4060" spans="1:33" x14ac:dyDescent="0.35">
      <c r="A4060" s="1">
        <v>44623.06527777778</v>
      </c>
      <c r="B4060">
        <v>691997</v>
      </c>
      <c r="C4060" t="s">
        <v>8405</v>
      </c>
      <c r="D4060" t="s">
        <v>502</v>
      </c>
      <c r="E4060" s="2">
        <v>40658</v>
      </c>
      <c r="F4060" t="str">
        <f>"9781139081177"</f>
        <v>9781139081177</v>
      </c>
      <c r="G4060" t="str">
        <f>"9781107008465"</f>
        <v>9781107008465</v>
      </c>
      <c r="H4060" t="s">
        <v>419</v>
      </c>
      <c r="I4060">
        <v>323.09730000000002</v>
      </c>
      <c r="J4060" t="s">
        <v>8406</v>
      </c>
      <c r="K4060" t="s">
        <v>44</v>
      </c>
      <c r="N4060" t="s">
        <v>45</v>
      </c>
      <c r="O4060" t="s">
        <v>46</v>
      </c>
      <c r="P4060" t="s">
        <v>45</v>
      </c>
      <c r="Q4060" t="s">
        <v>47</v>
      </c>
      <c r="R4060" t="s">
        <v>44</v>
      </c>
      <c r="S4060">
        <v>0</v>
      </c>
      <c r="W4060" s="3">
        <v>3.7025462962962961E-2</v>
      </c>
      <c r="X4060" t="s">
        <v>8407</v>
      </c>
      <c r="Y4060">
        <v>14</v>
      </c>
      <c r="Z4060">
        <v>0</v>
      </c>
      <c r="AA4060" t="s">
        <v>49</v>
      </c>
      <c r="AB4060">
        <v>0</v>
      </c>
      <c r="AC4060" t="s">
        <v>49</v>
      </c>
      <c r="AD4060">
        <v>0</v>
      </c>
      <c r="AE4060">
        <v>10470786</v>
      </c>
      <c r="AF4060" t="s">
        <v>50</v>
      </c>
      <c r="AG4060" t="s">
        <v>7910</v>
      </c>
    </row>
    <row r="4061" spans="1:33" x14ac:dyDescent="0.35">
      <c r="A4061" s="1">
        <v>44623.053472222222</v>
      </c>
      <c r="B4061">
        <v>1024675</v>
      </c>
      <c r="C4061" t="s">
        <v>8036</v>
      </c>
      <c r="D4061" t="s">
        <v>76</v>
      </c>
      <c r="E4061" s="2">
        <v>40750</v>
      </c>
      <c r="F4061" t="str">
        <f>"9780203810415"</f>
        <v>9780203810415</v>
      </c>
      <c r="G4061" t="str">
        <f>"9780415568050"</f>
        <v>9780415568050</v>
      </c>
      <c r="H4061" t="s">
        <v>712</v>
      </c>
      <c r="I4061">
        <v>349.42</v>
      </c>
      <c r="J4061" t="s">
        <v>8037</v>
      </c>
      <c r="K4061" t="s">
        <v>44</v>
      </c>
      <c r="N4061" t="s">
        <v>45</v>
      </c>
      <c r="O4061" t="s">
        <v>46</v>
      </c>
      <c r="P4061" t="s">
        <v>45</v>
      </c>
      <c r="Q4061" t="s">
        <v>47</v>
      </c>
      <c r="R4061" t="s">
        <v>44</v>
      </c>
      <c r="S4061">
        <v>0</v>
      </c>
      <c r="W4061" s="3">
        <v>1.3101851851851852E-2</v>
      </c>
      <c r="X4061" t="s">
        <v>8408</v>
      </c>
      <c r="Y4061">
        <v>24</v>
      </c>
      <c r="Z4061">
        <v>0</v>
      </c>
      <c r="AA4061" t="s">
        <v>49</v>
      </c>
      <c r="AB4061">
        <v>0</v>
      </c>
      <c r="AC4061" t="s">
        <v>8409</v>
      </c>
      <c r="AD4061">
        <v>1</v>
      </c>
      <c r="AE4061">
        <v>10603877</v>
      </c>
      <c r="AF4061" t="s">
        <v>50</v>
      </c>
      <c r="AG4061" t="s">
        <v>7910</v>
      </c>
    </row>
    <row r="4062" spans="1:33" x14ac:dyDescent="0.35">
      <c r="A4062" s="1">
        <v>44623.049305555556</v>
      </c>
      <c r="B4062">
        <v>1884177</v>
      </c>
      <c r="C4062" t="s">
        <v>8382</v>
      </c>
      <c r="D4062" t="s">
        <v>8383</v>
      </c>
      <c r="E4062" s="2">
        <v>41378</v>
      </c>
      <c r="F4062" t="str">
        <f>"9780873898805"</f>
        <v>9780873898805</v>
      </c>
      <c r="G4062" t="str">
        <f>"9780873898539"</f>
        <v>9780873898539</v>
      </c>
      <c r="H4062" t="s">
        <v>60</v>
      </c>
      <c r="I4062" t="s">
        <v>8384</v>
      </c>
      <c r="J4062" t="s">
        <v>8385</v>
      </c>
      <c r="K4062" t="s">
        <v>44</v>
      </c>
      <c r="N4062" t="s">
        <v>45</v>
      </c>
      <c r="O4062" t="s">
        <v>46</v>
      </c>
      <c r="P4062" t="s">
        <v>45</v>
      </c>
      <c r="Q4062" t="s">
        <v>47</v>
      </c>
      <c r="R4062" t="s">
        <v>44</v>
      </c>
      <c r="S4062">
        <v>0</v>
      </c>
      <c r="W4062" s="3">
        <v>1.8518518518518517E-3</v>
      </c>
      <c r="X4062" t="s">
        <v>8410</v>
      </c>
      <c r="Y4062">
        <v>6</v>
      </c>
      <c r="Z4062">
        <v>0</v>
      </c>
      <c r="AA4062" t="s">
        <v>49</v>
      </c>
      <c r="AB4062">
        <v>0</v>
      </c>
      <c r="AC4062" t="s">
        <v>1805</v>
      </c>
      <c r="AD4062">
        <v>1</v>
      </c>
      <c r="AE4062">
        <v>10929588</v>
      </c>
      <c r="AF4062" t="s">
        <v>50</v>
      </c>
      <c r="AG4062" t="s">
        <v>2642</v>
      </c>
    </row>
    <row r="4063" spans="1:33" x14ac:dyDescent="0.35">
      <c r="A4063" s="1">
        <v>44623.03125</v>
      </c>
      <c r="B4063">
        <v>286985</v>
      </c>
      <c r="C4063" t="s">
        <v>8411</v>
      </c>
      <c r="D4063" t="s">
        <v>507</v>
      </c>
      <c r="E4063" s="2">
        <v>39073</v>
      </c>
      <c r="F4063" t="str">
        <f>"9780748630257"</f>
        <v>9780748630257</v>
      </c>
      <c r="G4063" t="str">
        <f>"9780748623921"</f>
        <v>9780748623921</v>
      </c>
      <c r="H4063" t="s">
        <v>162</v>
      </c>
      <c r="I4063">
        <v>297.12400000000002</v>
      </c>
      <c r="J4063" t="s">
        <v>8412</v>
      </c>
      <c r="K4063" t="s">
        <v>44</v>
      </c>
      <c r="N4063" t="s">
        <v>45</v>
      </c>
      <c r="O4063" t="s">
        <v>46</v>
      </c>
      <c r="P4063" t="s">
        <v>45</v>
      </c>
      <c r="Q4063" t="s">
        <v>47</v>
      </c>
      <c r="R4063" t="s">
        <v>44</v>
      </c>
      <c r="S4063">
        <v>0</v>
      </c>
      <c r="W4063" s="3">
        <v>3.0092592592592595E-4</v>
      </c>
      <c r="X4063" t="s">
        <v>8413</v>
      </c>
      <c r="Y4063">
        <v>6</v>
      </c>
      <c r="Z4063">
        <v>0</v>
      </c>
      <c r="AA4063" t="s">
        <v>49</v>
      </c>
      <c r="AB4063">
        <v>0</v>
      </c>
      <c r="AC4063" t="s">
        <v>49</v>
      </c>
      <c r="AD4063">
        <v>0</v>
      </c>
      <c r="AE4063">
        <v>10435256</v>
      </c>
      <c r="AF4063" t="s">
        <v>50</v>
      </c>
      <c r="AG4063" t="s">
        <v>7910</v>
      </c>
    </row>
    <row r="4064" spans="1:33" x14ac:dyDescent="0.35">
      <c r="A4064" s="1">
        <v>44623.009027777778</v>
      </c>
      <c r="B4064">
        <v>3441423</v>
      </c>
      <c r="C4064" t="s">
        <v>8067</v>
      </c>
      <c r="D4064" t="s">
        <v>1068</v>
      </c>
      <c r="E4064" s="2">
        <v>36654</v>
      </c>
      <c r="F4064" t="str">
        <f>"9780812200416"</f>
        <v>9780812200416</v>
      </c>
      <c r="G4064" t="str">
        <f>"9780812217476"</f>
        <v>9780812217476</v>
      </c>
      <c r="H4064" t="s">
        <v>419</v>
      </c>
      <c r="K4064" t="s">
        <v>44</v>
      </c>
      <c r="N4064" t="s">
        <v>45</v>
      </c>
      <c r="O4064" t="s">
        <v>46</v>
      </c>
      <c r="P4064" t="s">
        <v>45</v>
      </c>
      <c r="Q4064" t="s">
        <v>47</v>
      </c>
      <c r="R4064" t="s">
        <v>44</v>
      </c>
      <c r="S4064">
        <v>0</v>
      </c>
      <c r="W4064" s="3">
        <v>1.7361111111111112E-4</v>
      </c>
      <c r="X4064" t="s">
        <v>121</v>
      </c>
      <c r="Y4064">
        <v>1</v>
      </c>
      <c r="Z4064">
        <v>0</v>
      </c>
      <c r="AA4064" t="s">
        <v>49</v>
      </c>
      <c r="AB4064">
        <v>0</v>
      </c>
      <c r="AC4064" t="s">
        <v>49</v>
      </c>
      <c r="AD4064">
        <v>0</v>
      </c>
      <c r="AE4064">
        <v>10491880</v>
      </c>
      <c r="AF4064" t="s">
        <v>50</v>
      </c>
      <c r="AG4064" t="s">
        <v>7910</v>
      </c>
    </row>
    <row r="4065" spans="1:33" x14ac:dyDescent="0.35">
      <c r="A4065" s="1">
        <v>44623.002083333333</v>
      </c>
      <c r="B4065">
        <v>1710653</v>
      </c>
      <c r="C4065" t="s">
        <v>8414</v>
      </c>
      <c r="D4065" t="s">
        <v>76</v>
      </c>
      <c r="E4065" s="2">
        <v>38589</v>
      </c>
      <c r="F4065" t="str">
        <f>"9781317874164"</f>
        <v>9781317874164</v>
      </c>
      <c r="G4065" t="str">
        <f>"9780582437807"</f>
        <v>9780582437807</v>
      </c>
      <c r="H4065" t="s">
        <v>1046</v>
      </c>
      <c r="I4065" t="s">
        <v>8415</v>
      </c>
      <c r="J4065" t="s">
        <v>8416</v>
      </c>
      <c r="K4065" t="s">
        <v>44</v>
      </c>
      <c r="N4065" t="s">
        <v>45</v>
      </c>
      <c r="O4065" t="s">
        <v>46</v>
      </c>
      <c r="P4065" t="s">
        <v>45</v>
      </c>
      <c r="Q4065" t="s">
        <v>47</v>
      </c>
      <c r="R4065" t="s">
        <v>44</v>
      </c>
      <c r="S4065">
        <v>0</v>
      </c>
      <c r="W4065" s="3">
        <v>6.2847222222222221E-2</v>
      </c>
      <c r="X4065" t="s">
        <v>8417</v>
      </c>
      <c r="Y4065">
        <v>76</v>
      </c>
      <c r="Z4065">
        <v>0</v>
      </c>
      <c r="AA4065" t="s">
        <v>49</v>
      </c>
      <c r="AB4065">
        <v>0</v>
      </c>
      <c r="AC4065" t="s">
        <v>49</v>
      </c>
      <c r="AD4065">
        <v>0</v>
      </c>
      <c r="AE4065">
        <v>10884281</v>
      </c>
      <c r="AF4065" t="s">
        <v>50</v>
      </c>
      <c r="AG4065" t="s">
        <v>8250</v>
      </c>
    </row>
    <row r="4066" spans="1:33" x14ac:dyDescent="0.35">
      <c r="A4066" s="1">
        <v>44622.993750000001</v>
      </c>
      <c r="B4066">
        <v>422916</v>
      </c>
      <c r="C4066" t="s">
        <v>8418</v>
      </c>
      <c r="D4066" t="s">
        <v>125</v>
      </c>
      <c r="E4066" s="2">
        <v>37532</v>
      </c>
      <c r="F4066" t="str">
        <f>"9780198035213"</f>
        <v>9780198035213</v>
      </c>
      <c r="G4066" t="str">
        <f>"9780195154689"</f>
        <v>9780195154689</v>
      </c>
      <c r="H4066" t="s">
        <v>162</v>
      </c>
      <c r="I4066" t="s">
        <v>8419</v>
      </c>
      <c r="J4066" t="s">
        <v>8420</v>
      </c>
      <c r="K4066" t="s">
        <v>44</v>
      </c>
      <c r="N4066" t="s">
        <v>45</v>
      </c>
      <c r="O4066" t="s">
        <v>46</v>
      </c>
      <c r="P4066" t="s">
        <v>45</v>
      </c>
      <c r="Q4066" t="s">
        <v>47</v>
      </c>
      <c r="R4066" t="s">
        <v>44</v>
      </c>
      <c r="S4066">
        <v>0</v>
      </c>
      <c r="W4066" s="3">
        <v>4.3981481481481481E-4</v>
      </c>
      <c r="X4066" t="s">
        <v>8421</v>
      </c>
      <c r="Y4066">
        <v>1</v>
      </c>
      <c r="Z4066">
        <v>1</v>
      </c>
      <c r="AA4066" t="s">
        <v>8422</v>
      </c>
      <c r="AB4066">
        <v>9</v>
      </c>
      <c r="AC4066" t="s">
        <v>49</v>
      </c>
      <c r="AD4066">
        <v>0</v>
      </c>
      <c r="AE4066">
        <v>10269047</v>
      </c>
      <c r="AF4066" t="s">
        <v>50</v>
      </c>
      <c r="AG4066" t="s">
        <v>7910</v>
      </c>
    </row>
    <row r="4067" spans="1:33" x14ac:dyDescent="0.35">
      <c r="A4067" s="1">
        <v>44622.990277777775</v>
      </c>
      <c r="B4067">
        <v>3051909</v>
      </c>
      <c r="C4067" t="s">
        <v>8423</v>
      </c>
      <c r="D4067" t="s">
        <v>125</v>
      </c>
      <c r="E4067" s="2">
        <v>37210</v>
      </c>
      <c r="F4067" t="str">
        <f>"9780198032076"</f>
        <v>9780198032076</v>
      </c>
      <c r="G4067" t="str">
        <f>"9780195140002"</f>
        <v>9780195140002</v>
      </c>
      <c r="H4067" t="s">
        <v>425</v>
      </c>
      <c r="I4067" t="s">
        <v>8424</v>
      </c>
      <c r="J4067" t="s">
        <v>8425</v>
      </c>
      <c r="K4067" t="s">
        <v>44</v>
      </c>
      <c r="N4067" t="s">
        <v>45</v>
      </c>
      <c r="O4067" t="s">
        <v>46</v>
      </c>
      <c r="P4067" t="s">
        <v>45</v>
      </c>
      <c r="Q4067" t="s">
        <v>47</v>
      </c>
      <c r="R4067" t="s">
        <v>44</v>
      </c>
      <c r="S4067">
        <v>0</v>
      </c>
      <c r="W4067" s="3">
        <v>1.6203703703703703E-4</v>
      </c>
      <c r="X4067" t="s">
        <v>121</v>
      </c>
      <c r="Y4067">
        <v>1</v>
      </c>
      <c r="Z4067">
        <v>0</v>
      </c>
      <c r="AA4067" t="s">
        <v>49</v>
      </c>
      <c r="AB4067">
        <v>0</v>
      </c>
      <c r="AC4067" t="s">
        <v>49</v>
      </c>
      <c r="AD4067">
        <v>0</v>
      </c>
      <c r="AE4067">
        <v>10086983</v>
      </c>
      <c r="AF4067" t="s">
        <v>50</v>
      </c>
      <c r="AG4067" t="s">
        <v>7910</v>
      </c>
    </row>
    <row r="4068" spans="1:33" x14ac:dyDescent="0.35">
      <c r="A4068" s="1">
        <v>44622.990277777775</v>
      </c>
      <c r="B4068">
        <v>3386527</v>
      </c>
      <c r="C4068" t="s">
        <v>8426</v>
      </c>
      <c r="D4068" t="s">
        <v>2066</v>
      </c>
      <c r="E4068" s="2">
        <v>40606</v>
      </c>
      <c r="F4068" t="str">
        <f>"9781849645805"</f>
        <v>9781849645805</v>
      </c>
      <c r="G4068" t="str">
        <f>"9780745322179"</f>
        <v>9780745322179</v>
      </c>
      <c r="H4068" t="s">
        <v>162</v>
      </c>
      <c r="I4068">
        <v>297.27199999999999</v>
      </c>
      <c r="J4068" t="s">
        <v>8427</v>
      </c>
      <c r="K4068" t="s">
        <v>44</v>
      </c>
      <c r="N4068" t="s">
        <v>45</v>
      </c>
      <c r="O4068" t="s">
        <v>46</v>
      </c>
      <c r="P4068" t="s">
        <v>45</v>
      </c>
      <c r="Q4068" t="s">
        <v>47</v>
      </c>
      <c r="R4068" t="s">
        <v>44</v>
      </c>
      <c r="S4068">
        <v>0</v>
      </c>
      <c r="W4068" s="3">
        <v>7.9861111111111105E-4</v>
      </c>
      <c r="X4068" t="s">
        <v>8428</v>
      </c>
      <c r="Y4068">
        <v>8</v>
      </c>
      <c r="Z4068">
        <v>1</v>
      </c>
      <c r="AA4068" t="s">
        <v>8429</v>
      </c>
      <c r="AB4068">
        <v>19</v>
      </c>
      <c r="AC4068" t="s">
        <v>49</v>
      </c>
      <c r="AD4068">
        <v>0</v>
      </c>
      <c r="AE4068">
        <v>10480167</v>
      </c>
      <c r="AF4068" t="s">
        <v>50</v>
      </c>
      <c r="AG4068" t="s">
        <v>7910</v>
      </c>
    </row>
    <row r="4069" spans="1:33" x14ac:dyDescent="0.35">
      <c r="A4069" s="1">
        <v>44622.963194444441</v>
      </c>
      <c r="B4069">
        <v>4755328</v>
      </c>
      <c r="C4069" t="s">
        <v>8206</v>
      </c>
      <c r="D4069" t="s">
        <v>76</v>
      </c>
      <c r="E4069" s="2">
        <v>38014</v>
      </c>
      <c r="F4069" t="str">
        <f>"9781351889551"</f>
        <v>9781351889551</v>
      </c>
      <c r="G4069" t="str">
        <f>"9780860787143"</f>
        <v>9780860787143</v>
      </c>
      <c r="H4069" t="s">
        <v>712</v>
      </c>
      <c r="I4069" t="s">
        <v>1490</v>
      </c>
      <c r="J4069" t="s">
        <v>8207</v>
      </c>
      <c r="K4069" t="s">
        <v>44</v>
      </c>
      <c r="N4069" t="s">
        <v>45</v>
      </c>
      <c r="O4069" t="s">
        <v>46</v>
      </c>
      <c r="P4069" t="s">
        <v>45</v>
      </c>
      <c r="Q4069" t="s">
        <v>47</v>
      </c>
      <c r="R4069" t="s">
        <v>44</v>
      </c>
      <c r="S4069">
        <v>0</v>
      </c>
      <c r="W4069" s="3">
        <v>1.3425925925925925E-3</v>
      </c>
      <c r="X4069" t="s">
        <v>8430</v>
      </c>
      <c r="Y4069">
        <v>3</v>
      </c>
      <c r="Z4069">
        <v>0</v>
      </c>
      <c r="AA4069" t="s">
        <v>49</v>
      </c>
      <c r="AB4069">
        <v>0</v>
      </c>
      <c r="AC4069" t="s">
        <v>49</v>
      </c>
      <c r="AD4069">
        <v>0</v>
      </c>
      <c r="AE4069">
        <v>11309413</v>
      </c>
      <c r="AF4069" t="s">
        <v>50</v>
      </c>
      <c r="AG4069" t="s">
        <v>7910</v>
      </c>
    </row>
    <row r="4070" spans="1:33" x14ac:dyDescent="0.35">
      <c r="A4070" s="1">
        <v>44622.948611111111</v>
      </c>
      <c r="B4070">
        <v>501314</v>
      </c>
      <c r="C4070" t="s">
        <v>8209</v>
      </c>
      <c r="D4070" t="s">
        <v>502</v>
      </c>
      <c r="E4070" s="2">
        <v>40259</v>
      </c>
      <c r="F4070" t="str">
        <f>"9780511682261"</f>
        <v>9780511682261</v>
      </c>
      <c r="G4070" t="str">
        <f>"9780521110808"</f>
        <v>9780521110808</v>
      </c>
      <c r="H4070" t="s">
        <v>712</v>
      </c>
      <c r="I4070" t="s">
        <v>1490</v>
      </c>
      <c r="J4070" t="s">
        <v>8210</v>
      </c>
      <c r="K4070" t="s">
        <v>44</v>
      </c>
      <c r="N4070" t="s">
        <v>45</v>
      </c>
      <c r="O4070" t="s">
        <v>46</v>
      </c>
      <c r="P4070" t="s">
        <v>45</v>
      </c>
      <c r="Q4070" t="s">
        <v>47</v>
      </c>
      <c r="R4070" t="s">
        <v>44</v>
      </c>
      <c r="S4070">
        <v>0</v>
      </c>
      <c r="W4070" s="3">
        <v>3.0092592592592595E-4</v>
      </c>
      <c r="X4070" t="s">
        <v>8431</v>
      </c>
      <c r="Y4070">
        <v>3</v>
      </c>
      <c r="Z4070">
        <v>0</v>
      </c>
      <c r="AA4070" t="s">
        <v>49</v>
      </c>
      <c r="AB4070">
        <v>0</v>
      </c>
      <c r="AC4070" t="s">
        <v>49</v>
      </c>
      <c r="AD4070">
        <v>0</v>
      </c>
      <c r="AE4070">
        <v>10386980</v>
      </c>
      <c r="AF4070" t="s">
        <v>50</v>
      </c>
      <c r="AG4070" t="s">
        <v>7910</v>
      </c>
    </row>
    <row r="4071" spans="1:33" x14ac:dyDescent="0.35">
      <c r="A4071" s="1">
        <v>44622.814583333333</v>
      </c>
      <c r="B4071">
        <v>3239628</v>
      </c>
      <c r="C4071" t="s">
        <v>8432</v>
      </c>
      <c r="D4071" t="s">
        <v>6899</v>
      </c>
      <c r="E4071" s="2">
        <v>41072</v>
      </c>
      <c r="F4071" t="str">
        <f>"9780823247011"</f>
        <v>9780823247011</v>
      </c>
      <c r="G4071" t="str">
        <f>"9780823239252"</f>
        <v>9780823239252</v>
      </c>
      <c r="H4071" t="s">
        <v>1069</v>
      </c>
      <c r="I4071">
        <v>801.95</v>
      </c>
      <c r="J4071" t="s">
        <v>8433</v>
      </c>
      <c r="K4071" t="s">
        <v>44</v>
      </c>
      <c r="N4071" t="s">
        <v>45</v>
      </c>
      <c r="O4071" t="s">
        <v>46</v>
      </c>
      <c r="P4071" t="s">
        <v>45</v>
      </c>
      <c r="Q4071" t="s">
        <v>47</v>
      </c>
      <c r="R4071" t="s">
        <v>44</v>
      </c>
      <c r="S4071">
        <v>0</v>
      </c>
      <c r="W4071" s="3">
        <v>2.5462962962962961E-3</v>
      </c>
      <c r="X4071" t="s">
        <v>8434</v>
      </c>
      <c r="Y4071">
        <v>8</v>
      </c>
      <c r="Z4071">
        <v>0</v>
      </c>
      <c r="AA4071" t="s">
        <v>49</v>
      </c>
      <c r="AB4071">
        <v>0</v>
      </c>
      <c r="AC4071" t="s">
        <v>49</v>
      </c>
      <c r="AD4071">
        <v>0</v>
      </c>
      <c r="AE4071">
        <v>10561960</v>
      </c>
      <c r="AF4071" t="s">
        <v>50</v>
      </c>
      <c r="AG4071" t="s">
        <v>7910</v>
      </c>
    </row>
    <row r="4072" spans="1:33" x14ac:dyDescent="0.35">
      <c r="A4072" s="1">
        <v>44622.726388888892</v>
      </c>
      <c r="B4072">
        <v>3239659</v>
      </c>
      <c r="C4072" t="s">
        <v>8390</v>
      </c>
      <c r="D4072" t="s">
        <v>6899</v>
      </c>
      <c r="E4072" s="2">
        <v>39553</v>
      </c>
      <c r="F4072" t="str">
        <f>"9780823247721"</f>
        <v>9780823247721</v>
      </c>
      <c r="G4072" t="str">
        <f>"9780823228539"</f>
        <v>9780823228539</v>
      </c>
      <c r="H4072" t="s">
        <v>498</v>
      </c>
      <c r="I4072">
        <v>171.2</v>
      </c>
      <c r="J4072" t="s">
        <v>8391</v>
      </c>
      <c r="K4072" t="s">
        <v>44</v>
      </c>
      <c r="N4072" t="s">
        <v>45</v>
      </c>
      <c r="O4072" t="s">
        <v>46</v>
      </c>
      <c r="P4072" t="s">
        <v>45</v>
      </c>
      <c r="Q4072" t="s">
        <v>47</v>
      </c>
      <c r="R4072" t="s">
        <v>44</v>
      </c>
      <c r="S4072">
        <v>0</v>
      </c>
      <c r="W4072" s="3">
        <v>5.7870370370370366E-5</v>
      </c>
      <c r="X4072" t="s">
        <v>121</v>
      </c>
      <c r="Y4072">
        <v>1</v>
      </c>
      <c r="Z4072">
        <v>0</v>
      </c>
      <c r="AA4072" t="s">
        <v>49</v>
      </c>
      <c r="AB4072">
        <v>0</v>
      </c>
      <c r="AC4072" t="s">
        <v>49</v>
      </c>
      <c r="AD4072">
        <v>0</v>
      </c>
      <c r="AE4072">
        <v>10586717</v>
      </c>
      <c r="AF4072" t="s">
        <v>50</v>
      </c>
      <c r="AG4072" t="s">
        <v>7910</v>
      </c>
    </row>
    <row r="4073" spans="1:33" x14ac:dyDescent="0.35">
      <c r="A4073" s="1">
        <v>44622.724305555559</v>
      </c>
      <c r="B4073">
        <v>415486</v>
      </c>
      <c r="C4073" t="s">
        <v>8195</v>
      </c>
      <c r="D4073" t="s">
        <v>125</v>
      </c>
      <c r="E4073" s="2">
        <v>39534</v>
      </c>
      <c r="F4073" t="str">
        <f>"9780191526862"</f>
        <v>9780191526862</v>
      </c>
      <c r="G4073" t="str">
        <f>"9780199214969"</f>
        <v>9780199214969</v>
      </c>
      <c r="H4073" t="s">
        <v>712</v>
      </c>
      <c r="I4073" t="s">
        <v>8196</v>
      </c>
      <c r="J4073" t="s">
        <v>8197</v>
      </c>
      <c r="K4073" t="s">
        <v>44</v>
      </c>
      <c r="N4073" t="s">
        <v>45</v>
      </c>
      <c r="O4073" t="s">
        <v>46</v>
      </c>
      <c r="P4073" t="s">
        <v>45</v>
      </c>
      <c r="Q4073" t="s">
        <v>47</v>
      </c>
      <c r="R4073" t="s">
        <v>44</v>
      </c>
      <c r="S4073">
        <v>0</v>
      </c>
      <c r="W4073" s="3">
        <v>1.8981481481481482E-3</v>
      </c>
      <c r="X4073" t="s">
        <v>205</v>
      </c>
      <c r="Y4073">
        <v>2</v>
      </c>
      <c r="Z4073">
        <v>0</v>
      </c>
      <c r="AA4073" t="s">
        <v>49</v>
      </c>
      <c r="AB4073">
        <v>0</v>
      </c>
      <c r="AC4073" t="s">
        <v>49</v>
      </c>
      <c r="AD4073">
        <v>0</v>
      </c>
      <c r="AE4073">
        <v>10229930</v>
      </c>
      <c r="AF4073" t="s">
        <v>50</v>
      </c>
      <c r="AG4073" t="s">
        <v>7910</v>
      </c>
    </row>
    <row r="4074" spans="1:33" x14ac:dyDescent="0.35">
      <c r="A4074" s="1">
        <v>44622.720833333333</v>
      </c>
      <c r="B4074">
        <v>1024675</v>
      </c>
      <c r="C4074" t="s">
        <v>8036</v>
      </c>
      <c r="D4074" t="s">
        <v>76</v>
      </c>
      <c r="E4074" s="2">
        <v>40750</v>
      </c>
      <c r="F4074" t="str">
        <f>"9780203810415"</f>
        <v>9780203810415</v>
      </c>
      <c r="G4074" t="str">
        <f>"9780415568050"</f>
        <v>9780415568050</v>
      </c>
      <c r="H4074" t="s">
        <v>712</v>
      </c>
      <c r="I4074">
        <v>349.42</v>
      </c>
      <c r="J4074" t="s">
        <v>8037</v>
      </c>
      <c r="K4074" t="s">
        <v>44</v>
      </c>
      <c r="N4074" t="s">
        <v>45</v>
      </c>
      <c r="O4074" t="s">
        <v>46</v>
      </c>
      <c r="P4074" t="s">
        <v>45</v>
      </c>
      <c r="Q4074" t="s">
        <v>47</v>
      </c>
      <c r="R4074" t="s">
        <v>44</v>
      </c>
      <c r="S4074">
        <v>0</v>
      </c>
      <c r="W4074" s="3">
        <v>3.8437499999999999E-2</v>
      </c>
      <c r="X4074" t="s">
        <v>8435</v>
      </c>
      <c r="Y4074">
        <v>16</v>
      </c>
      <c r="Z4074">
        <v>0</v>
      </c>
      <c r="AA4074" t="s">
        <v>49</v>
      </c>
      <c r="AB4074">
        <v>0</v>
      </c>
      <c r="AC4074" t="s">
        <v>49</v>
      </c>
      <c r="AD4074">
        <v>0</v>
      </c>
      <c r="AE4074">
        <v>10603877</v>
      </c>
      <c r="AF4074" t="s">
        <v>50</v>
      </c>
      <c r="AG4074" t="s">
        <v>7910</v>
      </c>
    </row>
    <row r="4075" spans="1:33" x14ac:dyDescent="0.35">
      <c r="A4075" s="1">
        <v>44622.622916666667</v>
      </c>
      <c r="B4075">
        <v>989095</v>
      </c>
      <c r="C4075" t="s">
        <v>2849</v>
      </c>
      <c r="D4075" t="s">
        <v>502</v>
      </c>
      <c r="E4075" s="2">
        <v>41235</v>
      </c>
      <c r="F4075" t="str">
        <f>"9781139554084"</f>
        <v>9781139554084</v>
      </c>
      <c r="G4075" t="str">
        <f>"9780521855983"</f>
        <v>9780521855983</v>
      </c>
      <c r="H4075" t="s">
        <v>2850</v>
      </c>
      <c r="I4075">
        <v>561.19988999999998</v>
      </c>
      <c r="J4075" t="s">
        <v>2851</v>
      </c>
      <c r="K4075" t="s">
        <v>44</v>
      </c>
      <c r="N4075" t="s">
        <v>45</v>
      </c>
      <c r="O4075" t="s">
        <v>46</v>
      </c>
      <c r="P4075" t="s">
        <v>45</v>
      </c>
      <c r="Q4075" t="s">
        <v>47</v>
      </c>
      <c r="R4075" t="s">
        <v>44</v>
      </c>
      <c r="S4075">
        <v>0</v>
      </c>
      <c r="W4075" s="3">
        <v>0</v>
      </c>
      <c r="X4075" t="s">
        <v>49</v>
      </c>
      <c r="Y4075">
        <v>0</v>
      </c>
      <c r="Z4075">
        <v>1</v>
      </c>
      <c r="AA4075" t="s">
        <v>8436</v>
      </c>
      <c r="AB4075">
        <v>56</v>
      </c>
      <c r="AC4075" t="s">
        <v>49</v>
      </c>
      <c r="AD4075">
        <v>0</v>
      </c>
      <c r="AE4075">
        <v>10621743</v>
      </c>
      <c r="AF4075" t="s">
        <v>50</v>
      </c>
      <c r="AG4075" t="s">
        <v>8250</v>
      </c>
    </row>
    <row r="4076" spans="1:33" x14ac:dyDescent="0.35">
      <c r="A4076" s="1">
        <v>44622.577777777777</v>
      </c>
      <c r="B4076">
        <v>565933</v>
      </c>
      <c r="C4076" t="s">
        <v>8437</v>
      </c>
      <c r="D4076" t="s">
        <v>76</v>
      </c>
      <c r="E4076" s="2">
        <v>40393</v>
      </c>
      <c r="F4076" t="str">
        <f>"9781439815076"</f>
        <v>9781439815076</v>
      </c>
      <c r="G4076" t="str">
        <f>"9781439815069"</f>
        <v>9781439815069</v>
      </c>
      <c r="H4076" t="s">
        <v>8438</v>
      </c>
      <c r="I4076" t="s">
        <v>4974</v>
      </c>
      <c r="J4076" t="s">
        <v>8439</v>
      </c>
      <c r="K4076" t="s">
        <v>44</v>
      </c>
      <c r="N4076" t="s">
        <v>45</v>
      </c>
      <c r="O4076" t="s">
        <v>46</v>
      </c>
      <c r="P4076" t="s">
        <v>45</v>
      </c>
      <c r="Q4076" t="s">
        <v>47</v>
      </c>
      <c r="R4076" t="s">
        <v>44</v>
      </c>
      <c r="S4076">
        <v>0</v>
      </c>
      <c r="W4076" s="3">
        <v>7.4189814814814813E-3</v>
      </c>
      <c r="X4076" t="s">
        <v>8440</v>
      </c>
      <c r="Y4076">
        <v>27</v>
      </c>
      <c r="Z4076">
        <v>1</v>
      </c>
      <c r="AA4076" t="s">
        <v>8441</v>
      </c>
      <c r="AB4076">
        <v>30</v>
      </c>
      <c r="AC4076" t="s">
        <v>2333</v>
      </c>
      <c r="AD4076">
        <v>1</v>
      </c>
      <c r="AE4076">
        <v>10408387</v>
      </c>
      <c r="AF4076" t="s">
        <v>50</v>
      </c>
      <c r="AG4076" t="s">
        <v>7910</v>
      </c>
    </row>
    <row r="4077" spans="1:33" x14ac:dyDescent="0.35">
      <c r="A4077" s="1">
        <v>44622.519444444442</v>
      </c>
      <c r="B4077">
        <v>489463</v>
      </c>
      <c r="C4077" t="s">
        <v>8442</v>
      </c>
      <c r="D4077" t="s">
        <v>473</v>
      </c>
      <c r="E4077" s="2">
        <v>40086</v>
      </c>
      <c r="F4077" t="str">
        <f>"9789047444817"</f>
        <v>9789047444817</v>
      </c>
      <c r="G4077" t="str">
        <f>"9789004177642"</f>
        <v>9789004177642</v>
      </c>
      <c r="H4077" t="s">
        <v>162</v>
      </c>
      <c r="I4077" t="s">
        <v>8443</v>
      </c>
      <c r="J4077" t="s">
        <v>8444</v>
      </c>
      <c r="K4077" t="s">
        <v>44</v>
      </c>
      <c r="N4077" t="s">
        <v>45</v>
      </c>
      <c r="O4077" t="s">
        <v>46</v>
      </c>
      <c r="P4077" t="s">
        <v>45</v>
      </c>
      <c r="Q4077" t="s">
        <v>47</v>
      </c>
      <c r="R4077" t="s">
        <v>44</v>
      </c>
      <c r="S4077">
        <v>0</v>
      </c>
      <c r="W4077" s="3">
        <v>7.5231481481481471E-4</v>
      </c>
      <c r="X4077" t="s">
        <v>8445</v>
      </c>
      <c r="Y4077">
        <v>4</v>
      </c>
      <c r="Z4077">
        <v>0</v>
      </c>
      <c r="AA4077" t="s">
        <v>49</v>
      </c>
      <c r="AB4077">
        <v>0</v>
      </c>
      <c r="AC4077" t="s">
        <v>49</v>
      </c>
      <c r="AD4077">
        <v>0</v>
      </c>
      <c r="AE4077">
        <v>10372588</v>
      </c>
      <c r="AF4077" t="s">
        <v>50</v>
      </c>
      <c r="AG4077" t="s">
        <v>2642</v>
      </c>
    </row>
    <row r="4078" spans="1:33" x14ac:dyDescent="0.35">
      <c r="A4078" s="1">
        <v>44622.506944444445</v>
      </c>
      <c r="B4078">
        <v>6002548</v>
      </c>
      <c r="C4078" t="s">
        <v>8446</v>
      </c>
      <c r="D4078" t="s">
        <v>105</v>
      </c>
      <c r="E4078" s="2">
        <v>43832</v>
      </c>
      <c r="F4078" t="str">
        <f>"9783030242404"</f>
        <v>9783030242404</v>
      </c>
      <c r="G4078" t="str">
        <f>"9783030242398"</f>
        <v>9783030242398</v>
      </c>
      <c r="H4078" t="s">
        <v>8438</v>
      </c>
      <c r="I4078">
        <v>621.86720000000003</v>
      </c>
      <c r="J4078" t="s">
        <v>8447</v>
      </c>
      <c r="K4078" t="s">
        <v>55</v>
      </c>
      <c r="Q4078" t="s">
        <v>47</v>
      </c>
      <c r="R4078" t="s">
        <v>44</v>
      </c>
      <c r="S4078">
        <v>0</v>
      </c>
      <c r="W4078" s="3">
        <v>2.3148148148148146E-4</v>
      </c>
      <c r="X4078" t="s">
        <v>8448</v>
      </c>
      <c r="Y4078">
        <v>2</v>
      </c>
      <c r="Z4078">
        <v>0</v>
      </c>
      <c r="AA4078" t="s">
        <v>49</v>
      </c>
      <c r="AB4078">
        <v>0</v>
      </c>
      <c r="AC4078" t="s">
        <v>49</v>
      </c>
      <c r="AD4078">
        <v>0</v>
      </c>
      <c r="AE4078">
        <v>-1</v>
      </c>
      <c r="AF4078" t="s">
        <v>50</v>
      </c>
      <c r="AG4078" t="s">
        <v>7910</v>
      </c>
    </row>
    <row r="4079" spans="1:33" x14ac:dyDescent="0.35">
      <c r="A4079" s="1">
        <v>44622.474305555559</v>
      </c>
      <c r="B4079">
        <v>6033311</v>
      </c>
      <c r="C4079" t="s">
        <v>8449</v>
      </c>
      <c r="D4079" t="s">
        <v>65</v>
      </c>
      <c r="E4079" s="2">
        <v>43864</v>
      </c>
      <c r="F4079" t="str">
        <f>"9780128172483"</f>
        <v>9780128172483</v>
      </c>
      <c r="G4079" t="str">
        <f>"9780128172476"</f>
        <v>9780128172476</v>
      </c>
      <c r="H4079" t="s">
        <v>8450</v>
      </c>
      <c r="I4079">
        <v>621.04200000000003</v>
      </c>
      <c r="J4079" t="s">
        <v>8451</v>
      </c>
      <c r="K4079" t="s">
        <v>55</v>
      </c>
      <c r="N4079" t="s">
        <v>293</v>
      </c>
      <c r="P4079" t="s">
        <v>80</v>
      </c>
      <c r="Q4079" t="s">
        <v>47</v>
      </c>
      <c r="R4079" t="s">
        <v>44</v>
      </c>
      <c r="S4079">
        <v>0</v>
      </c>
      <c r="W4079" s="3">
        <v>1.8738425925925926E-2</v>
      </c>
      <c r="X4079" t="s">
        <v>8452</v>
      </c>
      <c r="Y4079">
        <v>32</v>
      </c>
      <c r="Z4079">
        <v>0</v>
      </c>
      <c r="AA4079" t="s">
        <v>49</v>
      </c>
      <c r="AB4079">
        <v>0</v>
      </c>
      <c r="AC4079" t="s">
        <v>49</v>
      </c>
      <c r="AD4079">
        <v>0</v>
      </c>
      <c r="AE4079">
        <v>-1</v>
      </c>
      <c r="AF4079" t="s">
        <v>50</v>
      </c>
      <c r="AG4079" t="s">
        <v>7910</v>
      </c>
    </row>
    <row r="4080" spans="1:33" x14ac:dyDescent="0.35">
      <c r="A4080" s="1">
        <v>44622.431944444441</v>
      </c>
      <c r="B4080">
        <v>6033311</v>
      </c>
      <c r="C4080" t="s">
        <v>8449</v>
      </c>
      <c r="D4080" t="s">
        <v>65</v>
      </c>
      <c r="E4080" s="2">
        <v>43864</v>
      </c>
      <c r="F4080" t="str">
        <f>"9780128172483"</f>
        <v>9780128172483</v>
      </c>
      <c r="G4080" t="str">
        <f>"9780128172476"</f>
        <v>9780128172476</v>
      </c>
      <c r="H4080" t="s">
        <v>8450</v>
      </c>
      <c r="I4080">
        <v>621.04200000000003</v>
      </c>
      <c r="J4080" t="s">
        <v>8451</v>
      </c>
      <c r="K4080" t="s">
        <v>55</v>
      </c>
      <c r="N4080" t="s">
        <v>293</v>
      </c>
      <c r="P4080" t="s">
        <v>80</v>
      </c>
      <c r="Q4080" t="s">
        <v>47</v>
      </c>
      <c r="R4080" t="s">
        <v>44</v>
      </c>
      <c r="S4080">
        <v>0</v>
      </c>
      <c r="W4080" s="3">
        <v>2.6504629629629625E-3</v>
      </c>
      <c r="X4080" t="s">
        <v>8453</v>
      </c>
      <c r="Y4080">
        <v>12</v>
      </c>
      <c r="Z4080">
        <v>2</v>
      </c>
      <c r="AA4080" t="s">
        <v>8454</v>
      </c>
      <c r="AB4080">
        <v>30</v>
      </c>
      <c r="AC4080" t="s">
        <v>49</v>
      </c>
      <c r="AD4080">
        <v>0</v>
      </c>
      <c r="AE4080">
        <v>-1</v>
      </c>
      <c r="AF4080" t="s">
        <v>50</v>
      </c>
      <c r="AG4080" t="s">
        <v>7910</v>
      </c>
    </row>
    <row r="4081" spans="1:33" x14ac:dyDescent="0.35">
      <c r="A4081" s="1">
        <v>44622.354166666664</v>
      </c>
      <c r="B4081">
        <v>3338641</v>
      </c>
      <c r="C4081" t="s">
        <v>302</v>
      </c>
      <c r="D4081" t="s">
        <v>303</v>
      </c>
      <c r="E4081" s="2">
        <v>39143</v>
      </c>
      <c r="F4081" t="str">
        <f>"9780262282888"</f>
        <v>9780262282888</v>
      </c>
      <c r="G4081" t="str">
        <f>"9780262195577"</f>
        <v>9780262195577</v>
      </c>
      <c r="H4081" t="s">
        <v>304</v>
      </c>
      <c r="I4081" t="s">
        <v>305</v>
      </c>
      <c r="K4081" t="s">
        <v>44</v>
      </c>
      <c r="N4081" t="s">
        <v>45</v>
      </c>
      <c r="O4081" t="s">
        <v>46</v>
      </c>
      <c r="P4081" t="s">
        <v>45</v>
      </c>
      <c r="Q4081" t="s">
        <v>47</v>
      </c>
      <c r="R4081" t="s">
        <v>44</v>
      </c>
      <c r="S4081">
        <v>0</v>
      </c>
      <c r="W4081" s="3">
        <v>1.2349537037037039E-2</v>
      </c>
      <c r="X4081" t="s">
        <v>8455</v>
      </c>
      <c r="Y4081">
        <v>7</v>
      </c>
      <c r="Z4081">
        <v>0</v>
      </c>
      <c r="AA4081" t="s">
        <v>49</v>
      </c>
      <c r="AB4081">
        <v>0</v>
      </c>
      <c r="AC4081" t="s">
        <v>49</v>
      </c>
      <c r="AD4081">
        <v>0</v>
      </c>
      <c r="AE4081">
        <v>10173702</v>
      </c>
      <c r="AF4081" t="s">
        <v>50</v>
      </c>
      <c r="AG4081" t="s">
        <v>7910</v>
      </c>
    </row>
    <row r="4082" spans="1:33" x14ac:dyDescent="0.35">
      <c r="A4082" s="1">
        <v>44622.331250000003</v>
      </c>
      <c r="B4082">
        <v>3338641</v>
      </c>
      <c r="C4082" t="s">
        <v>302</v>
      </c>
      <c r="D4082" t="s">
        <v>303</v>
      </c>
      <c r="E4082" s="2">
        <v>39143</v>
      </c>
      <c r="F4082" t="str">
        <f>"9780262282888"</f>
        <v>9780262282888</v>
      </c>
      <c r="G4082" t="str">
        <f>"9780262195577"</f>
        <v>9780262195577</v>
      </c>
      <c r="H4082" t="s">
        <v>304</v>
      </c>
      <c r="I4082" t="s">
        <v>305</v>
      </c>
      <c r="K4082" t="s">
        <v>44</v>
      </c>
      <c r="N4082" t="s">
        <v>45</v>
      </c>
      <c r="O4082" t="s">
        <v>46</v>
      </c>
      <c r="P4082" t="s">
        <v>45</v>
      </c>
      <c r="Q4082" t="s">
        <v>47</v>
      </c>
      <c r="R4082" t="s">
        <v>44</v>
      </c>
      <c r="S4082">
        <v>0</v>
      </c>
      <c r="W4082" s="3">
        <v>9.9652777777777778E-3</v>
      </c>
      <c r="X4082" t="s">
        <v>8456</v>
      </c>
      <c r="Y4082">
        <v>17</v>
      </c>
      <c r="Z4082">
        <v>2</v>
      </c>
      <c r="AA4082" t="s">
        <v>8457</v>
      </c>
      <c r="AB4082">
        <v>33</v>
      </c>
      <c r="AC4082" t="s">
        <v>49</v>
      </c>
      <c r="AD4082">
        <v>0</v>
      </c>
      <c r="AE4082">
        <v>10173702</v>
      </c>
      <c r="AF4082" t="s">
        <v>50</v>
      </c>
      <c r="AG4082" t="s">
        <v>8458</v>
      </c>
    </row>
    <row r="4083" spans="1:33" x14ac:dyDescent="0.35">
      <c r="A4083" s="1">
        <v>44622.223611111112</v>
      </c>
      <c r="B4083">
        <v>3338641</v>
      </c>
      <c r="C4083" t="s">
        <v>302</v>
      </c>
      <c r="D4083" t="s">
        <v>303</v>
      </c>
      <c r="E4083" s="2">
        <v>39143</v>
      </c>
      <c r="F4083" t="str">
        <f>"9780262282888"</f>
        <v>9780262282888</v>
      </c>
      <c r="G4083" t="str">
        <f>"9780262195577"</f>
        <v>9780262195577</v>
      </c>
      <c r="H4083" t="s">
        <v>304</v>
      </c>
      <c r="I4083" t="s">
        <v>305</v>
      </c>
      <c r="K4083" t="s">
        <v>44</v>
      </c>
      <c r="N4083" t="s">
        <v>45</v>
      </c>
      <c r="O4083" t="s">
        <v>46</v>
      </c>
      <c r="P4083" t="s">
        <v>45</v>
      </c>
      <c r="Q4083" t="s">
        <v>47</v>
      </c>
      <c r="R4083" t="s">
        <v>44</v>
      </c>
      <c r="S4083">
        <v>0</v>
      </c>
      <c r="W4083" s="3">
        <v>6.134259259259259E-4</v>
      </c>
      <c r="X4083" t="s">
        <v>8459</v>
      </c>
      <c r="Y4083">
        <v>10</v>
      </c>
      <c r="Z4083">
        <v>0</v>
      </c>
      <c r="AA4083" t="s">
        <v>49</v>
      </c>
      <c r="AB4083">
        <v>0</v>
      </c>
      <c r="AC4083" t="s">
        <v>49</v>
      </c>
      <c r="AD4083">
        <v>0</v>
      </c>
      <c r="AE4083">
        <v>10173702</v>
      </c>
      <c r="AF4083" t="s">
        <v>50</v>
      </c>
      <c r="AG4083" t="s">
        <v>7910</v>
      </c>
    </row>
    <row r="4084" spans="1:33" x14ac:dyDescent="0.35">
      <c r="A4084" s="1">
        <v>44621.984722222223</v>
      </c>
      <c r="B4084">
        <v>3338641</v>
      </c>
      <c r="C4084" t="s">
        <v>302</v>
      </c>
      <c r="D4084" t="s">
        <v>303</v>
      </c>
      <c r="E4084" s="2">
        <v>39143</v>
      </c>
      <c r="F4084" t="str">
        <f>"9780262282888"</f>
        <v>9780262282888</v>
      </c>
      <c r="G4084" t="str">
        <f>"9780262195577"</f>
        <v>9780262195577</v>
      </c>
      <c r="H4084" t="s">
        <v>304</v>
      </c>
      <c r="I4084" t="s">
        <v>305</v>
      </c>
      <c r="K4084" t="s">
        <v>44</v>
      </c>
      <c r="N4084" t="s">
        <v>45</v>
      </c>
      <c r="O4084" t="s">
        <v>46</v>
      </c>
      <c r="P4084" t="s">
        <v>45</v>
      </c>
      <c r="Q4084" t="s">
        <v>47</v>
      </c>
      <c r="R4084" t="s">
        <v>44</v>
      </c>
      <c r="S4084">
        <v>0</v>
      </c>
      <c r="W4084" s="3">
        <v>7.5231481481481471E-4</v>
      </c>
      <c r="X4084" t="s">
        <v>8460</v>
      </c>
      <c r="Y4084">
        <v>4</v>
      </c>
      <c r="Z4084">
        <v>0</v>
      </c>
      <c r="AA4084" t="s">
        <v>49</v>
      </c>
      <c r="AB4084">
        <v>0</v>
      </c>
      <c r="AC4084" t="s">
        <v>49</v>
      </c>
      <c r="AD4084">
        <v>0</v>
      </c>
      <c r="AE4084">
        <v>10173702</v>
      </c>
      <c r="AF4084" t="s">
        <v>63</v>
      </c>
      <c r="AG4084" t="s">
        <v>7910</v>
      </c>
    </row>
    <row r="4085" spans="1:33" x14ac:dyDescent="0.35">
      <c r="A4085" s="1">
        <v>44621.963194444441</v>
      </c>
      <c r="B4085">
        <v>3338641</v>
      </c>
      <c r="C4085" t="s">
        <v>302</v>
      </c>
      <c r="D4085" t="s">
        <v>303</v>
      </c>
      <c r="E4085" s="2">
        <v>39143</v>
      </c>
      <c r="F4085" t="str">
        <f>"9780262282888"</f>
        <v>9780262282888</v>
      </c>
      <c r="G4085" t="str">
        <f>"9780262195577"</f>
        <v>9780262195577</v>
      </c>
      <c r="H4085" t="s">
        <v>304</v>
      </c>
      <c r="I4085" t="s">
        <v>305</v>
      </c>
      <c r="K4085" t="s">
        <v>44</v>
      </c>
      <c r="N4085" t="s">
        <v>45</v>
      </c>
      <c r="O4085" t="s">
        <v>46</v>
      </c>
      <c r="P4085" t="s">
        <v>45</v>
      </c>
      <c r="Q4085" t="s">
        <v>47</v>
      </c>
      <c r="R4085" t="s">
        <v>44</v>
      </c>
      <c r="S4085">
        <v>0</v>
      </c>
      <c r="W4085" s="3">
        <v>4.594907407407408E-2</v>
      </c>
      <c r="X4085" t="s">
        <v>8461</v>
      </c>
      <c r="Y4085">
        <v>88</v>
      </c>
      <c r="Z4085">
        <v>0</v>
      </c>
      <c r="AA4085" t="s">
        <v>49</v>
      </c>
      <c r="AB4085">
        <v>0</v>
      </c>
      <c r="AC4085" t="s">
        <v>49</v>
      </c>
      <c r="AD4085">
        <v>0</v>
      </c>
      <c r="AE4085">
        <v>10173702</v>
      </c>
      <c r="AF4085" t="s">
        <v>50</v>
      </c>
      <c r="AG4085" t="s">
        <v>2642</v>
      </c>
    </row>
    <row r="4086" spans="1:33" x14ac:dyDescent="0.35">
      <c r="A4086" s="1">
        <v>44621.95208333333</v>
      </c>
      <c r="B4086">
        <v>1185241</v>
      </c>
      <c r="C4086" t="s">
        <v>8462</v>
      </c>
      <c r="D4086" t="s">
        <v>465</v>
      </c>
      <c r="E4086" s="2">
        <v>39447</v>
      </c>
      <c r="F4086" t="str">
        <f>"9781847558015"</f>
        <v>9781847558015</v>
      </c>
      <c r="G4086" t="str">
        <f>"9780854042562"</f>
        <v>9780854042562</v>
      </c>
      <c r="H4086" t="s">
        <v>1040</v>
      </c>
      <c r="I4086">
        <v>547.78</v>
      </c>
      <c r="J4086" t="s">
        <v>8463</v>
      </c>
      <c r="K4086" t="s">
        <v>44</v>
      </c>
      <c r="N4086" t="s">
        <v>45</v>
      </c>
      <c r="O4086" t="s">
        <v>46</v>
      </c>
      <c r="P4086" t="s">
        <v>45</v>
      </c>
      <c r="Q4086" t="s">
        <v>47</v>
      </c>
      <c r="R4086" t="s">
        <v>44</v>
      </c>
      <c r="S4086">
        <v>0</v>
      </c>
      <c r="W4086" s="3">
        <v>4.5138888888888892E-4</v>
      </c>
      <c r="X4086" t="s">
        <v>8464</v>
      </c>
      <c r="Y4086">
        <v>12</v>
      </c>
      <c r="Z4086">
        <v>0</v>
      </c>
      <c r="AA4086" t="s">
        <v>49</v>
      </c>
      <c r="AB4086">
        <v>0</v>
      </c>
      <c r="AC4086" t="s">
        <v>49</v>
      </c>
      <c r="AD4086">
        <v>0</v>
      </c>
      <c r="AE4086">
        <v>10618818</v>
      </c>
      <c r="AF4086" t="s">
        <v>50</v>
      </c>
      <c r="AG4086" t="s">
        <v>7910</v>
      </c>
    </row>
    <row r="4087" spans="1:33" x14ac:dyDescent="0.35">
      <c r="A4087" s="1">
        <v>44621.926388888889</v>
      </c>
      <c r="B4087">
        <v>3338641</v>
      </c>
      <c r="C4087" t="s">
        <v>302</v>
      </c>
      <c r="D4087" t="s">
        <v>303</v>
      </c>
      <c r="E4087" s="2">
        <v>39143</v>
      </c>
      <c r="F4087" t="str">
        <f>"9780262282888"</f>
        <v>9780262282888</v>
      </c>
      <c r="G4087" t="str">
        <f>"9780262195577"</f>
        <v>9780262195577</v>
      </c>
      <c r="H4087" t="s">
        <v>304</v>
      </c>
      <c r="I4087" t="s">
        <v>305</v>
      </c>
      <c r="K4087" t="s">
        <v>44</v>
      </c>
      <c r="N4087" t="s">
        <v>45</v>
      </c>
      <c r="O4087" t="s">
        <v>46</v>
      </c>
      <c r="P4087" t="s">
        <v>45</v>
      </c>
      <c r="Q4087" t="s">
        <v>47</v>
      </c>
      <c r="R4087" t="s">
        <v>44</v>
      </c>
      <c r="S4087">
        <v>0</v>
      </c>
      <c r="W4087" s="3">
        <v>1.7407407407407406E-2</v>
      </c>
      <c r="X4087" t="s">
        <v>8465</v>
      </c>
      <c r="Y4087">
        <v>36</v>
      </c>
      <c r="Z4087">
        <v>0</v>
      </c>
      <c r="AA4087" t="s">
        <v>49</v>
      </c>
      <c r="AB4087">
        <v>0</v>
      </c>
      <c r="AC4087" t="s">
        <v>49</v>
      </c>
      <c r="AD4087">
        <v>0</v>
      </c>
      <c r="AE4087">
        <v>10173702</v>
      </c>
      <c r="AF4087" t="s">
        <v>50</v>
      </c>
      <c r="AG4087" t="s">
        <v>7910</v>
      </c>
    </row>
    <row r="4088" spans="1:33" x14ac:dyDescent="0.35">
      <c r="A4088" s="1">
        <v>44621.888888888891</v>
      </c>
      <c r="B4088">
        <v>1884177</v>
      </c>
      <c r="C4088" t="s">
        <v>8382</v>
      </c>
      <c r="D4088" t="s">
        <v>8383</v>
      </c>
      <c r="E4088" s="2">
        <v>41378</v>
      </c>
      <c r="F4088" t="str">
        <f>"9780873898805"</f>
        <v>9780873898805</v>
      </c>
      <c r="G4088" t="str">
        <f>"9780873898539"</f>
        <v>9780873898539</v>
      </c>
      <c r="H4088" t="s">
        <v>60</v>
      </c>
      <c r="I4088" t="s">
        <v>8384</v>
      </c>
      <c r="J4088" t="s">
        <v>8385</v>
      </c>
      <c r="K4088" t="s">
        <v>44</v>
      </c>
      <c r="N4088" t="s">
        <v>45</v>
      </c>
      <c r="O4088" t="s">
        <v>46</v>
      </c>
      <c r="P4088" t="s">
        <v>45</v>
      </c>
      <c r="Q4088" t="s">
        <v>47</v>
      </c>
      <c r="R4088" t="s">
        <v>44</v>
      </c>
      <c r="S4088">
        <v>0</v>
      </c>
      <c r="W4088" s="3">
        <v>7.4652777777777781E-3</v>
      </c>
      <c r="X4088" t="s">
        <v>8466</v>
      </c>
      <c r="Y4088">
        <v>5</v>
      </c>
      <c r="Z4088">
        <v>0</v>
      </c>
      <c r="AA4088" t="s">
        <v>49</v>
      </c>
      <c r="AB4088">
        <v>0</v>
      </c>
      <c r="AC4088" t="s">
        <v>8039</v>
      </c>
      <c r="AD4088">
        <v>2</v>
      </c>
      <c r="AE4088">
        <v>10929588</v>
      </c>
      <c r="AF4088" t="s">
        <v>50</v>
      </c>
      <c r="AG4088" t="s">
        <v>2642</v>
      </c>
    </row>
    <row r="4089" spans="1:33" x14ac:dyDescent="0.35">
      <c r="A4089" s="1">
        <v>44621.85</v>
      </c>
      <c r="B4089">
        <v>4455255</v>
      </c>
      <c r="C4089" t="s">
        <v>8467</v>
      </c>
      <c r="D4089" t="s">
        <v>59</v>
      </c>
      <c r="E4089" s="2">
        <v>42506</v>
      </c>
      <c r="F4089" t="str">
        <f>"9781118892770"</f>
        <v>9781118892770</v>
      </c>
      <c r="G4089" t="str">
        <f>"9781118892756"</f>
        <v>9781118892756</v>
      </c>
      <c r="H4089" t="s">
        <v>1040</v>
      </c>
      <c r="I4089" t="s">
        <v>8468</v>
      </c>
      <c r="J4089" t="s">
        <v>8469</v>
      </c>
      <c r="K4089" t="s">
        <v>44</v>
      </c>
      <c r="N4089" t="s">
        <v>45</v>
      </c>
      <c r="O4089" t="s">
        <v>46</v>
      </c>
      <c r="P4089" t="s">
        <v>45</v>
      </c>
      <c r="Q4089" t="s">
        <v>47</v>
      </c>
      <c r="R4089" t="s">
        <v>44</v>
      </c>
      <c r="S4089">
        <v>1</v>
      </c>
      <c r="W4089" s="3">
        <v>0</v>
      </c>
      <c r="X4089" t="s">
        <v>49</v>
      </c>
      <c r="Y4089">
        <v>0</v>
      </c>
      <c r="Z4089">
        <v>0</v>
      </c>
      <c r="AA4089" t="s">
        <v>49</v>
      </c>
      <c r="AB4089">
        <v>0</v>
      </c>
      <c r="AC4089" t="s">
        <v>49</v>
      </c>
      <c r="AD4089">
        <v>0</v>
      </c>
      <c r="AE4089">
        <v>11176512</v>
      </c>
      <c r="AF4089" t="s">
        <v>63</v>
      </c>
      <c r="AG4089" t="s">
        <v>8283</v>
      </c>
    </row>
    <row r="4090" spans="1:33" x14ac:dyDescent="0.35">
      <c r="A4090" s="1">
        <v>44621.844444444447</v>
      </c>
      <c r="B4090">
        <v>3021402</v>
      </c>
      <c r="C4090" t="s">
        <v>8470</v>
      </c>
      <c r="D4090" t="s">
        <v>137</v>
      </c>
      <c r="E4090" s="2">
        <v>40732</v>
      </c>
      <c r="F4090" t="str">
        <f>"9781622571185"</f>
        <v>9781622571185</v>
      </c>
      <c r="G4090" t="str">
        <f>"9781612092645"</f>
        <v>9781612092645</v>
      </c>
      <c r="H4090" t="s">
        <v>2103</v>
      </c>
      <c r="I4090" t="s">
        <v>7846</v>
      </c>
      <c r="J4090" t="s">
        <v>8471</v>
      </c>
      <c r="K4090" t="s">
        <v>44</v>
      </c>
      <c r="N4090" t="s">
        <v>45</v>
      </c>
      <c r="O4090" t="s">
        <v>46</v>
      </c>
      <c r="P4090" t="s">
        <v>177</v>
      </c>
      <c r="Q4090" t="s">
        <v>47</v>
      </c>
      <c r="R4090" t="s">
        <v>55</v>
      </c>
      <c r="S4090">
        <v>1</v>
      </c>
      <c r="W4090" s="3">
        <v>0</v>
      </c>
      <c r="X4090" t="s">
        <v>49</v>
      </c>
      <c r="Y4090">
        <v>0</v>
      </c>
      <c r="Z4090">
        <v>0</v>
      </c>
      <c r="AA4090" t="s">
        <v>49</v>
      </c>
      <c r="AB4090">
        <v>0</v>
      </c>
      <c r="AC4090" t="s">
        <v>49</v>
      </c>
      <c r="AD4090">
        <v>0</v>
      </c>
      <c r="AE4090">
        <v>10683060</v>
      </c>
      <c r="AF4090" t="s">
        <v>63</v>
      </c>
      <c r="AG4090" t="s">
        <v>8283</v>
      </c>
    </row>
    <row r="4091" spans="1:33" x14ac:dyDescent="0.35">
      <c r="A4091" s="1">
        <v>44621.838888888888</v>
      </c>
      <c r="B4091">
        <v>3021402</v>
      </c>
      <c r="C4091" t="s">
        <v>8470</v>
      </c>
      <c r="D4091" t="s">
        <v>137</v>
      </c>
      <c r="E4091" s="2">
        <v>40732</v>
      </c>
      <c r="F4091" t="str">
        <f>"9781622571185"</f>
        <v>9781622571185</v>
      </c>
      <c r="G4091" t="str">
        <f>"9781612092645"</f>
        <v>9781612092645</v>
      </c>
      <c r="H4091" t="s">
        <v>2103</v>
      </c>
      <c r="I4091" t="s">
        <v>7846</v>
      </c>
      <c r="J4091" t="s">
        <v>8471</v>
      </c>
      <c r="K4091" t="s">
        <v>44</v>
      </c>
      <c r="N4091" t="s">
        <v>45</v>
      </c>
      <c r="O4091" t="s">
        <v>46</v>
      </c>
      <c r="P4091" t="s">
        <v>177</v>
      </c>
      <c r="Q4091" t="s">
        <v>47</v>
      </c>
      <c r="R4091" t="s">
        <v>55</v>
      </c>
      <c r="S4091">
        <v>0</v>
      </c>
      <c r="W4091" s="3">
        <v>5.2777777777777771E-3</v>
      </c>
      <c r="X4091" t="s">
        <v>8472</v>
      </c>
      <c r="Y4091">
        <v>4</v>
      </c>
      <c r="Z4091">
        <v>0</v>
      </c>
      <c r="AA4091" t="s">
        <v>49</v>
      </c>
      <c r="AB4091">
        <v>0</v>
      </c>
      <c r="AC4091" t="s">
        <v>49</v>
      </c>
      <c r="AD4091">
        <v>0</v>
      </c>
      <c r="AE4091">
        <v>10683060</v>
      </c>
      <c r="AF4091" t="s">
        <v>63</v>
      </c>
      <c r="AG4091" t="s">
        <v>8283</v>
      </c>
    </row>
    <row r="4092" spans="1:33" x14ac:dyDescent="0.35">
      <c r="A4092" s="1">
        <v>44621.799305555556</v>
      </c>
      <c r="B4092">
        <v>1936135</v>
      </c>
      <c r="C4092" t="s">
        <v>8212</v>
      </c>
      <c r="D4092" t="s">
        <v>473</v>
      </c>
      <c r="E4092" s="2">
        <v>41996</v>
      </c>
      <c r="F4092" t="str">
        <f>"9789004281806"</f>
        <v>9789004281806</v>
      </c>
      <c r="G4092" t="str">
        <f>"9789004277434"</f>
        <v>9789004277434</v>
      </c>
      <c r="H4092" t="s">
        <v>712</v>
      </c>
      <c r="I4092" t="s">
        <v>1490</v>
      </c>
      <c r="J4092" t="s">
        <v>8213</v>
      </c>
      <c r="K4092" t="s">
        <v>44</v>
      </c>
      <c r="N4092" t="s">
        <v>45</v>
      </c>
      <c r="O4092" t="s">
        <v>46</v>
      </c>
      <c r="P4092" t="s">
        <v>45</v>
      </c>
      <c r="Q4092" t="s">
        <v>47</v>
      </c>
      <c r="R4092" t="s">
        <v>44</v>
      </c>
      <c r="S4092">
        <v>0</v>
      </c>
      <c r="W4092" s="3">
        <v>6.8634259259259256E-3</v>
      </c>
      <c r="X4092" t="s">
        <v>8473</v>
      </c>
      <c r="Y4092">
        <v>13</v>
      </c>
      <c r="Z4092">
        <v>0</v>
      </c>
      <c r="AA4092" t="s">
        <v>49</v>
      </c>
      <c r="AB4092">
        <v>0</v>
      </c>
      <c r="AC4092" t="s">
        <v>49</v>
      </c>
      <c r="AD4092">
        <v>0</v>
      </c>
      <c r="AE4092">
        <v>11014919</v>
      </c>
      <c r="AF4092" t="s">
        <v>50</v>
      </c>
      <c r="AG4092" t="s">
        <v>7910</v>
      </c>
    </row>
    <row r="4093" spans="1:33" x14ac:dyDescent="0.35">
      <c r="A4093" s="1">
        <v>44621.798611111109</v>
      </c>
      <c r="B4093">
        <v>894046</v>
      </c>
      <c r="C4093" t="s">
        <v>8474</v>
      </c>
      <c r="D4093" t="s">
        <v>1224</v>
      </c>
      <c r="E4093" s="2">
        <v>41505</v>
      </c>
      <c r="F4093" t="str">
        <f>"9783110285406"</f>
        <v>9783110285406</v>
      </c>
      <c r="G4093" t="str">
        <f>"9783110285345"</f>
        <v>9783110285345</v>
      </c>
      <c r="H4093" t="s">
        <v>157</v>
      </c>
      <c r="I4093">
        <v>181</v>
      </c>
      <c r="J4093" t="s">
        <v>8475</v>
      </c>
      <c r="K4093" t="s">
        <v>44</v>
      </c>
      <c r="N4093" t="s">
        <v>45</v>
      </c>
      <c r="O4093" t="s">
        <v>46</v>
      </c>
      <c r="P4093" t="s">
        <v>45</v>
      </c>
      <c r="Q4093" t="s">
        <v>47</v>
      </c>
      <c r="R4093" t="s">
        <v>44</v>
      </c>
      <c r="S4093">
        <v>0</v>
      </c>
      <c r="W4093" s="3">
        <v>3.1250000000000001E-4</v>
      </c>
      <c r="X4093" t="s">
        <v>8476</v>
      </c>
      <c r="Y4093">
        <v>4</v>
      </c>
      <c r="Z4093">
        <v>0</v>
      </c>
      <c r="AA4093" t="s">
        <v>49</v>
      </c>
      <c r="AB4093">
        <v>0</v>
      </c>
      <c r="AC4093" t="s">
        <v>49</v>
      </c>
      <c r="AD4093">
        <v>0</v>
      </c>
      <c r="AE4093">
        <v>10786176</v>
      </c>
      <c r="AF4093" t="s">
        <v>50</v>
      </c>
      <c r="AG4093" t="s">
        <v>7910</v>
      </c>
    </row>
    <row r="4094" spans="1:33" x14ac:dyDescent="0.35">
      <c r="A4094" s="1">
        <v>44621.785416666666</v>
      </c>
      <c r="B4094">
        <v>6452036</v>
      </c>
      <c r="C4094" t="s">
        <v>8477</v>
      </c>
      <c r="D4094" t="s">
        <v>614</v>
      </c>
      <c r="E4094" s="2">
        <v>44203</v>
      </c>
      <c r="F4094" t="str">
        <f>"9789813346420"</f>
        <v>9789813346420</v>
      </c>
      <c r="G4094" t="str">
        <f>"9789813346413"</f>
        <v>9789813346413</v>
      </c>
      <c r="H4094" t="s">
        <v>546</v>
      </c>
      <c r="I4094">
        <v>621.38149999999996</v>
      </c>
      <c r="J4094" t="s">
        <v>1081</v>
      </c>
      <c r="K4094" t="s">
        <v>55</v>
      </c>
      <c r="N4094" t="s">
        <v>79</v>
      </c>
      <c r="P4094" t="s">
        <v>80</v>
      </c>
      <c r="Q4094" t="s">
        <v>47</v>
      </c>
      <c r="R4094" t="s">
        <v>44</v>
      </c>
      <c r="S4094">
        <v>0</v>
      </c>
      <c r="W4094" s="3">
        <v>2.7546296296296294E-3</v>
      </c>
      <c r="X4094" t="s">
        <v>8478</v>
      </c>
      <c r="Y4094">
        <v>24</v>
      </c>
      <c r="Z4094">
        <v>0</v>
      </c>
      <c r="AA4094" t="s">
        <v>49</v>
      </c>
      <c r="AB4094">
        <v>0</v>
      </c>
      <c r="AC4094" t="s">
        <v>8479</v>
      </c>
      <c r="AD4094">
        <v>1</v>
      </c>
      <c r="AE4094">
        <v>-1</v>
      </c>
      <c r="AF4094" t="s">
        <v>50</v>
      </c>
      <c r="AG4094" t="s">
        <v>7910</v>
      </c>
    </row>
    <row r="4095" spans="1:33" x14ac:dyDescent="0.35">
      <c r="A4095" s="1">
        <v>44621.779166666667</v>
      </c>
      <c r="B4095">
        <v>1884177</v>
      </c>
      <c r="C4095" t="s">
        <v>8382</v>
      </c>
      <c r="D4095" t="s">
        <v>8383</v>
      </c>
      <c r="E4095" s="2">
        <v>41378</v>
      </c>
      <c r="F4095" t="str">
        <f>"9780873898805"</f>
        <v>9780873898805</v>
      </c>
      <c r="G4095" t="str">
        <f>"9780873898539"</f>
        <v>9780873898539</v>
      </c>
      <c r="H4095" t="s">
        <v>60</v>
      </c>
      <c r="I4095" t="s">
        <v>8384</v>
      </c>
      <c r="J4095" t="s">
        <v>8385</v>
      </c>
      <c r="K4095" t="s">
        <v>44</v>
      </c>
      <c r="N4095" t="s">
        <v>45</v>
      </c>
      <c r="O4095" t="s">
        <v>46</v>
      </c>
      <c r="P4095" t="s">
        <v>45</v>
      </c>
      <c r="Q4095" t="s">
        <v>47</v>
      </c>
      <c r="R4095" t="s">
        <v>44</v>
      </c>
      <c r="S4095">
        <v>0</v>
      </c>
      <c r="W4095" s="3">
        <v>2.3784722222222221E-2</v>
      </c>
      <c r="X4095" t="s">
        <v>8480</v>
      </c>
      <c r="Y4095">
        <v>28</v>
      </c>
      <c r="Z4095">
        <v>0</v>
      </c>
      <c r="AA4095" t="s">
        <v>49</v>
      </c>
      <c r="AB4095">
        <v>0</v>
      </c>
      <c r="AC4095" t="s">
        <v>8481</v>
      </c>
      <c r="AD4095">
        <v>4</v>
      </c>
      <c r="AE4095">
        <v>10929588</v>
      </c>
      <c r="AF4095" t="s">
        <v>50</v>
      </c>
      <c r="AG4095" t="s">
        <v>2642</v>
      </c>
    </row>
    <row r="4096" spans="1:33" x14ac:dyDescent="0.35">
      <c r="A4096" s="1">
        <v>44621.777777777781</v>
      </c>
      <c r="B4096">
        <v>1752699</v>
      </c>
      <c r="C4096" t="s">
        <v>8482</v>
      </c>
      <c r="D4096" t="s">
        <v>59</v>
      </c>
      <c r="E4096" s="2">
        <v>41828</v>
      </c>
      <c r="F4096" t="str">
        <f>"9781118648896"</f>
        <v>9781118648896</v>
      </c>
      <c r="G4096" t="str">
        <f>"9781118648889"</f>
        <v>9781118648889</v>
      </c>
      <c r="H4096" t="s">
        <v>8483</v>
      </c>
      <c r="I4096">
        <v>720.2856693</v>
      </c>
      <c r="J4096" t="s">
        <v>8484</v>
      </c>
      <c r="K4096" t="s">
        <v>44</v>
      </c>
      <c r="N4096" t="s">
        <v>45</v>
      </c>
      <c r="O4096" t="s">
        <v>46</v>
      </c>
      <c r="P4096" t="s">
        <v>45</v>
      </c>
      <c r="Q4096" t="s">
        <v>47</v>
      </c>
      <c r="R4096" t="s">
        <v>44</v>
      </c>
      <c r="S4096">
        <v>0</v>
      </c>
      <c r="W4096" s="3">
        <v>3.5416666666666665E-3</v>
      </c>
      <c r="X4096" t="s">
        <v>8485</v>
      </c>
      <c r="Y4096">
        <v>14</v>
      </c>
      <c r="Z4096">
        <v>0</v>
      </c>
      <c r="AA4096" t="s">
        <v>49</v>
      </c>
      <c r="AB4096">
        <v>0</v>
      </c>
      <c r="AC4096" t="s">
        <v>8486</v>
      </c>
      <c r="AD4096">
        <v>2</v>
      </c>
      <c r="AE4096">
        <v>10899792</v>
      </c>
      <c r="AF4096" t="s">
        <v>50</v>
      </c>
      <c r="AG4096" t="s">
        <v>7910</v>
      </c>
    </row>
    <row r="4097" spans="1:33" x14ac:dyDescent="0.35">
      <c r="A4097" s="1">
        <v>44621.777083333334</v>
      </c>
      <c r="B4097">
        <v>1629167</v>
      </c>
      <c r="C4097" t="s">
        <v>8487</v>
      </c>
      <c r="D4097" t="s">
        <v>59</v>
      </c>
      <c r="E4097" s="2">
        <v>41687</v>
      </c>
      <c r="F4097" t="str">
        <f>"9781118740071"</f>
        <v>9781118740071</v>
      </c>
      <c r="G4097" t="str">
        <f>"9781118458341"</f>
        <v>9781118458341</v>
      </c>
      <c r="H4097" t="s">
        <v>84</v>
      </c>
      <c r="I4097">
        <v>690</v>
      </c>
      <c r="J4097" t="s">
        <v>8488</v>
      </c>
      <c r="K4097" t="s">
        <v>44</v>
      </c>
      <c r="N4097" t="s">
        <v>45</v>
      </c>
      <c r="O4097" t="s">
        <v>46</v>
      </c>
      <c r="P4097" t="s">
        <v>45</v>
      </c>
      <c r="Q4097" t="s">
        <v>47</v>
      </c>
      <c r="R4097" t="s">
        <v>44</v>
      </c>
      <c r="S4097">
        <v>0</v>
      </c>
      <c r="W4097" s="3">
        <v>1.4930555555555556E-2</v>
      </c>
      <c r="X4097" t="s">
        <v>8489</v>
      </c>
      <c r="Y4097">
        <v>10</v>
      </c>
      <c r="Z4097">
        <v>0</v>
      </c>
      <c r="AA4097" t="s">
        <v>49</v>
      </c>
      <c r="AB4097">
        <v>0</v>
      </c>
      <c r="AC4097" t="s">
        <v>49</v>
      </c>
      <c r="AD4097">
        <v>0</v>
      </c>
      <c r="AE4097">
        <v>10837572</v>
      </c>
      <c r="AF4097" t="s">
        <v>50</v>
      </c>
      <c r="AG4097" t="s">
        <v>7910</v>
      </c>
    </row>
    <row r="4098" spans="1:33" x14ac:dyDescent="0.35">
      <c r="A4098" s="1">
        <v>44621.777083333334</v>
      </c>
      <c r="B4098">
        <v>988156</v>
      </c>
      <c r="C4098" t="s">
        <v>8490</v>
      </c>
      <c r="D4098" t="s">
        <v>7296</v>
      </c>
      <c r="E4098" s="2">
        <v>41106</v>
      </c>
      <c r="F4098" t="str">
        <f>"9780813553146"</f>
        <v>9780813553146</v>
      </c>
      <c r="G4098" t="str">
        <f>"9780813552996"</f>
        <v>9780813552996</v>
      </c>
      <c r="H4098" t="s">
        <v>525</v>
      </c>
      <c r="I4098">
        <v>362.12</v>
      </c>
      <c r="J4098" t="s">
        <v>8491</v>
      </c>
      <c r="K4098" t="s">
        <v>44</v>
      </c>
      <c r="N4098" t="s">
        <v>45</v>
      </c>
      <c r="O4098" t="s">
        <v>46</v>
      </c>
      <c r="P4098" t="s">
        <v>45</v>
      </c>
      <c r="Q4098" t="s">
        <v>47</v>
      </c>
      <c r="R4098" t="s">
        <v>44</v>
      </c>
      <c r="S4098">
        <v>0</v>
      </c>
      <c r="W4098" s="3">
        <v>5.7870370370370366E-5</v>
      </c>
      <c r="X4098" t="s">
        <v>121</v>
      </c>
      <c r="Y4098">
        <v>1</v>
      </c>
      <c r="Z4098">
        <v>0</v>
      </c>
      <c r="AA4098" t="s">
        <v>49</v>
      </c>
      <c r="AB4098">
        <v>0</v>
      </c>
      <c r="AC4098" t="s">
        <v>49</v>
      </c>
      <c r="AD4098">
        <v>0</v>
      </c>
      <c r="AE4098">
        <v>10589779</v>
      </c>
      <c r="AF4098" t="s">
        <v>50</v>
      </c>
      <c r="AG4098" t="s">
        <v>7910</v>
      </c>
    </row>
    <row r="4099" spans="1:33" x14ac:dyDescent="0.35">
      <c r="A4099" s="1">
        <v>44621.771527777775</v>
      </c>
      <c r="B4099">
        <v>1637638</v>
      </c>
      <c r="C4099" t="s">
        <v>8398</v>
      </c>
      <c r="D4099" t="s">
        <v>59</v>
      </c>
      <c r="E4099" s="2">
        <v>41708</v>
      </c>
      <c r="F4099" t="str">
        <f>"9781118420133"</f>
        <v>9781118420133</v>
      </c>
      <c r="G4099" t="str">
        <f>"9781118342329"</f>
        <v>9781118342329</v>
      </c>
      <c r="H4099" t="s">
        <v>138</v>
      </c>
      <c r="I4099">
        <v>4</v>
      </c>
      <c r="J4099" t="s">
        <v>8399</v>
      </c>
      <c r="K4099" t="s">
        <v>44</v>
      </c>
      <c r="N4099" t="s">
        <v>45</v>
      </c>
      <c r="O4099" t="s">
        <v>46</v>
      </c>
      <c r="P4099" t="s">
        <v>45</v>
      </c>
      <c r="Q4099" t="s">
        <v>47</v>
      </c>
      <c r="R4099" t="s">
        <v>44</v>
      </c>
      <c r="S4099">
        <v>0</v>
      </c>
      <c r="W4099" s="3">
        <v>5.7407407407407416E-3</v>
      </c>
      <c r="X4099" t="s">
        <v>8492</v>
      </c>
      <c r="Y4099">
        <v>20</v>
      </c>
      <c r="Z4099">
        <v>0</v>
      </c>
      <c r="AA4099" t="s">
        <v>49</v>
      </c>
      <c r="AB4099">
        <v>0</v>
      </c>
      <c r="AC4099" t="s">
        <v>49</v>
      </c>
      <c r="AD4099">
        <v>0</v>
      </c>
      <c r="AE4099">
        <v>10842263</v>
      </c>
      <c r="AF4099" t="s">
        <v>50</v>
      </c>
      <c r="AG4099" t="s">
        <v>2642</v>
      </c>
    </row>
    <row r="4100" spans="1:33" x14ac:dyDescent="0.35">
      <c r="A4100" s="1">
        <v>44621.761111111111</v>
      </c>
      <c r="B4100">
        <v>3338641</v>
      </c>
      <c r="C4100" t="s">
        <v>302</v>
      </c>
      <c r="D4100" t="s">
        <v>303</v>
      </c>
      <c r="E4100" s="2">
        <v>39143</v>
      </c>
      <c r="F4100" t="str">
        <f>"9780262282888"</f>
        <v>9780262282888</v>
      </c>
      <c r="G4100" t="str">
        <f>"9780262195577"</f>
        <v>9780262195577</v>
      </c>
      <c r="H4100" t="s">
        <v>304</v>
      </c>
      <c r="I4100" t="s">
        <v>305</v>
      </c>
      <c r="K4100" t="s">
        <v>44</v>
      </c>
      <c r="N4100" t="s">
        <v>45</v>
      </c>
      <c r="O4100" t="s">
        <v>46</v>
      </c>
      <c r="P4100" t="s">
        <v>45</v>
      </c>
      <c r="Q4100" t="s">
        <v>47</v>
      </c>
      <c r="R4100" t="s">
        <v>44</v>
      </c>
      <c r="S4100">
        <v>0</v>
      </c>
      <c r="W4100" s="3">
        <v>1.1574074074074073E-4</v>
      </c>
      <c r="X4100" t="s">
        <v>121</v>
      </c>
      <c r="Y4100">
        <v>1</v>
      </c>
      <c r="Z4100">
        <v>0</v>
      </c>
      <c r="AA4100" t="s">
        <v>49</v>
      </c>
      <c r="AB4100">
        <v>0</v>
      </c>
      <c r="AC4100" t="s">
        <v>49</v>
      </c>
      <c r="AD4100">
        <v>0</v>
      </c>
      <c r="AE4100">
        <v>10173702</v>
      </c>
      <c r="AF4100" t="s">
        <v>50</v>
      </c>
      <c r="AG4100" t="s">
        <v>7910</v>
      </c>
    </row>
    <row r="4101" spans="1:33" x14ac:dyDescent="0.35">
      <c r="A4101" s="1">
        <v>44621.750694444447</v>
      </c>
      <c r="B4101">
        <v>325551</v>
      </c>
      <c r="C4101" t="s">
        <v>8493</v>
      </c>
      <c r="D4101" t="s">
        <v>76</v>
      </c>
      <c r="E4101" s="2">
        <v>39471</v>
      </c>
      <c r="F4101" t="str">
        <f>"9780203932100"</f>
        <v>9780203932100</v>
      </c>
      <c r="G4101" t="str">
        <f>"9780415956154"</f>
        <v>9780415956154</v>
      </c>
      <c r="H4101" t="s">
        <v>90</v>
      </c>
      <c r="I4101">
        <v>370.72</v>
      </c>
      <c r="J4101" t="s">
        <v>8494</v>
      </c>
      <c r="K4101" t="s">
        <v>44</v>
      </c>
      <c r="N4101" t="s">
        <v>45</v>
      </c>
      <c r="O4101" t="s">
        <v>46</v>
      </c>
      <c r="P4101" t="s">
        <v>45</v>
      </c>
      <c r="Q4101" t="s">
        <v>47</v>
      </c>
      <c r="R4101" t="s">
        <v>44</v>
      </c>
      <c r="S4101">
        <v>0</v>
      </c>
      <c r="W4101" s="3">
        <v>4.1666666666666669E-4</v>
      </c>
      <c r="X4101" t="s">
        <v>2249</v>
      </c>
      <c r="Y4101">
        <v>6</v>
      </c>
      <c r="Z4101">
        <v>0</v>
      </c>
      <c r="AA4101" t="s">
        <v>49</v>
      </c>
      <c r="AB4101">
        <v>0</v>
      </c>
      <c r="AC4101" t="s">
        <v>49</v>
      </c>
      <c r="AD4101">
        <v>0</v>
      </c>
      <c r="AE4101">
        <v>10205204</v>
      </c>
      <c r="AF4101" t="s">
        <v>50</v>
      </c>
      <c r="AG4101" t="s">
        <v>840</v>
      </c>
    </row>
    <row r="4102" spans="1:33" x14ac:dyDescent="0.35">
      <c r="A4102" s="1">
        <v>44621.675000000003</v>
      </c>
      <c r="B4102">
        <v>3338641</v>
      </c>
      <c r="C4102" t="s">
        <v>302</v>
      </c>
      <c r="D4102" t="s">
        <v>303</v>
      </c>
      <c r="E4102" s="2">
        <v>39143</v>
      </c>
      <c r="F4102" t="str">
        <f>"9780262282888"</f>
        <v>9780262282888</v>
      </c>
      <c r="G4102" t="str">
        <f>"9780262195577"</f>
        <v>9780262195577</v>
      </c>
      <c r="H4102" t="s">
        <v>304</v>
      </c>
      <c r="I4102" t="s">
        <v>305</v>
      </c>
      <c r="K4102" t="s">
        <v>44</v>
      </c>
      <c r="N4102" t="s">
        <v>45</v>
      </c>
      <c r="O4102" t="s">
        <v>46</v>
      </c>
      <c r="P4102" t="s">
        <v>45</v>
      </c>
      <c r="Q4102" t="s">
        <v>47</v>
      </c>
      <c r="R4102" t="s">
        <v>44</v>
      </c>
      <c r="S4102">
        <v>0</v>
      </c>
      <c r="W4102" s="3">
        <v>3.0949074074074077E-2</v>
      </c>
      <c r="X4102" t="s">
        <v>8495</v>
      </c>
      <c r="Y4102">
        <v>72</v>
      </c>
      <c r="Z4102">
        <v>0</v>
      </c>
      <c r="AA4102" t="s">
        <v>49</v>
      </c>
      <c r="AB4102">
        <v>0</v>
      </c>
      <c r="AC4102" t="s">
        <v>49</v>
      </c>
      <c r="AD4102">
        <v>0</v>
      </c>
      <c r="AE4102">
        <v>10173702</v>
      </c>
      <c r="AF4102" t="s">
        <v>50</v>
      </c>
      <c r="AG4102" t="s">
        <v>8496</v>
      </c>
    </row>
    <row r="4103" spans="1:33" x14ac:dyDescent="0.35">
      <c r="A4103" s="1">
        <v>44621.647222222222</v>
      </c>
      <c r="B4103">
        <v>3338641</v>
      </c>
      <c r="C4103" t="s">
        <v>302</v>
      </c>
      <c r="D4103" t="s">
        <v>303</v>
      </c>
      <c r="E4103" s="2">
        <v>39143</v>
      </c>
      <c r="F4103" t="str">
        <f>"9780262282888"</f>
        <v>9780262282888</v>
      </c>
      <c r="G4103" t="str">
        <f>"9780262195577"</f>
        <v>9780262195577</v>
      </c>
      <c r="H4103" t="s">
        <v>304</v>
      </c>
      <c r="I4103" t="s">
        <v>305</v>
      </c>
      <c r="K4103" t="s">
        <v>44</v>
      </c>
      <c r="N4103" t="s">
        <v>45</v>
      </c>
      <c r="O4103" t="s">
        <v>46</v>
      </c>
      <c r="P4103" t="s">
        <v>45</v>
      </c>
      <c r="Q4103" t="s">
        <v>47</v>
      </c>
      <c r="R4103" t="s">
        <v>44</v>
      </c>
      <c r="S4103">
        <v>0</v>
      </c>
      <c r="W4103" s="3">
        <v>3.8576388888888889E-2</v>
      </c>
      <c r="X4103" t="s">
        <v>8497</v>
      </c>
      <c r="Y4103">
        <v>6</v>
      </c>
      <c r="Z4103">
        <v>0</v>
      </c>
      <c r="AA4103" t="s">
        <v>49</v>
      </c>
      <c r="AB4103">
        <v>0</v>
      </c>
      <c r="AC4103" t="s">
        <v>49</v>
      </c>
      <c r="AD4103">
        <v>0</v>
      </c>
      <c r="AE4103">
        <v>10173702</v>
      </c>
      <c r="AF4103" t="s">
        <v>63</v>
      </c>
      <c r="AG4103" t="s">
        <v>7910</v>
      </c>
    </row>
    <row r="4104" spans="1:33" x14ac:dyDescent="0.35">
      <c r="A4104" s="1">
        <v>44621.557638888888</v>
      </c>
      <c r="B4104">
        <v>4307182</v>
      </c>
      <c r="C4104" t="s">
        <v>8498</v>
      </c>
      <c r="D4104" t="s">
        <v>2116</v>
      </c>
      <c r="E4104" s="2">
        <v>42361</v>
      </c>
      <c r="F4104" t="str">
        <f>"9781606508480"</f>
        <v>9781606508480</v>
      </c>
      <c r="G4104" t="str">
        <f>"9781606508473"</f>
        <v>9781606508473</v>
      </c>
      <c r="H4104" t="s">
        <v>8499</v>
      </c>
      <c r="K4104" t="s">
        <v>44</v>
      </c>
      <c r="N4104" t="s">
        <v>45</v>
      </c>
      <c r="O4104" t="s">
        <v>46</v>
      </c>
      <c r="P4104" t="s">
        <v>45</v>
      </c>
      <c r="Q4104" t="s">
        <v>47</v>
      </c>
      <c r="R4104" t="s">
        <v>44</v>
      </c>
      <c r="S4104">
        <v>0</v>
      </c>
      <c r="W4104" s="3">
        <v>1.273148148148148E-4</v>
      </c>
      <c r="X4104" t="s">
        <v>56</v>
      </c>
      <c r="Y4104">
        <v>3</v>
      </c>
      <c r="Z4104">
        <v>0</v>
      </c>
      <c r="AA4104" t="s">
        <v>49</v>
      </c>
      <c r="AB4104">
        <v>0</v>
      </c>
      <c r="AC4104" t="s">
        <v>49</v>
      </c>
      <c r="AD4104">
        <v>0</v>
      </c>
      <c r="AE4104">
        <v>11147005</v>
      </c>
      <c r="AF4104" t="s">
        <v>50</v>
      </c>
      <c r="AG4104" t="s">
        <v>7910</v>
      </c>
    </row>
    <row r="4105" spans="1:33" x14ac:dyDescent="0.35">
      <c r="A4105" s="1">
        <v>44621.51458333333</v>
      </c>
      <c r="B4105">
        <v>316991</v>
      </c>
      <c r="C4105" t="s">
        <v>8500</v>
      </c>
      <c r="D4105" t="s">
        <v>65</v>
      </c>
      <c r="E4105" s="2">
        <v>38041</v>
      </c>
      <c r="F4105" t="str">
        <f>"9780080537887"</f>
        <v>9780080537887</v>
      </c>
      <c r="G4105" t="str">
        <f>"9780122035906"</f>
        <v>9780122035906</v>
      </c>
      <c r="H4105" t="s">
        <v>4190</v>
      </c>
      <c r="I4105">
        <v>629.83199999999999</v>
      </c>
      <c r="J4105" t="s">
        <v>8501</v>
      </c>
      <c r="K4105" t="s">
        <v>44</v>
      </c>
      <c r="N4105" t="s">
        <v>45</v>
      </c>
      <c r="O4105" t="s">
        <v>46</v>
      </c>
      <c r="P4105" t="s">
        <v>45</v>
      </c>
      <c r="Q4105" t="s">
        <v>47</v>
      </c>
      <c r="R4105" t="s">
        <v>44</v>
      </c>
      <c r="S4105">
        <v>0</v>
      </c>
      <c r="W4105" s="3">
        <v>1.0995370370370371E-3</v>
      </c>
      <c r="X4105" t="s">
        <v>8502</v>
      </c>
      <c r="Y4105">
        <v>5</v>
      </c>
      <c r="Z4105">
        <v>0</v>
      </c>
      <c r="AA4105" t="s">
        <v>49</v>
      </c>
      <c r="AB4105">
        <v>0</v>
      </c>
      <c r="AC4105" t="s">
        <v>49</v>
      </c>
      <c r="AD4105">
        <v>0</v>
      </c>
      <c r="AE4105">
        <v>10206359</v>
      </c>
      <c r="AF4105" t="s">
        <v>50</v>
      </c>
      <c r="AG4105" t="s">
        <v>7910</v>
      </c>
    </row>
    <row r="4106" spans="1:33" x14ac:dyDescent="0.35">
      <c r="A4106" s="1">
        <v>44621.513194444444</v>
      </c>
      <c r="B4106">
        <v>3318415</v>
      </c>
      <c r="C4106" t="s">
        <v>8503</v>
      </c>
      <c r="D4106" t="s">
        <v>1390</v>
      </c>
      <c r="E4106" s="2">
        <v>39461</v>
      </c>
      <c r="F4106" t="str">
        <f>"9780801896798"</f>
        <v>9780801896798</v>
      </c>
      <c r="G4106" t="str">
        <f>"9780801887147"</f>
        <v>9780801887147</v>
      </c>
      <c r="H4106" t="s">
        <v>43</v>
      </c>
      <c r="J4106" t="s">
        <v>8504</v>
      </c>
      <c r="K4106" t="s">
        <v>44</v>
      </c>
      <c r="N4106" t="s">
        <v>45</v>
      </c>
      <c r="O4106" t="s">
        <v>46</v>
      </c>
      <c r="P4106" t="s">
        <v>45</v>
      </c>
      <c r="Q4106" t="s">
        <v>47</v>
      </c>
      <c r="R4106" t="s">
        <v>44</v>
      </c>
      <c r="S4106">
        <v>0</v>
      </c>
      <c r="W4106" s="3">
        <v>5.6712962962962956E-4</v>
      </c>
      <c r="X4106" t="s">
        <v>8505</v>
      </c>
      <c r="Y4106">
        <v>11</v>
      </c>
      <c r="Z4106">
        <v>0</v>
      </c>
      <c r="AA4106" t="s">
        <v>49</v>
      </c>
      <c r="AB4106">
        <v>0</v>
      </c>
      <c r="AC4106" t="s">
        <v>49</v>
      </c>
      <c r="AD4106">
        <v>0</v>
      </c>
      <c r="AE4106">
        <v>10363105</v>
      </c>
      <c r="AF4106" t="s">
        <v>50</v>
      </c>
      <c r="AG4106" t="s">
        <v>7910</v>
      </c>
    </row>
    <row r="4107" spans="1:33" x14ac:dyDescent="0.35">
      <c r="A4107" s="1">
        <v>44621.383333333331</v>
      </c>
      <c r="B4107">
        <v>1727881</v>
      </c>
      <c r="C4107" t="s">
        <v>8506</v>
      </c>
      <c r="D4107" t="s">
        <v>125</v>
      </c>
      <c r="E4107" s="2">
        <v>41880</v>
      </c>
      <c r="F4107" t="str">
        <f>"9780199928460"</f>
        <v>9780199928460</v>
      </c>
      <c r="G4107" t="str">
        <f>"9780199928453"</f>
        <v>9780199928453</v>
      </c>
      <c r="H4107" t="s">
        <v>147</v>
      </c>
      <c r="I4107">
        <v>616.83000000000004</v>
      </c>
      <c r="J4107" t="s">
        <v>8507</v>
      </c>
      <c r="K4107" t="s">
        <v>44</v>
      </c>
      <c r="N4107" t="s">
        <v>45</v>
      </c>
      <c r="O4107" t="s">
        <v>46</v>
      </c>
      <c r="P4107" t="s">
        <v>45</v>
      </c>
      <c r="Q4107" t="s">
        <v>47</v>
      </c>
      <c r="R4107" t="s">
        <v>44</v>
      </c>
      <c r="S4107">
        <v>0</v>
      </c>
      <c r="W4107" s="3">
        <v>4.7569444444444447E-3</v>
      </c>
      <c r="X4107" t="s">
        <v>8508</v>
      </c>
      <c r="Y4107">
        <v>10</v>
      </c>
      <c r="Z4107">
        <v>0</v>
      </c>
      <c r="AA4107" t="s">
        <v>49</v>
      </c>
      <c r="AB4107">
        <v>0</v>
      </c>
      <c r="AC4107" t="s">
        <v>8509</v>
      </c>
      <c r="AD4107">
        <v>1</v>
      </c>
      <c r="AE4107">
        <v>10890703</v>
      </c>
      <c r="AF4107" t="s">
        <v>50</v>
      </c>
      <c r="AG4107" t="s">
        <v>7910</v>
      </c>
    </row>
    <row r="4108" spans="1:33" x14ac:dyDescent="0.35">
      <c r="A4108" s="1">
        <v>44621.353472222225</v>
      </c>
      <c r="B4108">
        <v>1143557</v>
      </c>
      <c r="C4108" t="s">
        <v>8510</v>
      </c>
      <c r="D4108" t="s">
        <v>59</v>
      </c>
      <c r="E4108" s="2">
        <v>41400</v>
      </c>
      <c r="F4108" t="str">
        <f>"9781118274217"</f>
        <v>9781118274217</v>
      </c>
      <c r="G4108" t="str">
        <f>"9780470671313"</f>
        <v>9780470671313</v>
      </c>
      <c r="H4108" t="s">
        <v>77</v>
      </c>
      <c r="I4108" t="s">
        <v>8511</v>
      </c>
      <c r="J4108" t="s">
        <v>8512</v>
      </c>
      <c r="K4108" t="s">
        <v>44</v>
      </c>
      <c r="N4108" t="s">
        <v>45</v>
      </c>
      <c r="O4108" t="s">
        <v>46</v>
      </c>
      <c r="P4108" t="s">
        <v>45</v>
      </c>
      <c r="Q4108" t="s">
        <v>47</v>
      </c>
      <c r="R4108" t="s">
        <v>44</v>
      </c>
      <c r="S4108">
        <v>0</v>
      </c>
      <c r="W4108" s="3">
        <v>4.7800925925925919E-3</v>
      </c>
      <c r="X4108" t="s">
        <v>8513</v>
      </c>
      <c r="Y4108">
        <v>62</v>
      </c>
      <c r="Z4108">
        <v>0</v>
      </c>
      <c r="AA4108" t="s">
        <v>49</v>
      </c>
      <c r="AB4108">
        <v>0</v>
      </c>
      <c r="AC4108" t="s">
        <v>49</v>
      </c>
      <c r="AD4108">
        <v>0</v>
      </c>
      <c r="AE4108">
        <v>10671529</v>
      </c>
      <c r="AF4108" t="s">
        <v>50</v>
      </c>
      <c r="AG4108" t="s">
        <v>7910</v>
      </c>
    </row>
    <row r="4109" spans="1:33" x14ac:dyDescent="0.35">
      <c r="A4109" s="1">
        <v>44621.30972222222</v>
      </c>
      <c r="B4109">
        <v>564460</v>
      </c>
      <c r="C4109" t="s">
        <v>8514</v>
      </c>
      <c r="D4109" t="s">
        <v>502</v>
      </c>
      <c r="E4109" s="2">
        <v>40430</v>
      </c>
      <c r="F4109" t="str">
        <f>"9780511799006"</f>
        <v>9780511799006</v>
      </c>
      <c r="G4109" t="str">
        <f>"9780521763424"</f>
        <v>9780521763424</v>
      </c>
      <c r="H4109" t="s">
        <v>2067</v>
      </c>
      <c r="I4109">
        <v>363.73874000000001</v>
      </c>
      <c r="J4109" t="s">
        <v>8515</v>
      </c>
      <c r="K4109" t="s">
        <v>44</v>
      </c>
      <c r="N4109" t="s">
        <v>45</v>
      </c>
      <c r="O4109" t="s">
        <v>46</v>
      </c>
      <c r="P4109" t="s">
        <v>45</v>
      </c>
      <c r="Q4109" t="s">
        <v>47</v>
      </c>
      <c r="R4109" t="s">
        <v>44</v>
      </c>
      <c r="S4109">
        <v>0</v>
      </c>
      <c r="W4109" s="3">
        <v>2.4305555555555552E-4</v>
      </c>
      <c r="X4109" t="s">
        <v>1346</v>
      </c>
      <c r="Y4109">
        <v>4</v>
      </c>
      <c r="Z4109">
        <v>0</v>
      </c>
      <c r="AA4109" t="s">
        <v>49</v>
      </c>
      <c r="AB4109">
        <v>0</v>
      </c>
      <c r="AC4109" t="s">
        <v>49</v>
      </c>
      <c r="AD4109">
        <v>0</v>
      </c>
      <c r="AE4109">
        <v>10412996</v>
      </c>
      <c r="AF4109" t="s">
        <v>50</v>
      </c>
      <c r="AG4109" t="s">
        <v>8173</v>
      </c>
    </row>
    <row r="4110" spans="1:33" x14ac:dyDescent="0.35">
      <c r="A4110" s="1">
        <v>44621.017361111109</v>
      </c>
      <c r="B4110">
        <v>3317934</v>
      </c>
      <c r="C4110" t="s">
        <v>8516</v>
      </c>
      <c r="D4110" t="s">
        <v>8517</v>
      </c>
      <c r="E4110" s="2">
        <v>39295</v>
      </c>
      <c r="F4110" t="str">
        <f>"9782742013197"</f>
        <v>9782742013197</v>
      </c>
      <c r="G4110" t="str">
        <f>"9782742006397"</f>
        <v>9782742006397</v>
      </c>
      <c r="H4110" t="s">
        <v>1112</v>
      </c>
      <c r="J4110" t="s">
        <v>8518</v>
      </c>
      <c r="K4110" t="s">
        <v>44</v>
      </c>
      <c r="N4110" t="s">
        <v>45</v>
      </c>
      <c r="O4110" t="s">
        <v>46</v>
      </c>
      <c r="P4110" t="s">
        <v>45</v>
      </c>
      <c r="Q4110" t="s">
        <v>47</v>
      </c>
      <c r="R4110" t="s">
        <v>44</v>
      </c>
      <c r="S4110">
        <v>0</v>
      </c>
      <c r="W4110" s="3">
        <v>3.7037037037037035E-4</v>
      </c>
      <c r="X4110" t="s">
        <v>8519</v>
      </c>
      <c r="Y4110">
        <v>4</v>
      </c>
      <c r="Z4110">
        <v>0</v>
      </c>
      <c r="AA4110" t="s">
        <v>49</v>
      </c>
      <c r="AB4110">
        <v>0</v>
      </c>
      <c r="AC4110" t="s">
        <v>49</v>
      </c>
      <c r="AD4110">
        <v>0</v>
      </c>
      <c r="AE4110">
        <v>10836460</v>
      </c>
      <c r="AF4110" t="s">
        <v>50</v>
      </c>
      <c r="AG4110" t="s">
        <v>7910</v>
      </c>
    </row>
    <row r="4111" spans="1:33" x14ac:dyDescent="0.35">
      <c r="A4111" s="1">
        <v>44621.001388888886</v>
      </c>
      <c r="B4111">
        <v>3338641</v>
      </c>
      <c r="C4111" t="s">
        <v>302</v>
      </c>
      <c r="D4111" t="s">
        <v>303</v>
      </c>
      <c r="E4111" s="2">
        <v>39143</v>
      </c>
      <c r="F4111" t="str">
        <f>"9780262282888"</f>
        <v>9780262282888</v>
      </c>
      <c r="G4111" t="str">
        <f>"9780262195577"</f>
        <v>9780262195577</v>
      </c>
      <c r="H4111" t="s">
        <v>304</v>
      </c>
      <c r="I4111" t="s">
        <v>305</v>
      </c>
      <c r="K4111" t="s">
        <v>44</v>
      </c>
      <c r="N4111" t="s">
        <v>45</v>
      </c>
      <c r="O4111" t="s">
        <v>46</v>
      </c>
      <c r="P4111" t="s">
        <v>45</v>
      </c>
      <c r="Q4111" t="s">
        <v>47</v>
      </c>
      <c r="R4111" t="s">
        <v>44</v>
      </c>
      <c r="S4111">
        <v>0</v>
      </c>
      <c r="W4111" s="3">
        <v>9.2592592592592588E-5</v>
      </c>
      <c r="X4111" t="s">
        <v>121</v>
      </c>
      <c r="Y4111">
        <v>1</v>
      </c>
      <c r="Z4111">
        <v>0</v>
      </c>
      <c r="AA4111" t="s">
        <v>49</v>
      </c>
      <c r="AB4111">
        <v>0</v>
      </c>
      <c r="AC4111" t="s">
        <v>49</v>
      </c>
      <c r="AD4111">
        <v>0</v>
      </c>
      <c r="AE4111">
        <v>10173702</v>
      </c>
      <c r="AF4111" t="s">
        <v>50</v>
      </c>
      <c r="AG4111" t="s">
        <v>2642</v>
      </c>
    </row>
    <row r="4112" spans="1:33" x14ac:dyDescent="0.35">
      <c r="A4112" s="1">
        <v>44620.986111111109</v>
      </c>
      <c r="B4112">
        <v>472672</v>
      </c>
      <c r="C4112" t="s">
        <v>8520</v>
      </c>
      <c r="D4112" t="s">
        <v>891</v>
      </c>
      <c r="E4112" s="2">
        <v>39629</v>
      </c>
      <c r="F4112" t="str">
        <f>"9780815701484"</f>
        <v>9780815701484</v>
      </c>
      <c r="G4112" t="str">
        <f>"9780815781929"</f>
        <v>9780815781929</v>
      </c>
      <c r="H4112" t="s">
        <v>2489</v>
      </c>
      <c r="I4112" t="s">
        <v>8521</v>
      </c>
      <c r="J4112" t="s">
        <v>8522</v>
      </c>
      <c r="K4112" t="s">
        <v>44</v>
      </c>
      <c r="N4112" t="s">
        <v>45</v>
      </c>
      <c r="O4112" t="s">
        <v>46</v>
      </c>
      <c r="P4112" t="s">
        <v>45</v>
      </c>
      <c r="Q4112" t="s">
        <v>47</v>
      </c>
      <c r="R4112" t="s">
        <v>44</v>
      </c>
      <c r="S4112">
        <v>0</v>
      </c>
      <c r="W4112" s="3">
        <v>5.2083333333333333E-4</v>
      </c>
      <c r="X4112" t="s">
        <v>8523</v>
      </c>
      <c r="Y4112">
        <v>10</v>
      </c>
      <c r="Z4112">
        <v>0</v>
      </c>
      <c r="AA4112" t="s">
        <v>49</v>
      </c>
      <c r="AB4112">
        <v>0</v>
      </c>
      <c r="AC4112" t="s">
        <v>49</v>
      </c>
      <c r="AD4112">
        <v>0</v>
      </c>
      <c r="AE4112">
        <v>10338481</v>
      </c>
      <c r="AF4112" t="s">
        <v>50</v>
      </c>
      <c r="AG4112" t="s">
        <v>7910</v>
      </c>
    </row>
    <row r="4113" spans="1:33" x14ac:dyDescent="0.35">
      <c r="A4113" s="1">
        <v>44620.968055555553</v>
      </c>
      <c r="B4113">
        <v>1574357</v>
      </c>
      <c r="C4113" t="s">
        <v>8524</v>
      </c>
      <c r="D4113" t="s">
        <v>59</v>
      </c>
      <c r="E4113" s="2">
        <v>41680</v>
      </c>
      <c r="F4113" t="str">
        <f>"9781118703366"</f>
        <v>9781118703366</v>
      </c>
      <c r="G4113" t="str">
        <f>"9781118634165"</f>
        <v>9781118634165</v>
      </c>
      <c r="H4113" t="s">
        <v>546</v>
      </c>
      <c r="I4113">
        <v>621.31244000000004</v>
      </c>
      <c r="J4113" t="s">
        <v>8525</v>
      </c>
      <c r="K4113" t="s">
        <v>44</v>
      </c>
      <c r="N4113" t="s">
        <v>45</v>
      </c>
      <c r="O4113" t="s">
        <v>46</v>
      </c>
      <c r="P4113" t="s">
        <v>45</v>
      </c>
      <c r="Q4113" t="s">
        <v>47</v>
      </c>
      <c r="R4113" t="s">
        <v>44</v>
      </c>
      <c r="S4113">
        <v>0</v>
      </c>
      <c r="W4113" s="3">
        <v>5.0925925925925921E-4</v>
      </c>
      <c r="X4113" t="s">
        <v>8526</v>
      </c>
      <c r="Y4113">
        <v>4</v>
      </c>
      <c r="Z4113">
        <v>0</v>
      </c>
      <c r="AA4113" t="s">
        <v>49</v>
      </c>
      <c r="AB4113">
        <v>0</v>
      </c>
      <c r="AC4113" t="s">
        <v>49</v>
      </c>
      <c r="AD4113">
        <v>0</v>
      </c>
      <c r="AE4113">
        <v>10814681</v>
      </c>
      <c r="AF4113" t="s">
        <v>50</v>
      </c>
      <c r="AG4113" t="s">
        <v>8283</v>
      </c>
    </row>
    <row r="4114" spans="1:33" x14ac:dyDescent="0.35">
      <c r="A4114" s="1">
        <v>44620.904861111114</v>
      </c>
      <c r="B4114">
        <v>4859516</v>
      </c>
      <c r="C4114" t="s">
        <v>8527</v>
      </c>
      <c r="D4114" t="s">
        <v>8528</v>
      </c>
      <c r="E4114" s="2">
        <v>40095</v>
      </c>
      <c r="F4114" t="str">
        <f>"9781467433952"</f>
        <v>9781467433952</v>
      </c>
      <c r="G4114" t="str">
        <f>"9780802864109"</f>
        <v>9780802864109</v>
      </c>
      <c r="H4114" t="s">
        <v>162</v>
      </c>
      <c r="I4114">
        <v>220.601</v>
      </c>
      <c r="J4114" t="s">
        <v>8529</v>
      </c>
      <c r="K4114" t="s">
        <v>44</v>
      </c>
      <c r="N4114" t="s">
        <v>45</v>
      </c>
      <c r="O4114" t="s">
        <v>46</v>
      </c>
      <c r="P4114" t="s">
        <v>45</v>
      </c>
      <c r="Q4114" t="s">
        <v>47</v>
      </c>
      <c r="R4114" t="s">
        <v>44</v>
      </c>
      <c r="S4114">
        <v>0</v>
      </c>
      <c r="W4114" s="3">
        <v>4.155092592592593E-3</v>
      </c>
      <c r="X4114" t="s">
        <v>8530</v>
      </c>
      <c r="Y4114">
        <v>24</v>
      </c>
      <c r="Z4114">
        <v>0</v>
      </c>
      <c r="AA4114" t="s">
        <v>49</v>
      </c>
      <c r="AB4114">
        <v>0</v>
      </c>
      <c r="AC4114" t="s">
        <v>49</v>
      </c>
      <c r="AD4114">
        <v>0</v>
      </c>
      <c r="AE4114">
        <v>11388456</v>
      </c>
      <c r="AF4114" t="s">
        <v>50</v>
      </c>
      <c r="AG4114" t="s">
        <v>7910</v>
      </c>
    </row>
    <row r="4115" spans="1:33" x14ac:dyDescent="0.35">
      <c r="A4115" s="1">
        <v>44620.791666666664</v>
      </c>
      <c r="B4115">
        <v>589099</v>
      </c>
      <c r="C4115" t="s">
        <v>8531</v>
      </c>
      <c r="D4115" t="s">
        <v>59</v>
      </c>
      <c r="E4115" s="2">
        <v>40498</v>
      </c>
      <c r="F4115" t="str">
        <f>"9780470825624"</f>
        <v>9780470825624</v>
      </c>
      <c r="G4115" t="str">
        <f>"9780470825617"</f>
        <v>9780470825617</v>
      </c>
      <c r="H4115" t="s">
        <v>546</v>
      </c>
      <c r="I4115">
        <v>621.38400000000001</v>
      </c>
      <c r="J4115" t="s">
        <v>8532</v>
      </c>
      <c r="K4115" t="s">
        <v>44</v>
      </c>
      <c r="N4115" t="s">
        <v>45</v>
      </c>
      <c r="O4115" t="s">
        <v>46</v>
      </c>
      <c r="P4115" t="s">
        <v>45</v>
      </c>
      <c r="Q4115" t="s">
        <v>47</v>
      </c>
      <c r="R4115" t="s">
        <v>44</v>
      </c>
      <c r="S4115">
        <v>0</v>
      </c>
      <c r="W4115" s="3">
        <v>3.2499999999999994E-2</v>
      </c>
      <c r="X4115" t="s">
        <v>8533</v>
      </c>
      <c r="Y4115">
        <v>20</v>
      </c>
      <c r="Z4115">
        <v>0</v>
      </c>
      <c r="AA4115" t="s">
        <v>49</v>
      </c>
      <c r="AB4115">
        <v>0</v>
      </c>
      <c r="AC4115" t="s">
        <v>49</v>
      </c>
      <c r="AD4115">
        <v>0</v>
      </c>
      <c r="AE4115">
        <v>10412611</v>
      </c>
      <c r="AF4115" t="s">
        <v>50</v>
      </c>
      <c r="AG4115" t="s">
        <v>7910</v>
      </c>
    </row>
    <row r="4116" spans="1:33" x14ac:dyDescent="0.35">
      <c r="A4116" s="1">
        <v>44620.78402777778</v>
      </c>
      <c r="B4116">
        <v>3338641</v>
      </c>
      <c r="C4116" t="s">
        <v>302</v>
      </c>
      <c r="D4116" t="s">
        <v>303</v>
      </c>
      <c r="E4116" s="2">
        <v>39143</v>
      </c>
      <c r="F4116" t="str">
        <f>"9780262282888"</f>
        <v>9780262282888</v>
      </c>
      <c r="G4116" t="str">
        <f>"9780262195577"</f>
        <v>9780262195577</v>
      </c>
      <c r="H4116" t="s">
        <v>304</v>
      </c>
      <c r="I4116" t="s">
        <v>305</v>
      </c>
      <c r="K4116" t="s">
        <v>44</v>
      </c>
      <c r="N4116" t="s">
        <v>45</v>
      </c>
      <c r="O4116" t="s">
        <v>46</v>
      </c>
      <c r="P4116" t="s">
        <v>45</v>
      </c>
      <c r="Q4116" t="s">
        <v>47</v>
      </c>
      <c r="R4116" t="s">
        <v>44</v>
      </c>
      <c r="S4116">
        <v>0</v>
      </c>
      <c r="W4116" s="3">
        <v>6.9259259259259257E-2</v>
      </c>
      <c r="X4116" t="s">
        <v>8534</v>
      </c>
      <c r="Y4116">
        <v>64</v>
      </c>
      <c r="Z4116">
        <v>0</v>
      </c>
      <c r="AA4116" t="s">
        <v>49</v>
      </c>
      <c r="AB4116">
        <v>0</v>
      </c>
      <c r="AC4116" t="s">
        <v>49</v>
      </c>
      <c r="AD4116">
        <v>0</v>
      </c>
      <c r="AE4116">
        <v>10173702</v>
      </c>
      <c r="AF4116" t="s">
        <v>50</v>
      </c>
      <c r="AG4116" t="s">
        <v>8496</v>
      </c>
    </row>
    <row r="4117" spans="1:33" x14ac:dyDescent="0.35">
      <c r="A4117" s="1">
        <v>44620.756249999999</v>
      </c>
      <c r="B4117">
        <v>3338641</v>
      </c>
      <c r="C4117" t="s">
        <v>302</v>
      </c>
      <c r="D4117" t="s">
        <v>303</v>
      </c>
      <c r="E4117" s="2">
        <v>39143</v>
      </c>
      <c r="F4117" t="str">
        <f>"9780262282888"</f>
        <v>9780262282888</v>
      </c>
      <c r="G4117" t="str">
        <f>"9780262195577"</f>
        <v>9780262195577</v>
      </c>
      <c r="H4117" t="s">
        <v>304</v>
      </c>
      <c r="I4117" t="s">
        <v>305</v>
      </c>
      <c r="K4117" t="s">
        <v>44</v>
      </c>
      <c r="N4117" t="s">
        <v>45</v>
      </c>
      <c r="O4117" t="s">
        <v>46</v>
      </c>
      <c r="P4117" t="s">
        <v>45</v>
      </c>
      <c r="Q4117" t="s">
        <v>47</v>
      </c>
      <c r="R4117" t="s">
        <v>44</v>
      </c>
      <c r="S4117">
        <v>0</v>
      </c>
      <c r="W4117" s="3">
        <v>3.1296296296296301E-2</v>
      </c>
      <c r="X4117" t="s">
        <v>8535</v>
      </c>
      <c r="Y4117">
        <v>7</v>
      </c>
      <c r="Z4117">
        <v>0</v>
      </c>
      <c r="AA4117" t="s">
        <v>49</v>
      </c>
      <c r="AB4117">
        <v>0</v>
      </c>
      <c r="AC4117" t="s">
        <v>752</v>
      </c>
      <c r="AD4117">
        <v>1</v>
      </c>
      <c r="AE4117">
        <v>10173702</v>
      </c>
      <c r="AF4117" t="s">
        <v>63</v>
      </c>
      <c r="AG4117" t="s">
        <v>7910</v>
      </c>
    </row>
    <row r="4118" spans="1:33" x14ac:dyDescent="0.35">
      <c r="A4118" s="1">
        <v>44620.745833333334</v>
      </c>
      <c r="B4118">
        <v>3338641</v>
      </c>
      <c r="C4118" t="s">
        <v>302</v>
      </c>
      <c r="D4118" t="s">
        <v>303</v>
      </c>
      <c r="E4118" s="2">
        <v>39143</v>
      </c>
      <c r="F4118" t="str">
        <f>"9780262282888"</f>
        <v>9780262282888</v>
      </c>
      <c r="G4118" t="str">
        <f>"9780262195577"</f>
        <v>9780262195577</v>
      </c>
      <c r="H4118" t="s">
        <v>304</v>
      </c>
      <c r="I4118" t="s">
        <v>305</v>
      </c>
      <c r="K4118" t="s">
        <v>44</v>
      </c>
      <c r="N4118" t="s">
        <v>45</v>
      </c>
      <c r="O4118" t="s">
        <v>46</v>
      </c>
      <c r="P4118" t="s">
        <v>45</v>
      </c>
      <c r="Q4118" t="s">
        <v>47</v>
      </c>
      <c r="R4118" t="s">
        <v>44</v>
      </c>
      <c r="S4118">
        <v>0</v>
      </c>
      <c r="W4118" s="3">
        <v>2.8935185185185188E-3</v>
      </c>
      <c r="X4118" t="s">
        <v>8536</v>
      </c>
      <c r="Y4118">
        <v>20</v>
      </c>
      <c r="Z4118">
        <v>0</v>
      </c>
      <c r="AA4118" t="s">
        <v>49</v>
      </c>
      <c r="AB4118">
        <v>0</v>
      </c>
      <c r="AC4118" t="s">
        <v>49</v>
      </c>
      <c r="AD4118">
        <v>0</v>
      </c>
      <c r="AE4118">
        <v>10173702</v>
      </c>
      <c r="AF4118" t="s">
        <v>50</v>
      </c>
      <c r="AG4118" t="s">
        <v>8496</v>
      </c>
    </row>
    <row r="4119" spans="1:33" x14ac:dyDescent="0.35">
      <c r="A4119" s="1">
        <v>44620.64166666667</v>
      </c>
      <c r="B4119">
        <v>6033311</v>
      </c>
      <c r="C4119" t="s">
        <v>8449</v>
      </c>
      <c r="D4119" t="s">
        <v>65</v>
      </c>
      <c r="E4119" s="2">
        <v>43864</v>
      </c>
      <c r="F4119" t="str">
        <f>"9780128172483"</f>
        <v>9780128172483</v>
      </c>
      <c r="G4119" t="str">
        <f>"9780128172476"</f>
        <v>9780128172476</v>
      </c>
      <c r="H4119" t="s">
        <v>8450</v>
      </c>
      <c r="I4119">
        <v>621.04200000000003</v>
      </c>
      <c r="J4119" t="s">
        <v>8451</v>
      </c>
      <c r="K4119" t="s">
        <v>55</v>
      </c>
      <c r="N4119" t="s">
        <v>293</v>
      </c>
      <c r="P4119" t="s">
        <v>80</v>
      </c>
      <c r="Q4119" t="s">
        <v>47</v>
      </c>
      <c r="R4119" t="s">
        <v>44</v>
      </c>
      <c r="S4119">
        <v>2</v>
      </c>
      <c r="T4119">
        <v>90</v>
      </c>
      <c r="U4119" s="1">
        <v>44620.64166666667</v>
      </c>
      <c r="V4119" s="1">
        <v>44710.64166666667</v>
      </c>
      <c r="W4119" s="3">
        <v>2.0717592592592593E-3</v>
      </c>
      <c r="X4119" t="s">
        <v>8537</v>
      </c>
      <c r="Y4119">
        <v>15</v>
      </c>
      <c r="Z4119">
        <v>0</v>
      </c>
      <c r="AA4119" t="s">
        <v>49</v>
      </c>
      <c r="AB4119">
        <v>0</v>
      </c>
      <c r="AC4119" t="s">
        <v>49</v>
      </c>
      <c r="AD4119">
        <v>0</v>
      </c>
      <c r="AE4119">
        <v>-1</v>
      </c>
      <c r="AF4119" t="s">
        <v>63</v>
      </c>
      <c r="AG4119" t="s">
        <v>8283</v>
      </c>
    </row>
    <row r="4120" spans="1:33" x14ac:dyDescent="0.35">
      <c r="A4120" s="1">
        <v>44620.63958333333</v>
      </c>
      <c r="B4120">
        <v>1143557</v>
      </c>
      <c r="C4120" t="s">
        <v>8510</v>
      </c>
      <c r="D4120" t="s">
        <v>59</v>
      </c>
      <c r="E4120" s="2">
        <v>41400</v>
      </c>
      <c r="F4120" t="str">
        <f>"9781118274217"</f>
        <v>9781118274217</v>
      </c>
      <c r="G4120" t="str">
        <f>"9780470671313"</f>
        <v>9780470671313</v>
      </c>
      <c r="H4120" t="s">
        <v>77</v>
      </c>
      <c r="I4120" t="s">
        <v>8511</v>
      </c>
      <c r="J4120" t="s">
        <v>8512</v>
      </c>
      <c r="K4120" t="s">
        <v>44</v>
      </c>
      <c r="N4120" t="s">
        <v>45</v>
      </c>
      <c r="O4120" t="s">
        <v>46</v>
      </c>
      <c r="P4120" t="s">
        <v>45</v>
      </c>
      <c r="Q4120" t="s">
        <v>47</v>
      </c>
      <c r="R4120" t="s">
        <v>44</v>
      </c>
      <c r="S4120">
        <v>0</v>
      </c>
      <c r="W4120" s="3">
        <v>2.9699074074074072E-2</v>
      </c>
      <c r="X4120" t="s">
        <v>8538</v>
      </c>
      <c r="Y4120">
        <v>44</v>
      </c>
      <c r="Z4120">
        <v>0</v>
      </c>
      <c r="AA4120" t="s">
        <v>49</v>
      </c>
      <c r="AB4120">
        <v>0</v>
      </c>
      <c r="AC4120" t="s">
        <v>49</v>
      </c>
      <c r="AD4120">
        <v>0</v>
      </c>
      <c r="AE4120">
        <v>10671529</v>
      </c>
      <c r="AF4120" t="s">
        <v>63</v>
      </c>
      <c r="AG4120" t="s">
        <v>8283</v>
      </c>
    </row>
    <row r="4121" spans="1:33" x14ac:dyDescent="0.35">
      <c r="A4121" s="1">
        <v>44620.626388888886</v>
      </c>
      <c r="B4121">
        <v>6210937</v>
      </c>
      <c r="C4121" t="s">
        <v>8539</v>
      </c>
      <c r="D4121" t="s">
        <v>213</v>
      </c>
      <c r="E4121" s="2">
        <v>43979</v>
      </c>
      <c r="F4121" t="str">
        <f>"9780128223437"</f>
        <v>9780128223437</v>
      </c>
      <c r="G4121" t="str">
        <f>"9780128223420"</f>
        <v>9780128223420</v>
      </c>
      <c r="H4121" t="s">
        <v>546</v>
      </c>
      <c r="I4121">
        <v>621.39700000000005</v>
      </c>
      <c r="J4121" t="s">
        <v>8540</v>
      </c>
      <c r="K4121" t="s">
        <v>55</v>
      </c>
      <c r="N4121" t="s">
        <v>79</v>
      </c>
      <c r="P4121" t="s">
        <v>80</v>
      </c>
      <c r="Q4121" t="s">
        <v>47</v>
      </c>
      <c r="R4121" t="s">
        <v>44</v>
      </c>
      <c r="S4121">
        <v>0</v>
      </c>
      <c r="W4121" s="3">
        <v>3.0092592592592595E-4</v>
      </c>
      <c r="X4121" t="s">
        <v>8541</v>
      </c>
      <c r="Y4121">
        <v>3</v>
      </c>
      <c r="Z4121">
        <v>0</v>
      </c>
      <c r="AA4121" t="s">
        <v>49</v>
      </c>
      <c r="AB4121">
        <v>0</v>
      </c>
      <c r="AC4121" t="s">
        <v>49</v>
      </c>
      <c r="AD4121">
        <v>0</v>
      </c>
      <c r="AE4121">
        <v>-1</v>
      </c>
      <c r="AF4121" t="s">
        <v>50</v>
      </c>
      <c r="AG4121" t="s">
        <v>8250</v>
      </c>
    </row>
    <row r="4122" spans="1:33" x14ac:dyDescent="0.35">
      <c r="A4122" s="1">
        <v>44620.613194444442</v>
      </c>
      <c r="B4122">
        <v>6210937</v>
      </c>
      <c r="C4122" t="s">
        <v>8539</v>
      </c>
      <c r="D4122" t="s">
        <v>213</v>
      </c>
      <c r="E4122" s="2">
        <v>43979</v>
      </c>
      <c r="F4122" t="str">
        <f>"9780128223437"</f>
        <v>9780128223437</v>
      </c>
      <c r="G4122" t="str">
        <f>"9780128223420"</f>
        <v>9780128223420</v>
      </c>
      <c r="H4122" t="s">
        <v>546</v>
      </c>
      <c r="I4122">
        <v>621.39700000000005</v>
      </c>
      <c r="J4122" t="s">
        <v>8540</v>
      </c>
      <c r="K4122" t="s">
        <v>55</v>
      </c>
      <c r="N4122" t="s">
        <v>79</v>
      </c>
      <c r="P4122" t="s">
        <v>80</v>
      </c>
      <c r="Q4122" t="s">
        <v>47</v>
      </c>
      <c r="R4122" t="s">
        <v>44</v>
      </c>
      <c r="S4122">
        <v>0</v>
      </c>
      <c r="W4122" s="3">
        <v>1.6203703703703703E-4</v>
      </c>
      <c r="X4122" t="s">
        <v>196</v>
      </c>
      <c r="Y4122">
        <v>2</v>
      </c>
      <c r="Z4122">
        <v>0</v>
      </c>
      <c r="AA4122" t="s">
        <v>49</v>
      </c>
      <c r="AB4122">
        <v>0</v>
      </c>
      <c r="AC4122" t="s">
        <v>49</v>
      </c>
      <c r="AD4122">
        <v>0</v>
      </c>
      <c r="AE4122">
        <v>-1</v>
      </c>
      <c r="AF4122" t="s">
        <v>50</v>
      </c>
      <c r="AG4122" t="s">
        <v>7910</v>
      </c>
    </row>
    <row r="4123" spans="1:33" x14ac:dyDescent="0.35">
      <c r="A4123" s="1">
        <v>44620.561111111114</v>
      </c>
      <c r="B4123">
        <v>3016843</v>
      </c>
      <c r="C4123" t="s">
        <v>8542</v>
      </c>
      <c r="D4123" t="s">
        <v>8543</v>
      </c>
      <c r="E4123" s="2">
        <v>39173</v>
      </c>
      <c r="F4123" t="str">
        <f>"9781593322861"</f>
        <v>9781593322861</v>
      </c>
      <c r="G4123" t="str">
        <f>"9781593321970"</f>
        <v>9781593321970</v>
      </c>
      <c r="H4123" t="s">
        <v>1046</v>
      </c>
      <c r="I4123">
        <v>364.360973</v>
      </c>
      <c r="J4123" t="s">
        <v>8544</v>
      </c>
      <c r="K4123" t="s">
        <v>44</v>
      </c>
      <c r="N4123" t="s">
        <v>45</v>
      </c>
      <c r="O4123" t="s">
        <v>46</v>
      </c>
      <c r="P4123" t="s">
        <v>177</v>
      </c>
      <c r="Q4123" t="s">
        <v>47</v>
      </c>
      <c r="R4123" t="s">
        <v>55</v>
      </c>
      <c r="S4123">
        <v>0</v>
      </c>
      <c r="W4123" s="3">
        <v>3.8634259259259257E-2</v>
      </c>
      <c r="X4123" t="s">
        <v>8545</v>
      </c>
      <c r="Y4123">
        <v>25</v>
      </c>
      <c r="Z4123">
        <v>0</v>
      </c>
      <c r="AA4123" t="s">
        <v>49</v>
      </c>
      <c r="AB4123">
        <v>0</v>
      </c>
      <c r="AC4123" t="s">
        <v>752</v>
      </c>
      <c r="AD4123">
        <v>1</v>
      </c>
      <c r="AE4123">
        <v>10225153</v>
      </c>
      <c r="AF4123" t="s">
        <v>50</v>
      </c>
      <c r="AG4123" t="s">
        <v>8546</v>
      </c>
    </row>
    <row r="4124" spans="1:33" x14ac:dyDescent="0.35">
      <c r="A4124" s="1">
        <v>44620.556250000001</v>
      </c>
      <c r="B4124">
        <v>3338641</v>
      </c>
      <c r="C4124" t="s">
        <v>302</v>
      </c>
      <c r="D4124" t="s">
        <v>303</v>
      </c>
      <c r="E4124" s="2">
        <v>39143</v>
      </c>
      <c r="F4124" t="str">
        <f>"9780262282888"</f>
        <v>9780262282888</v>
      </c>
      <c r="G4124" t="str">
        <f>"9780262195577"</f>
        <v>9780262195577</v>
      </c>
      <c r="H4124" t="s">
        <v>304</v>
      </c>
      <c r="I4124" t="s">
        <v>305</v>
      </c>
      <c r="K4124" t="s">
        <v>44</v>
      </c>
      <c r="N4124" t="s">
        <v>45</v>
      </c>
      <c r="O4124" t="s">
        <v>46</v>
      </c>
      <c r="P4124" t="s">
        <v>45</v>
      </c>
      <c r="Q4124" t="s">
        <v>47</v>
      </c>
      <c r="R4124" t="s">
        <v>44</v>
      </c>
      <c r="S4124">
        <v>0</v>
      </c>
      <c r="W4124" s="3">
        <v>2.8460648148148148E-2</v>
      </c>
      <c r="X4124" t="s">
        <v>8547</v>
      </c>
      <c r="Y4124">
        <v>48</v>
      </c>
      <c r="Z4124">
        <v>0</v>
      </c>
      <c r="AA4124" t="s">
        <v>49</v>
      </c>
      <c r="AB4124">
        <v>0</v>
      </c>
      <c r="AC4124" t="s">
        <v>49</v>
      </c>
      <c r="AD4124">
        <v>0</v>
      </c>
      <c r="AE4124">
        <v>10173702</v>
      </c>
      <c r="AF4124" t="s">
        <v>50</v>
      </c>
      <c r="AG4124" t="s">
        <v>8496</v>
      </c>
    </row>
    <row r="4125" spans="1:33" x14ac:dyDescent="0.35">
      <c r="A4125" s="1">
        <v>44620.530555555553</v>
      </c>
      <c r="B4125">
        <v>3378313</v>
      </c>
      <c r="C4125" t="s">
        <v>8548</v>
      </c>
      <c r="D4125" t="s">
        <v>175</v>
      </c>
      <c r="E4125" s="2">
        <v>39387</v>
      </c>
      <c r="F4125" t="str">
        <f>"9780309110723"</f>
        <v>9780309110723</v>
      </c>
      <c r="G4125" t="str">
        <f>"9780309110716"</f>
        <v>9780309110716</v>
      </c>
      <c r="H4125" t="s">
        <v>77</v>
      </c>
      <c r="K4125" t="s">
        <v>44</v>
      </c>
      <c r="N4125" t="s">
        <v>45</v>
      </c>
      <c r="O4125" t="s">
        <v>46</v>
      </c>
      <c r="P4125" t="s">
        <v>177</v>
      </c>
      <c r="Q4125" t="s">
        <v>47</v>
      </c>
      <c r="R4125" t="s">
        <v>55</v>
      </c>
      <c r="S4125">
        <v>0</v>
      </c>
      <c r="W4125" s="3">
        <v>8.1018518518518516E-5</v>
      </c>
      <c r="X4125" t="s">
        <v>121</v>
      </c>
      <c r="Y4125">
        <v>1</v>
      </c>
      <c r="Z4125">
        <v>0</v>
      </c>
      <c r="AA4125" t="s">
        <v>49</v>
      </c>
      <c r="AB4125">
        <v>0</v>
      </c>
      <c r="AC4125" t="s">
        <v>49</v>
      </c>
      <c r="AD4125">
        <v>0</v>
      </c>
      <c r="AE4125">
        <v>10203747</v>
      </c>
      <c r="AF4125" t="s">
        <v>50</v>
      </c>
      <c r="AG4125" t="s">
        <v>7910</v>
      </c>
    </row>
    <row r="4126" spans="1:33" x14ac:dyDescent="0.35">
      <c r="A4126" s="1">
        <v>44620.513888888891</v>
      </c>
      <c r="B4126">
        <v>4548062</v>
      </c>
      <c r="C4126" t="s">
        <v>8549</v>
      </c>
      <c r="D4126" t="s">
        <v>59</v>
      </c>
      <c r="E4126" s="2">
        <v>42352</v>
      </c>
      <c r="F4126" t="str">
        <f>"9781118949436"</f>
        <v>9781118949436</v>
      </c>
      <c r="G4126" t="str">
        <f>"9781118949443"</f>
        <v>9781118949443</v>
      </c>
      <c r="H4126" t="s">
        <v>77</v>
      </c>
      <c r="I4126">
        <v>610.71</v>
      </c>
      <c r="J4126" t="s">
        <v>8550</v>
      </c>
      <c r="K4126" t="s">
        <v>44</v>
      </c>
      <c r="N4126" t="s">
        <v>45</v>
      </c>
      <c r="O4126" t="s">
        <v>46</v>
      </c>
      <c r="P4126" t="s">
        <v>45</v>
      </c>
      <c r="Q4126" t="s">
        <v>47</v>
      </c>
      <c r="R4126" t="s">
        <v>44</v>
      </c>
      <c r="S4126">
        <v>0</v>
      </c>
      <c r="W4126" s="3">
        <v>1.8518518518518518E-4</v>
      </c>
      <c r="X4126" t="s">
        <v>121</v>
      </c>
      <c r="Y4126">
        <v>1</v>
      </c>
      <c r="Z4126">
        <v>1</v>
      </c>
      <c r="AA4126" t="s">
        <v>1637</v>
      </c>
      <c r="AB4126">
        <v>8</v>
      </c>
      <c r="AC4126" t="s">
        <v>49</v>
      </c>
      <c r="AD4126">
        <v>0</v>
      </c>
      <c r="AE4126">
        <v>11251350</v>
      </c>
      <c r="AF4126" t="s">
        <v>50</v>
      </c>
      <c r="AG4126" t="s">
        <v>8283</v>
      </c>
    </row>
    <row r="4127" spans="1:33" x14ac:dyDescent="0.35">
      <c r="A4127" s="1">
        <v>44620.495138888888</v>
      </c>
      <c r="B4127">
        <v>589099</v>
      </c>
      <c r="C4127" t="s">
        <v>8531</v>
      </c>
      <c r="D4127" t="s">
        <v>59</v>
      </c>
      <c r="E4127" s="2">
        <v>40498</v>
      </c>
      <c r="F4127" t="str">
        <f>"9780470825624"</f>
        <v>9780470825624</v>
      </c>
      <c r="G4127" t="str">
        <f>"9780470825617"</f>
        <v>9780470825617</v>
      </c>
      <c r="H4127" t="s">
        <v>546</v>
      </c>
      <c r="I4127">
        <v>621.38400000000001</v>
      </c>
      <c r="J4127" t="s">
        <v>8532</v>
      </c>
      <c r="K4127" t="s">
        <v>44</v>
      </c>
      <c r="N4127" t="s">
        <v>45</v>
      </c>
      <c r="O4127" t="s">
        <v>46</v>
      </c>
      <c r="P4127" t="s">
        <v>45</v>
      </c>
      <c r="Q4127" t="s">
        <v>47</v>
      </c>
      <c r="R4127" t="s">
        <v>44</v>
      </c>
      <c r="S4127">
        <v>0</v>
      </c>
      <c r="W4127" s="3">
        <v>1.0185185185185186E-3</v>
      </c>
      <c r="X4127" t="s">
        <v>8551</v>
      </c>
      <c r="Y4127">
        <v>16</v>
      </c>
      <c r="Z4127">
        <v>0</v>
      </c>
      <c r="AA4127" t="s">
        <v>49</v>
      </c>
      <c r="AB4127">
        <v>0</v>
      </c>
      <c r="AC4127" t="s">
        <v>49</v>
      </c>
      <c r="AD4127">
        <v>0</v>
      </c>
      <c r="AE4127">
        <v>10412611</v>
      </c>
      <c r="AF4127" t="s">
        <v>50</v>
      </c>
      <c r="AG4127" t="s">
        <v>7910</v>
      </c>
    </row>
    <row r="4128" spans="1:33" x14ac:dyDescent="0.35">
      <c r="A4128" s="1">
        <v>44620.442361111112</v>
      </c>
      <c r="B4128">
        <v>1679332</v>
      </c>
      <c r="C4128" t="s">
        <v>8552</v>
      </c>
      <c r="D4128" t="s">
        <v>71</v>
      </c>
      <c r="E4128" s="2">
        <v>39405</v>
      </c>
      <c r="F4128" t="str">
        <f>"9789812709301"</f>
        <v>9789812709301</v>
      </c>
      <c r="G4128" t="str">
        <f>"9789812709295"</f>
        <v>9789812709295</v>
      </c>
      <c r="H4128" t="s">
        <v>77</v>
      </c>
      <c r="I4128">
        <v>616.99</v>
      </c>
      <c r="J4128" t="s">
        <v>8553</v>
      </c>
      <c r="K4128" t="s">
        <v>44</v>
      </c>
      <c r="N4128" t="s">
        <v>45</v>
      </c>
      <c r="O4128" t="s">
        <v>46</v>
      </c>
      <c r="P4128" t="s">
        <v>45</v>
      </c>
      <c r="Q4128" t="s">
        <v>47</v>
      </c>
      <c r="R4128" t="s">
        <v>44</v>
      </c>
      <c r="S4128">
        <v>0</v>
      </c>
      <c r="W4128" s="3">
        <v>6.3078703703703708E-3</v>
      </c>
      <c r="X4128" t="s">
        <v>8554</v>
      </c>
      <c r="Y4128">
        <v>19</v>
      </c>
      <c r="Z4128">
        <v>0</v>
      </c>
      <c r="AA4128" t="s">
        <v>49</v>
      </c>
      <c r="AB4128">
        <v>0</v>
      </c>
      <c r="AC4128" t="s">
        <v>49</v>
      </c>
      <c r="AD4128">
        <v>0</v>
      </c>
      <c r="AE4128">
        <v>10255662</v>
      </c>
      <c r="AF4128" t="s">
        <v>50</v>
      </c>
      <c r="AG4128" t="s">
        <v>1451</v>
      </c>
    </row>
    <row r="4129" spans="1:33" x14ac:dyDescent="0.35">
      <c r="A4129" s="1">
        <v>44620.426388888889</v>
      </c>
      <c r="B4129">
        <v>6033311</v>
      </c>
      <c r="C4129" t="s">
        <v>8449</v>
      </c>
      <c r="D4129" t="s">
        <v>65</v>
      </c>
      <c r="E4129" s="2">
        <v>43864</v>
      </c>
      <c r="F4129" t="str">
        <f>"9780128172483"</f>
        <v>9780128172483</v>
      </c>
      <c r="G4129" t="str">
        <f>"9780128172476"</f>
        <v>9780128172476</v>
      </c>
      <c r="H4129" t="s">
        <v>8450</v>
      </c>
      <c r="I4129">
        <v>621.04200000000003</v>
      </c>
      <c r="J4129" t="s">
        <v>8451</v>
      </c>
      <c r="K4129" t="s">
        <v>55</v>
      </c>
      <c r="Q4129" t="s">
        <v>47</v>
      </c>
      <c r="R4129" t="s">
        <v>44</v>
      </c>
      <c r="S4129">
        <v>0</v>
      </c>
      <c r="W4129" s="3">
        <v>5.1273148148148146E-3</v>
      </c>
      <c r="X4129" t="s">
        <v>8555</v>
      </c>
      <c r="Y4129">
        <v>19</v>
      </c>
      <c r="Z4129">
        <v>0</v>
      </c>
      <c r="AA4129" t="s">
        <v>49</v>
      </c>
      <c r="AB4129">
        <v>0</v>
      </c>
      <c r="AC4129" t="s">
        <v>49</v>
      </c>
      <c r="AD4129">
        <v>0</v>
      </c>
      <c r="AE4129">
        <v>-1</v>
      </c>
      <c r="AF4129" t="s">
        <v>63</v>
      </c>
      <c r="AG4129" t="s">
        <v>7910</v>
      </c>
    </row>
    <row r="4130" spans="1:33" x14ac:dyDescent="0.35">
      <c r="A4130" s="1">
        <v>44620.423611111109</v>
      </c>
      <c r="B4130">
        <v>4585271</v>
      </c>
      <c r="C4130" t="s">
        <v>8556</v>
      </c>
      <c r="D4130" t="s">
        <v>59</v>
      </c>
      <c r="E4130" s="2">
        <v>42583</v>
      </c>
      <c r="F4130" t="str">
        <f>"9781119179597"</f>
        <v>9781119179597</v>
      </c>
      <c r="G4130" t="str">
        <f>"9781119179573"</f>
        <v>9781119179573</v>
      </c>
      <c r="H4130" t="s">
        <v>8557</v>
      </c>
      <c r="I4130">
        <v>658.4</v>
      </c>
      <c r="J4130" t="s">
        <v>8558</v>
      </c>
      <c r="K4130" t="s">
        <v>44</v>
      </c>
      <c r="N4130" t="s">
        <v>45</v>
      </c>
      <c r="O4130" t="s">
        <v>46</v>
      </c>
      <c r="P4130" t="s">
        <v>45</v>
      </c>
      <c r="Q4130" t="s">
        <v>47</v>
      </c>
      <c r="R4130" t="s">
        <v>44</v>
      </c>
      <c r="S4130">
        <v>0</v>
      </c>
      <c r="W4130" s="3">
        <v>3.483796296296296E-3</v>
      </c>
      <c r="X4130" t="s">
        <v>8559</v>
      </c>
      <c r="Y4130">
        <v>40</v>
      </c>
      <c r="Z4130">
        <v>0</v>
      </c>
      <c r="AA4130" t="s">
        <v>49</v>
      </c>
      <c r="AB4130">
        <v>0</v>
      </c>
      <c r="AC4130" t="s">
        <v>49</v>
      </c>
      <c r="AD4130">
        <v>0</v>
      </c>
      <c r="AE4130">
        <v>11234254</v>
      </c>
      <c r="AF4130" t="s">
        <v>50</v>
      </c>
      <c r="AG4130" t="s">
        <v>8238</v>
      </c>
    </row>
    <row r="4131" spans="1:33" x14ac:dyDescent="0.35">
      <c r="A4131" s="1">
        <v>44620.415277777778</v>
      </c>
      <c r="B4131">
        <v>6033311</v>
      </c>
      <c r="C4131" t="s">
        <v>8449</v>
      </c>
      <c r="D4131" t="s">
        <v>65</v>
      </c>
      <c r="E4131" s="2">
        <v>43864</v>
      </c>
      <c r="F4131" t="str">
        <f>"9780128172483"</f>
        <v>9780128172483</v>
      </c>
      <c r="G4131" t="str">
        <f>"9780128172476"</f>
        <v>9780128172476</v>
      </c>
      <c r="H4131" t="s">
        <v>8450</v>
      </c>
      <c r="I4131">
        <v>621.04200000000003</v>
      </c>
      <c r="J4131" t="s">
        <v>8451</v>
      </c>
      <c r="K4131" t="s">
        <v>55</v>
      </c>
      <c r="Q4131" t="s">
        <v>47</v>
      </c>
      <c r="R4131" t="s">
        <v>44</v>
      </c>
      <c r="S4131">
        <v>0</v>
      </c>
      <c r="W4131" s="3">
        <v>6.0069444444444441E-3</v>
      </c>
      <c r="X4131" t="s">
        <v>8560</v>
      </c>
      <c r="Y4131">
        <v>11</v>
      </c>
      <c r="Z4131">
        <v>0</v>
      </c>
      <c r="AA4131" t="s">
        <v>49</v>
      </c>
      <c r="AB4131">
        <v>0</v>
      </c>
      <c r="AC4131" t="s">
        <v>49</v>
      </c>
      <c r="AD4131">
        <v>0</v>
      </c>
      <c r="AE4131">
        <v>-1</v>
      </c>
      <c r="AF4131" t="s">
        <v>50</v>
      </c>
      <c r="AG4131" t="s">
        <v>7104</v>
      </c>
    </row>
    <row r="4132" spans="1:33" x14ac:dyDescent="0.35">
      <c r="A4132" s="1">
        <v>44620.4</v>
      </c>
      <c r="B4132">
        <v>3338641</v>
      </c>
      <c r="C4132" t="s">
        <v>302</v>
      </c>
      <c r="D4132" t="s">
        <v>303</v>
      </c>
      <c r="E4132" s="2">
        <v>39143</v>
      </c>
      <c r="F4132" t="str">
        <f>"9780262282888"</f>
        <v>9780262282888</v>
      </c>
      <c r="G4132" t="str">
        <f>"9780262195577"</f>
        <v>9780262195577</v>
      </c>
      <c r="H4132" t="s">
        <v>304</v>
      </c>
      <c r="I4132" t="s">
        <v>305</v>
      </c>
      <c r="K4132" t="s">
        <v>44</v>
      </c>
      <c r="N4132" t="s">
        <v>45</v>
      </c>
      <c r="O4132" t="s">
        <v>46</v>
      </c>
      <c r="P4132" t="s">
        <v>45</v>
      </c>
      <c r="Q4132" t="s">
        <v>47</v>
      </c>
      <c r="R4132" t="s">
        <v>44</v>
      </c>
      <c r="S4132">
        <v>0</v>
      </c>
      <c r="W4132" s="3">
        <v>4.4247685185185182E-2</v>
      </c>
      <c r="X4132" t="s">
        <v>8561</v>
      </c>
      <c r="Y4132">
        <v>31</v>
      </c>
      <c r="Z4132">
        <v>0</v>
      </c>
      <c r="AA4132" t="s">
        <v>49</v>
      </c>
      <c r="AB4132">
        <v>0</v>
      </c>
      <c r="AC4132" t="s">
        <v>49</v>
      </c>
      <c r="AD4132">
        <v>0</v>
      </c>
      <c r="AE4132">
        <v>10173702</v>
      </c>
      <c r="AF4132" t="s">
        <v>50</v>
      </c>
      <c r="AG4132" t="s">
        <v>8562</v>
      </c>
    </row>
    <row r="4133" spans="1:33" x14ac:dyDescent="0.35">
      <c r="A4133" s="1">
        <v>44619.941666666666</v>
      </c>
      <c r="B4133">
        <v>3338641</v>
      </c>
      <c r="C4133" t="s">
        <v>302</v>
      </c>
      <c r="D4133" t="s">
        <v>303</v>
      </c>
      <c r="E4133" s="2">
        <v>39143</v>
      </c>
      <c r="F4133" t="str">
        <f>"9780262282888"</f>
        <v>9780262282888</v>
      </c>
      <c r="G4133" t="str">
        <f>"9780262195577"</f>
        <v>9780262195577</v>
      </c>
      <c r="H4133" t="s">
        <v>304</v>
      </c>
      <c r="I4133" t="s">
        <v>305</v>
      </c>
      <c r="K4133" t="s">
        <v>44</v>
      </c>
      <c r="N4133" t="s">
        <v>45</v>
      </c>
      <c r="O4133" t="s">
        <v>46</v>
      </c>
      <c r="P4133" t="s">
        <v>45</v>
      </c>
      <c r="Q4133" t="s">
        <v>47</v>
      </c>
      <c r="R4133" t="s">
        <v>44</v>
      </c>
      <c r="S4133">
        <v>0</v>
      </c>
      <c r="W4133" s="3">
        <v>1.1574074074074073E-5</v>
      </c>
      <c r="X4133" t="s">
        <v>752</v>
      </c>
      <c r="Y4133">
        <v>1</v>
      </c>
      <c r="Z4133">
        <v>0</v>
      </c>
      <c r="AA4133" t="s">
        <v>49</v>
      </c>
      <c r="AB4133">
        <v>0</v>
      </c>
      <c r="AC4133" t="s">
        <v>49</v>
      </c>
      <c r="AD4133">
        <v>0</v>
      </c>
      <c r="AE4133">
        <v>10173702</v>
      </c>
      <c r="AF4133" t="s">
        <v>63</v>
      </c>
      <c r="AG4133" t="s">
        <v>7910</v>
      </c>
    </row>
    <row r="4134" spans="1:33" x14ac:dyDescent="0.35">
      <c r="A4134" s="1">
        <v>44619.850694444445</v>
      </c>
      <c r="B4134">
        <v>3338641</v>
      </c>
      <c r="C4134" t="s">
        <v>302</v>
      </c>
      <c r="D4134" t="s">
        <v>303</v>
      </c>
      <c r="E4134" s="2">
        <v>39143</v>
      </c>
      <c r="F4134" t="str">
        <f>"9780262282888"</f>
        <v>9780262282888</v>
      </c>
      <c r="G4134" t="str">
        <f>"9780262195577"</f>
        <v>9780262195577</v>
      </c>
      <c r="H4134" t="s">
        <v>304</v>
      </c>
      <c r="I4134" t="s">
        <v>305</v>
      </c>
      <c r="K4134" t="s">
        <v>44</v>
      </c>
      <c r="N4134" t="s">
        <v>45</v>
      </c>
      <c r="O4134" t="s">
        <v>46</v>
      </c>
      <c r="P4134" t="s">
        <v>45</v>
      </c>
      <c r="Q4134" t="s">
        <v>47</v>
      </c>
      <c r="R4134" t="s">
        <v>44</v>
      </c>
      <c r="S4134">
        <v>0</v>
      </c>
      <c r="W4134" s="3">
        <v>3.6516203703703703E-2</v>
      </c>
      <c r="X4134" t="s">
        <v>8563</v>
      </c>
      <c r="Y4134">
        <v>27</v>
      </c>
      <c r="Z4134">
        <v>1</v>
      </c>
      <c r="AA4134" t="s">
        <v>4159</v>
      </c>
      <c r="AB4134">
        <v>26</v>
      </c>
      <c r="AC4134" t="s">
        <v>49</v>
      </c>
      <c r="AD4134">
        <v>0</v>
      </c>
      <c r="AE4134">
        <v>10173702</v>
      </c>
      <c r="AF4134" t="s">
        <v>63</v>
      </c>
      <c r="AG4134" t="s">
        <v>7910</v>
      </c>
    </row>
    <row r="4135" spans="1:33" x14ac:dyDescent="0.35">
      <c r="A4135" s="1">
        <v>44619.696527777778</v>
      </c>
      <c r="B4135">
        <v>1956440</v>
      </c>
      <c r="C4135" t="s">
        <v>8564</v>
      </c>
      <c r="D4135" t="s">
        <v>59</v>
      </c>
      <c r="E4135" s="2">
        <v>42184</v>
      </c>
      <c r="F4135" t="str">
        <f>"9783527676521"</f>
        <v>9783527676521</v>
      </c>
      <c r="G4135" t="str">
        <f>"9783527333424"</f>
        <v>9783527333424</v>
      </c>
      <c r="H4135" t="s">
        <v>116</v>
      </c>
      <c r="I4135">
        <v>665.81</v>
      </c>
      <c r="J4135" t="s">
        <v>8565</v>
      </c>
      <c r="K4135" t="s">
        <v>44</v>
      </c>
      <c r="N4135" t="s">
        <v>45</v>
      </c>
      <c r="O4135" t="s">
        <v>46</v>
      </c>
      <c r="P4135" t="s">
        <v>45</v>
      </c>
      <c r="Q4135" t="s">
        <v>47</v>
      </c>
      <c r="R4135" t="s">
        <v>44</v>
      </c>
      <c r="S4135">
        <v>0</v>
      </c>
      <c r="W4135" s="3">
        <v>6.828703703703704E-3</v>
      </c>
      <c r="X4135" t="s">
        <v>8566</v>
      </c>
      <c r="Y4135">
        <v>13</v>
      </c>
      <c r="Z4135">
        <v>0</v>
      </c>
      <c r="AA4135" t="s">
        <v>49</v>
      </c>
      <c r="AB4135">
        <v>0</v>
      </c>
      <c r="AC4135" t="s">
        <v>49</v>
      </c>
      <c r="AD4135">
        <v>0</v>
      </c>
      <c r="AE4135">
        <v>11071240</v>
      </c>
      <c r="AF4135" t="s">
        <v>50</v>
      </c>
      <c r="AG4135" t="s">
        <v>7910</v>
      </c>
    </row>
    <row r="4136" spans="1:33" x14ac:dyDescent="0.35">
      <c r="A4136" s="1">
        <v>44619.679166666669</v>
      </c>
      <c r="B4136">
        <v>294338</v>
      </c>
      <c r="C4136" t="s">
        <v>7595</v>
      </c>
      <c r="D4136" t="s">
        <v>65</v>
      </c>
      <c r="E4136" s="2">
        <v>38999</v>
      </c>
      <c r="F4136" t="str">
        <f>"9780080480589"</f>
        <v>9780080480589</v>
      </c>
      <c r="G4136" t="str">
        <f>"9781493300723"</f>
        <v>9781493300723</v>
      </c>
      <c r="H4136" t="s">
        <v>6985</v>
      </c>
      <c r="I4136">
        <v>621.36779999999999</v>
      </c>
      <c r="J4136" t="s">
        <v>7596</v>
      </c>
      <c r="K4136" t="s">
        <v>44</v>
      </c>
      <c r="N4136" t="s">
        <v>45</v>
      </c>
      <c r="O4136" t="s">
        <v>46</v>
      </c>
      <c r="P4136" t="s">
        <v>45</v>
      </c>
      <c r="Q4136" t="s">
        <v>47</v>
      </c>
      <c r="R4136" t="s">
        <v>44</v>
      </c>
      <c r="S4136">
        <v>0</v>
      </c>
      <c r="W4136" s="3">
        <v>1.1574074074074073E-5</v>
      </c>
      <c r="X4136" t="s">
        <v>49</v>
      </c>
      <c r="Y4136">
        <v>0</v>
      </c>
      <c r="Z4136">
        <v>1</v>
      </c>
      <c r="AA4136" t="s">
        <v>8567</v>
      </c>
      <c r="AB4136">
        <v>6</v>
      </c>
      <c r="AC4136" t="s">
        <v>49</v>
      </c>
      <c r="AD4136">
        <v>0</v>
      </c>
      <c r="AE4136">
        <v>10186058</v>
      </c>
      <c r="AF4136" t="s">
        <v>50</v>
      </c>
      <c r="AG4136" t="s">
        <v>7910</v>
      </c>
    </row>
    <row r="4137" spans="1:33" x14ac:dyDescent="0.35">
      <c r="A4137" s="1">
        <v>44619.675694444442</v>
      </c>
      <c r="B4137">
        <v>3020366</v>
      </c>
      <c r="C4137" t="s">
        <v>8568</v>
      </c>
      <c r="D4137" t="s">
        <v>137</v>
      </c>
      <c r="E4137" s="2">
        <v>39814</v>
      </c>
      <c r="F4137" t="str">
        <f>"9781614705819"</f>
        <v>9781614705819</v>
      </c>
      <c r="G4137" t="str">
        <f>"9781606923450"</f>
        <v>9781606923450</v>
      </c>
      <c r="H4137" t="s">
        <v>214</v>
      </c>
      <c r="I4137">
        <v>541.07600000000002</v>
      </c>
      <c r="J4137" t="s">
        <v>8569</v>
      </c>
      <c r="K4137" t="s">
        <v>44</v>
      </c>
      <c r="N4137" t="s">
        <v>45</v>
      </c>
      <c r="O4137" t="s">
        <v>46</v>
      </c>
      <c r="P4137" t="s">
        <v>177</v>
      </c>
      <c r="Q4137" t="s">
        <v>47</v>
      </c>
      <c r="R4137" t="s">
        <v>55</v>
      </c>
      <c r="S4137">
        <v>1</v>
      </c>
      <c r="W4137" s="3">
        <v>0</v>
      </c>
      <c r="X4137" t="s">
        <v>49</v>
      </c>
      <c r="Y4137">
        <v>0</v>
      </c>
      <c r="Z4137">
        <v>0</v>
      </c>
      <c r="AA4137" t="s">
        <v>49</v>
      </c>
      <c r="AB4137">
        <v>0</v>
      </c>
      <c r="AC4137" t="s">
        <v>49</v>
      </c>
      <c r="AD4137">
        <v>0</v>
      </c>
      <c r="AE4137">
        <v>10676655</v>
      </c>
      <c r="AF4137" t="s">
        <v>63</v>
      </c>
      <c r="AG4137" t="s">
        <v>7910</v>
      </c>
    </row>
    <row r="4138" spans="1:33" x14ac:dyDescent="0.35">
      <c r="A4138" s="1">
        <v>44619.674305555556</v>
      </c>
      <c r="B4138">
        <v>3020366</v>
      </c>
      <c r="C4138" t="s">
        <v>8568</v>
      </c>
      <c r="D4138" t="s">
        <v>137</v>
      </c>
      <c r="E4138" s="2">
        <v>39814</v>
      </c>
      <c r="F4138" t="str">
        <f>"9781614705819"</f>
        <v>9781614705819</v>
      </c>
      <c r="G4138" t="str">
        <f>"9781606923450"</f>
        <v>9781606923450</v>
      </c>
      <c r="H4138" t="s">
        <v>214</v>
      </c>
      <c r="I4138">
        <v>541.07600000000002</v>
      </c>
      <c r="J4138" t="s">
        <v>8569</v>
      </c>
      <c r="K4138" t="s">
        <v>44</v>
      </c>
      <c r="N4138" t="s">
        <v>45</v>
      </c>
      <c r="O4138" t="s">
        <v>46</v>
      </c>
      <c r="P4138" t="s">
        <v>177</v>
      </c>
      <c r="Q4138" t="s">
        <v>47</v>
      </c>
      <c r="R4138" t="s">
        <v>55</v>
      </c>
      <c r="S4138">
        <v>0</v>
      </c>
      <c r="W4138" s="3">
        <v>1.6319444444444445E-3</v>
      </c>
      <c r="X4138" t="s">
        <v>8570</v>
      </c>
      <c r="Y4138">
        <v>22</v>
      </c>
      <c r="Z4138">
        <v>0</v>
      </c>
      <c r="AA4138" t="s">
        <v>49</v>
      </c>
      <c r="AB4138">
        <v>0</v>
      </c>
      <c r="AC4138" t="s">
        <v>49</v>
      </c>
      <c r="AD4138">
        <v>0</v>
      </c>
      <c r="AE4138">
        <v>10676655</v>
      </c>
      <c r="AF4138" t="s">
        <v>63</v>
      </c>
      <c r="AG4138" t="s">
        <v>7910</v>
      </c>
    </row>
    <row r="4139" spans="1:33" x14ac:dyDescent="0.35">
      <c r="A4139" s="1">
        <v>44619.611805555556</v>
      </c>
      <c r="B4139">
        <v>4877020</v>
      </c>
      <c r="C4139" t="s">
        <v>7334</v>
      </c>
      <c r="D4139" t="s">
        <v>199</v>
      </c>
      <c r="E4139" s="2">
        <v>42856</v>
      </c>
      <c r="F4139" t="str">
        <f>"9781423234951"</f>
        <v>9781423234951</v>
      </c>
      <c r="G4139" t="str">
        <f>"9781423234746"</f>
        <v>9781423234746</v>
      </c>
      <c r="H4139" t="s">
        <v>43</v>
      </c>
      <c r="I4139">
        <v>510.76</v>
      </c>
      <c r="J4139" t="s">
        <v>7335</v>
      </c>
      <c r="K4139" t="s">
        <v>44</v>
      </c>
      <c r="N4139" t="s">
        <v>45</v>
      </c>
      <c r="O4139" t="s">
        <v>46</v>
      </c>
      <c r="P4139" t="s">
        <v>45</v>
      </c>
      <c r="Q4139" t="s">
        <v>47</v>
      </c>
      <c r="R4139" t="s">
        <v>44</v>
      </c>
      <c r="S4139">
        <v>0</v>
      </c>
      <c r="W4139" s="3">
        <v>2.0833333333333335E-4</v>
      </c>
      <c r="X4139" t="s">
        <v>56</v>
      </c>
      <c r="Y4139">
        <v>3</v>
      </c>
      <c r="Z4139">
        <v>0</v>
      </c>
      <c r="AA4139" t="s">
        <v>49</v>
      </c>
      <c r="AB4139">
        <v>0</v>
      </c>
      <c r="AC4139" t="s">
        <v>49</v>
      </c>
      <c r="AD4139">
        <v>0</v>
      </c>
      <c r="AE4139">
        <v>11397702</v>
      </c>
      <c r="AF4139" t="s">
        <v>50</v>
      </c>
      <c r="AG4139" t="s">
        <v>8571</v>
      </c>
    </row>
    <row r="4140" spans="1:33" x14ac:dyDescent="0.35">
      <c r="A4140" s="1">
        <v>44619.543055555558</v>
      </c>
      <c r="B4140">
        <v>294338</v>
      </c>
      <c r="C4140" t="s">
        <v>7595</v>
      </c>
      <c r="D4140" t="s">
        <v>65</v>
      </c>
      <c r="E4140" s="2">
        <v>38999</v>
      </c>
      <c r="F4140" t="str">
        <f>"9780080480589"</f>
        <v>9780080480589</v>
      </c>
      <c r="G4140" t="str">
        <f>"9781493300723"</f>
        <v>9781493300723</v>
      </c>
      <c r="H4140" t="s">
        <v>6985</v>
      </c>
      <c r="I4140">
        <v>621.36779999999999</v>
      </c>
      <c r="J4140" t="s">
        <v>7596</v>
      </c>
      <c r="K4140" t="s">
        <v>44</v>
      </c>
      <c r="N4140" t="s">
        <v>45</v>
      </c>
      <c r="O4140" t="s">
        <v>46</v>
      </c>
      <c r="P4140" t="s">
        <v>45</v>
      </c>
      <c r="Q4140" t="s">
        <v>47</v>
      </c>
      <c r="R4140" t="s">
        <v>44</v>
      </c>
      <c r="S4140">
        <v>0</v>
      </c>
      <c r="W4140" s="3">
        <v>0</v>
      </c>
      <c r="X4140" t="s">
        <v>49</v>
      </c>
      <c r="Y4140">
        <v>0</v>
      </c>
      <c r="Z4140">
        <v>1</v>
      </c>
      <c r="AA4140" t="s">
        <v>8572</v>
      </c>
      <c r="AB4140">
        <v>56</v>
      </c>
      <c r="AC4140" t="s">
        <v>49</v>
      </c>
      <c r="AD4140">
        <v>0</v>
      </c>
      <c r="AE4140">
        <v>10186058</v>
      </c>
      <c r="AF4140" t="s">
        <v>50</v>
      </c>
      <c r="AG4140" t="s">
        <v>7910</v>
      </c>
    </row>
    <row r="4141" spans="1:33" x14ac:dyDescent="0.35">
      <c r="A4141" s="1">
        <v>44619.484722222223</v>
      </c>
      <c r="B4141">
        <v>850155</v>
      </c>
      <c r="C4141" t="s">
        <v>8573</v>
      </c>
      <c r="D4141" t="s">
        <v>59</v>
      </c>
      <c r="E4141" s="2">
        <v>40973</v>
      </c>
      <c r="F4141" t="str">
        <f>"9781119944959"</f>
        <v>9781119944959</v>
      </c>
      <c r="G4141" t="str">
        <f>"9780470994498"</f>
        <v>9780470994498</v>
      </c>
      <c r="H4141" t="s">
        <v>546</v>
      </c>
      <c r="I4141">
        <v>621.38400000000001</v>
      </c>
      <c r="J4141" t="s">
        <v>8574</v>
      </c>
      <c r="K4141" t="s">
        <v>44</v>
      </c>
      <c r="N4141" t="s">
        <v>45</v>
      </c>
      <c r="O4141" t="s">
        <v>46</v>
      </c>
      <c r="P4141" t="s">
        <v>45</v>
      </c>
      <c r="Q4141" t="s">
        <v>47</v>
      </c>
      <c r="R4141" t="s">
        <v>44</v>
      </c>
      <c r="S4141">
        <v>0</v>
      </c>
      <c r="W4141" s="3">
        <v>6.2500000000000001E-4</v>
      </c>
      <c r="X4141" t="s">
        <v>8575</v>
      </c>
      <c r="Y4141">
        <v>12</v>
      </c>
      <c r="Z4141">
        <v>0</v>
      </c>
      <c r="AA4141" t="s">
        <v>49</v>
      </c>
      <c r="AB4141">
        <v>0</v>
      </c>
      <c r="AC4141" t="s">
        <v>49</v>
      </c>
      <c r="AD4141">
        <v>0</v>
      </c>
      <c r="AE4141">
        <v>10531527</v>
      </c>
      <c r="AF4141" t="s">
        <v>50</v>
      </c>
      <c r="AG4141" t="s">
        <v>8576</v>
      </c>
    </row>
    <row r="4142" spans="1:33" x14ac:dyDescent="0.35">
      <c r="A4142" s="1">
        <v>44619.436111111114</v>
      </c>
      <c r="B4142">
        <v>5302058</v>
      </c>
      <c r="C4142" t="s">
        <v>8577</v>
      </c>
      <c r="D4142" t="s">
        <v>76</v>
      </c>
      <c r="E4142" s="2">
        <v>35685</v>
      </c>
      <c r="F4142" t="str">
        <f>"9780429970832"</f>
        <v>9780429970832</v>
      </c>
      <c r="G4142" t="str">
        <f>"9780813313832"</f>
        <v>9780813313832</v>
      </c>
      <c r="H4142" t="s">
        <v>667</v>
      </c>
      <c r="I4142">
        <v>980.01199999999994</v>
      </c>
      <c r="J4142" t="s">
        <v>8578</v>
      </c>
      <c r="K4142" t="s">
        <v>44</v>
      </c>
      <c r="N4142" t="s">
        <v>45</v>
      </c>
      <c r="O4142" t="s">
        <v>46</v>
      </c>
      <c r="P4142" t="s">
        <v>45</v>
      </c>
      <c r="Q4142" t="s">
        <v>47</v>
      </c>
      <c r="R4142" t="s">
        <v>44</v>
      </c>
      <c r="S4142">
        <v>0</v>
      </c>
      <c r="W4142" s="3">
        <v>4.9768518518518521E-4</v>
      </c>
      <c r="X4142" t="s">
        <v>8579</v>
      </c>
      <c r="Y4142">
        <v>4</v>
      </c>
      <c r="Z4142">
        <v>0</v>
      </c>
      <c r="AA4142" t="s">
        <v>49</v>
      </c>
      <c r="AB4142">
        <v>0</v>
      </c>
      <c r="AC4142" t="s">
        <v>49</v>
      </c>
      <c r="AD4142">
        <v>0</v>
      </c>
      <c r="AE4142">
        <v>11513309</v>
      </c>
      <c r="AF4142" t="s">
        <v>50</v>
      </c>
      <c r="AG4142" t="s">
        <v>7910</v>
      </c>
    </row>
    <row r="4143" spans="1:33" x14ac:dyDescent="0.35">
      <c r="A4143" s="1">
        <v>44619.43472222222</v>
      </c>
      <c r="B4143">
        <v>909315</v>
      </c>
      <c r="C4143" t="s">
        <v>8580</v>
      </c>
      <c r="D4143" t="s">
        <v>666</v>
      </c>
      <c r="E4143" s="2">
        <v>37697</v>
      </c>
      <c r="F4143" t="str">
        <f>"9780231507752"</f>
        <v>9780231507752</v>
      </c>
      <c r="G4143" t="str">
        <f>"9780231122450"</f>
        <v>9780231122450</v>
      </c>
      <c r="H4143" t="s">
        <v>237</v>
      </c>
      <c r="I4143">
        <v>551.46</v>
      </c>
      <c r="J4143" t="s">
        <v>8581</v>
      </c>
      <c r="K4143" t="s">
        <v>44</v>
      </c>
      <c r="N4143" t="s">
        <v>45</v>
      </c>
      <c r="O4143" t="s">
        <v>46</v>
      </c>
      <c r="P4143" t="s">
        <v>45</v>
      </c>
      <c r="Q4143" t="s">
        <v>47</v>
      </c>
      <c r="R4143" t="s">
        <v>44</v>
      </c>
      <c r="S4143">
        <v>0</v>
      </c>
      <c r="W4143" s="3">
        <v>8.1018518518518516E-5</v>
      </c>
      <c r="X4143" t="s">
        <v>196</v>
      </c>
      <c r="Y4143">
        <v>2</v>
      </c>
      <c r="Z4143">
        <v>0</v>
      </c>
      <c r="AA4143" t="s">
        <v>49</v>
      </c>
      <c r="AB4143">
        <v>0</v>
      </c>
      <c r="AC4143" t="s">
        <v>49</v>
      </c>
      <c r="AD4143">
        <v>0</v>
      </c>
      <c r="AE4143">
        <v>10183509</v>
      </c>
      <c r="AF4143" t="s">
        <v>50</v>
      </c>
      <c r="AG4143" t="s">
        <v>7910</v>
      </c>
    </row>
    <row r="4144" spans="1:33" x14ac:dyDescent="0.35">
      <c r="A4144" s="1">
        <v>44618.912499999999</v>
      </c>
      <c r="B4144">
        <v>415486</v>
      </c>
      <c r="C4144" t="s">
        <v>8195</v>
      </c>
      <c r="D4144" t="s">
        <v>125</v>
      </c>
      <c r="E4144" s="2">
        <v>39534</v>
      </c>
      <c r="F4144" t="str">
        <f>"9780191526862"</f>
        <v>9780191526862</v>
      </c>
      <c r="G4144" t="str">
        <f>"9780199214969"</f>
        <v>9780199214969</v>
      </c>
      <c r="H4144" t="s">
        <v>712</v>
      </c>
      <c r="I4144" t="s">
        <v>8196</v>
      </c>
      <c r="J4144" t="s">
        <v>8197</v>
      </c>
      <c r="K4144" t="s">
        <v>44</v>
      </c>
      <c r="N4144" t="s">
        <v>45</v>
      </c>
      <c r="O4144" t="s">
        <v>46</v>
      </c>
      <c r="P4144" t="s">
        <v>45</v>
      </c>
      <c r="Q4144" t="s">
        <v>47</v>
      </c>
      <c r="R4144" t="s">
        <v>44</v>
      </c>
      <c r="S4144">
        <v>0</v>
      </c>
      <c r="W4144" s="3">
        <v>3.0694444444444444E-2</v>
      </c>
      <c r="X4144" t="s">
        <v>8582</v>
      </c>
      <c r="Y4144">
        <v>3</v>
      </c>
      <c r="Z4144">
        <v>0</v>
      </c>
      <c r="AA4144" t="s">
        <v>49</v>
      </c>
      <c r="AB4144">
        <v>0</v>
      </c>
      <c r="AC4144" t="s">
        <v>49</v>
      </c>
      <c r="AD4144">
        <v>0</v>
      </c>
      <c r="AE4144">
        <v>10229930</v>
      </c>
      <c r="AF4144" t="s">
        <v>50</v>
      </c>
      <c r="AG4144" t="s">
        <v>8332</v>
      </c>
    </row>
    <row r="4145" spans="1:33" x14ac:dyDescent="0.35">
      <c r="A4145" s="1">
        <v>44618.912499999999</v>
      </c>
      <c r="B4145">
        <v>1024675</v>
      </c>
      <c r="C4145" t="s">
        <v>8036</v>
      </c>
      <c r="D4145" t="s">
        <v>76</v>
      </c>
      <c r="E4145" s="2">
        <v>40750</v>
      </c>
      <c r="F4145" t="str">
        <f>"9780203810415"</f>
        <v>9780203810415</v>
      </c>
      <c r="G4145" t="str">
        <f>"9780415568050"</f>
        <v>9780415568050</v>
      </c>
      <c r="H4145" t="s">
        <v>712</v>
      </c>
      <c r="I4145">
        <v>349.42</v>
      </c>
      <c r="J4145" t="s">
        <v>8037</v>
      </c>
      <c r="K4145" t="s">
        <v>44</v>
      </c>
      <c r="N4145" t="s">
        <v>45</v>
      </c>
      <c r="O4145" t="s">
        <v>46</v>
      </c>
      <c r="P4145" t="s">
        <v>45</v>
      </c>
      <c r="Q4145" t="s">
        <v>47</v>
      </c>
      <c r="R4145" t="s">
        <v>44</v>
      </c>
      <c r="S4145">
        <v>0</v>
      </c>
      <c r="W4145" s="3">
        <v>3.0717592592592591E-2</v>
      </c>
      <c r="X4145" t="s">
        <v>8583</v>
      </c>
      <c r="Y4145">
        <v>10</v>
      </c>
      <c r="Z4145">
        <v>0</v>
      </c>
      <c r="AA4145" t="s">
        <v>49</v>
      </c>
      <c r="AB4145">
        <v>0</v>
      </c>
      <c r="AC4145" t="s">
        <v>49</v>
      </c>
      <c r="AD4145">
        <v>0</v>
      </c>
      <c r="AE4145">
        <v>10603877</v>
      </c>
      <c r="AF4145" t="s">
        <v>50</v>
      </c>
      <c r="AG4145" t="s">
        <v>8332</v>
      </c>
    </row>
    <row r="4146" spans="1:33" x14ac:dyDescent="0.35">
      <c r="A4146" s="1">
        <v>44618.910416666666</v>
      </c>
      <c r="B4146">
        <v>3239659</v>
      </c>
      <c r="C4146" t="s">
        <v>8390</v>
      </c>
      <c r="D4146" t="s">
        <v>6899</v>
      </c>
      <c r="E4146" s="2">
        <v>39553</v>
      </c>
      <c r="F4146" t="str">
        <f>"9780823247721"</f>
        <v>9780823247721</v>
      </c>
      <c r="G4146" t="str">
        <f>"9780823228539"</f>
        <v>9780823228539</v>
      </c>
      <c r="H4146" t="s">
        <v>498</v>
      </c>
      <c r="I4146">
        <v>171.2</v>
      </c>
      <c r="J4146" t="s">
        <v>8391</v>
      </c>
      <c r="K4146" t="s">
        <v>44</v>
      </c>
      <c r="N4146" t="s">
        <v>45</v>
      </c>
      <c r="O4146" t="s">
        <v>46</v>
      </c>
      <c r="P4146" t="s">
        <v>45</v>
      </c>
      <c r="Q4146" t="s">
        <v>47</v>
      </c>
      <c r="R4146" t="s">
        <v>44</v>
      </c>
      <c r="S4146">
        <v>0</v>
      </c>
      <c r="W4146" s="3">
        <v>1.9699074074074074E-2</v>
      </c>
      <c r="X4146" t="s">
        <v>8584</v>
      </c>
      <c r="Y4146">
        <v>4</v>
      </c>
      <c r="Z4146">
        <v>0</v>
      </c>
      <c r="AA4146" t="s">
        <v>49</v>
      </c>
      <c r="AB4146">
        <v>0</v>
      </c>
      <c r="AC4146" t="s">
        <v>49</v>
      </c>
      <c r="AD4146">
        <v>0</v>
      </c>
      <c r="AE4146">
        <v>10586717</v>
      </c>
      <c r="AF4146" t="s">
        <v>50</v>
      </c>
      <c r="AG4146" t="s">
        <v>8332</v>
      </c>
    </row>
    <row r="4147" spans="1:33" x14ac:dyDescent="0.35">
      <c r="A4147" s="1">
        <v>44618.855555555558</v>
      </c>
      <c r="B4147">
        <v>3339142</v>
      </c>
      <c r="C4147" t="s">
        <v>7658</v>
      </c>
      <c r="D4147" t="s">
        <v>303</v>
      </c>
      <c r="E4147" s="2">
        <v>40025</v>
      </c>
      <c r="F4147" t="str">
        <f>"9780262270830"</f>
        <v>9780262270830</v>
      </c>
      <c r="G4147" t="str">
        <f>"9780262033848"</f>
        <v>9780262033848</v>
      </c>
      <c r="H4147" t="s">
        <v>138</v>
      </c>
      <c r="I4147">
        <v>5.0999999999999996</v>
      </c>
      <c r="J4147" t="s">
        <v>7659</v>
      </c>
      <c r="K4147" t="s">
        <v>44</v>
      </c>
      <c r="N4147" t="s">
        <v>45</v>
      </c>
      <c r="O4147" t="s">
        <v>46</v>
      </c>
      <c r="P4147" t="s">
        <v>45</v>
      </c>
      <c r="Q4147" t="s">
        <v>47</v>
      </c>
      <c r="R4147" t="s">
        <v>44</v>
      </c>
      <c r="S4147">
        <v>0</v>
      </c>
      <c r="W4147" s="3">
        <v>2.2951388888888886E-2</v>
      </c>
      <c r="X4147" t="s">
        <v>8585</v>
      </c>
      <c r="Y4147">
        <v>40</v>
      </c>
      <c r="Z4147">
        <v>0</v>
      </c>
      <c r="AA4147" t="s">
        <v>49</v>
      </c>
      <c r="AB4147">
        <v>0</v>
      </c>
      <c r="AC4147" t="s">
        <v>49</v>
      </c>
      <c r="AD4147">
        <v>0</v>
      </c>
      <c r="AE4147">
        <v>10397652</v>
      </c>
      <c r="AF4147" t="s">
        <v>50</v>
      </c>
      <c r="AG4147" t="s">
        <v>8238</v>
      </c>
    </row>
    <row r="4148" spans="1:33" x14ac:dyDescent="0.35">
      <c r="A4148" s="1">
        <v>44618.820138888892</v>
      </c>
      <c r="B4148">
        <v>5340068</v>
      </c>
      <c r="C4148" t="s">
        <v>8586</v>
      </c>
      <c r="D4148" t="s">
        <v>303</v>
      </c>
      <c r="E4148" s="2">
        <v>43000</v>
      </c>
      <c r="F4148" t="str">
        <f>"9780262343930"</f>
        <v>9780262343930</v>
      </c>
      <c r="G4148" t="str">
        <f>"9780262534772"</f>
        <v>9780262534772</v>
      </c>
      <c r="H4148" t="s">
        <v>106</v>
      </c>
      <c r="I4148">
        <v>6.3</v>
      </c>
      <c r="J4148" t="s">
        <v>8587</v>
      </c>
      <c r="K4148" t="s">
        <v>55</v>
      </c>
      <c r="N4148" t="s">
        <v>79</v>
      </c>
      <c r="P4148" t="s">
        <v>80</v>
      </c>
      <c r="Q4148" t="s">
        <v>47</v>
      </c>
      <c r="R4148" t="s">
        <v>44</v>
      </c>
      <c r="S4148">
        <v>2</v>
      </c>
      <c r="T4148">
        <v>30</v>
      </c>
      <c r="U4148" s="1">
        <v>44618.820138888892</v>
      </c>
      <c r="V4148" s="1">
        <v>44648.820138888892</v>
      </c>
      <c r="W4148" s="3">
        <v>0</v>
      </c>
      <c r="X4148" t="s">
        <v>49</v>
      </c>
      <c r="Y4148">
        <v>0</v>
      </c>
      <c r="Z4148">
        <v>0</v>
      </c>
      <c r="AA4148" t="s">
        <v>49</v>
      </c>
      <c r="AB4148">
        <v>0</v>
      </c>
      <c r="AC4148" t="s">
        <v>49</v>
      </c>
      <c r="AD4148">
        <v>0</v>
      </c>
      <c r="AE4148">
        <v>-1</v>
      </c>
      <c r="AF4148" t="s">
        <v>63</v>
      </c>
      <c r="AG4148" t="s">
        <v>8588</v>
      </c>
    </row>
    <row r="4149" spans="1:33" x14ac:dyDescent="0.35">
      <c r="A4149" s="1">
        <v>44618.80972222222</v>
      </c>
      <c r="B4149">
        <v>5340068</v>
      </c>
      <c r="C4149" t="s">
        <v>8586</v>
      </c>
      <c r="D4149" t="s">
        <v>303</v>
      </c>
      <c r="E4149" s="2">
        <v>43000</v>
      </c>
      <c r="F4149" t="str">
        <f>"9780262343930"</f>
        <v>9780262343930</v>
      </c>
      <c r="G4149" t="str">
        <f>"9780262534772"</f>
        <v>9780262534772</v>
      </c>
      <c r="H4149" t="s">
        <v>106</v>
      </c>
      <c r="I4149">
        <v>6.3</v>
      </c>
      <c r="J4149" t="s">
        <v>8587</v>
      </c>
      <c r="K4149" t="s">
        <v>55</v>
      </c>
      <c r="N4149" t="s">
        <v>79</v>
      </c>
      <c r="P4149" t="s">
        <v>80</v>
      </c>
      <c r="Q4149" t="s">
        <v>47</v>
      </c>
      <c r="R4149" t="s">
        <v>44</v>
      </c>
      <c r="S4149">
        <v>0</v>
      </c>
      <c r="W4149" s="3">
        <v>9.2592592592592588E-5</v>
      </c>
      <c r="X4149" t="s">
        <v>121</v>
      </c>
      <c r="Y4149">
        <v>1</v>
      </c>
      <c r="Z4149">
        <v>0</v>
      </c>
      <c r="AA4149" t="s">
        <v>49</v>
      </c>
      <c r="AB4149">
        <v>0</v>
      </c>
      <c r="AC4149" t="s">
        <v>49</v>
      </c>
      <c r="AD4149">
        <v>0</v>
      </c>
      <c r="AE4149">
        <v>-1</v>
      </c>
      <c r="AF4149" t="s">
        <v>50</v>
      </c>
      <c r="AG4149" t="s">
        <v>8588</v>
      </c>
    </row>
    <row r="4150" spans="1:33" x14ac:dyDescent="0.35">
      <c r="A4150" s="1">
        <v>44618.70416666667</v>
      </c>
      <c r="B4150">
        <v>3018065</v>
      </c>
      <c r="C4150" t="s">
        <v>4758</v>
      </c>
      <c r="D4150" t="s">
        <v>137</v>
      </c>
      <c r="E4150" s="2">
        <v>40452</v>
      </c>
      <c r="F4150" t="str">
        <f>"9781617611698"</f>
        <v>9781617611698</v>
      </c>
      <c r="G4150" t="str">
        <f>"9781617289347"</f>
        <v>9781617289347</v>
      </c>
      <c r="H4150" t="s">
        <v>244</v>
      </c>
      <c r="I4150" t="s">
        <v>4759</v>
      </c>
      <c r="J4150" t="s">
        <v>4760</v>
      </c>
      <c r="K4150" t="s">
        <v>44</v>
      </c>
      <c r="N4150" t="s">
        <v>45</v>
      </c>
      <c r="O4150" t="s">
        <v>46</v>
      </c>
      <c r="P4150" t="s">
        <v>177</v>
      </c>
      <c r="Q4150" t="s">
        <v>47</v>
      </c>
      <c r="R4150" t="s">
        <v>55</v>
      </c>
      <c r="S4150">
        <v>0</v>
      </c>
      <c r="W4150" s="3">
        <v>4.5138888888888892E-4</v>
      </c>
      <c r="X4150" t="s">
        <v>8589</v>
      </c>
      <c r="Y4150">
        <v>8</v>
      </c>
      <c r="Z4150">
        <v>0</v>
      </c>
      <c r="AA4150" t="s">
        <v>49</v>
      </c>
      <c r="AB4150">
        <v>0</v>
      </c>
      <c r="AC4150" t="s">
        <v>49</v>
      </c>
      <c r="AD4150">
        <v>0</v>
      </c>
      <c r="AE4150">
        <v>10658987</v>
      </c>
      <c r="AF4150" t="s">
        <v>50</v>
      </c>
      <c r="AG4150" t="s">
        <v>8238</v>
      </c>
    </row>
    <row r="4151" spans="1:33" x14ac:dyDescent="0.35">
      <c r="A4151" s="1">
        <v>44618.673611111109</v>
      </c>
      <c r="B4151">
        <v>3018065</v>
      </c>
      <c r="C4151" t="s">
        <v>4758</v>
      </c>
      <c r="D4151" t="s">
        <v>137</v>
      </c>
      <c r="E4151" s="2">
        <v>40452</v>
      </c>
      <c r="F4151" t="str">
        <f>"9781617611698"</f>
        <v>9781617611698</v>
      </c>
      <c r="G4151" t="str">
        <f>"9781617289347"</f>
        <v>9781617289347</v>
      </c>
      <c r="H4151" t="s">
        <v>244</v>
      </c>
      <c r="I4151" t="s">
        <v>4759</v>
      </c>
      <c r="J4151" t="s">
        <v>4760</v>
      </c>
      <c r="K4151" t="s">
        <v>44</v>
      </c>
      <c r="N4151" t="s">
        <v>45</v>
      </c>
      <c r="O4151" t="s">
        <v>46</v>
      </c>
      <c r="P4151" t="s">
        <v>177</v>
      </c>
      <c r="Q4151" t="s">
        <v>47</v>
      </c>
      <c r="R4151" t="s">
        <v>55</v>
      </c>
      <c r="S4151">
        <v>0</v>
      </c>
      <c r="W4151" s="3">
        <v>8.1018518518518516E-5</v>
      </c>
      <c r="X4151" t="s">
        <v>121</v>
      </c>
      <c r="Y4151">
        <v>1</v>
      </c>
      <c r="Z4151">
        <v>0</v>
      </c>
      <c r="AA4151" t="s">
        <v>49</v>
      </c>
      <c r="AB4151">
        <v>0</v>
      </c>
      <c r="AC4151" t="s">
        <v>49</v>
      </c>
      <c r="AD4151">
        <v>0</v>
      </c>
      <c r="AE4151">
        <v>10658987</v>
      </c>
      <c r="AF4151" t="s">
        <v>50</v>
      </c>
      <c r="AG4151" t="s">
        <v>8238</v>
      </c>
    </row>
    <row r="4152" spans="1:33" x14ac:dyDescent="0.35">
      <c r="A4152" s="1">
        <v>44618.673611111109</v>
      </c>
      <c r="B4152">
        <v>3018958</v>
      </c>
      <c r="C4152" t="s">
        <v>4762</v>
      </c>
      <c r="D4152" t="s">
        <v>137</v>
      </c>
      <c r="E4152" s="2">
        <v>40422</v>
      </c>
      <c r="F4152" t="str">
        <f>"9781612091013"</f>
        <v>9781612091013</v>
      </c>
      <c r="G4152" t="str">
        <f>"9781616686192"</f>
        <v>9781616686192</v>
      </c>
      <c r="H4152" t="s">
        <v>244</v>
      </c>
      <c r="I4152" t="s">
        <v>4759</v>
      </c>
      <c r="J4152" t="s">
        <v>4763</v>
      </c>
      <c r="K4152" t="s">
        <v>44</v>
      </c>
      <c r="N4152" t="s">
        <v>45</v>
      </c>
      <c r="O4152" t="s">
        <v>46</v>
      </c>
      <c r="P4152" t="s">
        <v>177</v>
      </c>
      <c r="Q4152" t="s">
        <v>47</v>
      </c>
      <c r="R4152" t="s">
        <v>55</v>
      </c>
      <c r="S4152">
        <v>0</v>
      </c>
      <c r="W4152" s="3">
        <v>9.2592592592592588E-5</v>
      </c>
      <c r="X4152" t="s">
        <v>121</v>
      </c>
      <c r="Y4152">
        <v>1</v>
      </c>
      <c r="Z4152">
        <v>0</v>
      </c>
      <c r="AA4152" t="s">
        <v>49</v>
      </c>
      <c r="AB4152">
        <v>0</v>
      </c>
      <c r="AC4152" t="s">
        <v>49</v>
      </c>
      <c r="AD4152">
        <v>0</v>
      </c>
      <c r="AE4152">
        <v>10662764</v>
      </c>
      <c r="AF4152" t="s">
        <v>50</v>
      </c>
      <c r="AG4152" t="s">
        <v>8238</v>
      </c>
    </row>
    <row r="4153" spans="1:33" x14ac:dyDescent="0.35">
      <c r="A4153" s="1">
        <v>44618.645833333336</v>
      </c>
      <c r="B4153">
        <v>3138129</v>
      </c>
      <c r="C4153" t="s">
        <v>8056</v>
      </c>
      <c r="D4153" t="s">
        <v>2234</v>
      </c>
      <c r="E4153" s="2">
        <v>40709</v>
      </c>
      <c r="F4153" t="str">
        <f>"9780801461606"</f>
        <v>9780801461606</v>
      </c>
      <c r="G4153" t="str">
        <f>"9780801446979"</f>
        <v>9780801446979</v>
      </c>
      <c r="H4153" t="s">
        <v>353</v>
      </c>
      <c r="I4153" t="s">
        <v>8057</v>
      </c>
      <c r="J4153" t="s">
        <v>8058</v>
      </c>
      <c r="K4153" t="s">
        <v>44</v>
      </c>
      <c r="N4153" t="s">
        <v>45</v>
      </c>
      <c r="O4153" t="s">
        <v>46</v>
      </c>
      <c r="P4153" t="s">
        <v>177</v>
      </c>
      <c r="Q4153" t="s">
        <v>47</v>
      </c>
      <c r="R4153" t="s">
        <v>55</v>
      </c>
      <c r="S4153">
        <v>0</v>
      </c>
      <c r="W4153" s="3">
        <v>1.1342592592592591E-3</v>
      </c>
      <c r="X4153" t="s">
        <v>8590</v>
      </c>
      <c r="Y4153">
        <v>10</v>
      </c>
      <c r="Z4153">
        <v>0</v>
      </c>
      <c r="AA4153" t="s">
        <v>49</v>
      </c>
      <c r="AB4153">
        <v>0</v>
      </c>
      <c r="AC4153" t="s">
        <v>49</v>
      </c>
      <c r="AD4153">
        <v>0</v>
      </c>
      <c r="AE4153">
        <v>10468008</v>
      </c>
      <c r="AF4153" t="s">
        <v>50</v>
      </c>
      <c r="AG4153" t="s">
        <v>7910</v>
      </c>
    </row>
    <row r="4154" spans="1:33" x14ac:dyDescent="0.35">
      <c r="A4154" s="1">
        <v>44618.592361111114</v>
      </c>
      <c r="B4154">
        <v>3138129</v>
      </c>
      <c r="C4154" t="s">
        <v>8056</v>
      </c>
      <c r="D4154" t="s">
        <v>2234</v>
      </c>
      <c r="E4154" s="2">
        <v>40709</v>
      </c>
      <c r="F4154" t="str">
        <f>"9780801461606"</f>
        <v>9780801461606</v>
      </c>
      <c r="G4154" t="str">
        <f>"9780801446979"</f>
        <v>9780801446979</v>
      </c>
      <c r="H4154" t="s">
        <v>353</v>
      </c>
      <c r="I4154" t="s">
        <v>8057</v>
      </c>
      <c r="J4154" t="s">
        <v>8058</v>
      </c>
      <c r="K4154" t="s">
        <v>44</v>
      </c>
      <c r="N4154" t="s">
        <v>45</v>
      </c>
      <c r="O4154" t="s">
        <v>46</v>
      </c>
      <c r="P4154" t="s">
        <v>177</v>
      </c>
      <c r="Q4154" t="s">
        <v>47</v>
      </c>
      <c r="R4154" t="s">
        <v>55</v>
      </c>
      <c r="S4154">
        <v>0</v>
      </c>
      <c r="W4154" s="3">
        <v>1.3819444444444445E-2</v>
      </c>
      <c r="X4154" t="s">
        <v>8591</v>
      </c>
      <c r="Y4154">
        <v>7</v>
      </c>
      <c r="Z4154">
        <v>0</v>
      </c>
      <c r="AA4154" t="s">
        <v>49</v>
      </c>
      <c r="AB4154">
        <v>0</v>
      </c>
      <c r="AC4154" t="s">
        <v>49</v>
      </c>
      <c r="AD4154">
        <v>0</v>
      </c>
      <c r="AE4154">
        <v>10468008</v>
      </c>
      <c r="AF4154" t="s">
        <v>50</v>
      </c>
      <c r="AG4154" t="s">
        <v>7910</v>
      </c>
    </row>
    <row r="4155" spans="1:33" x14ac:dyDescent="0.35">
      <c r="A4155" s="1">
        <v>44618.530555555553</v>
      </c>
      <c r="B4155">
        <v>1754619</v>
      </c>
      <c r="C4155" t="s">
        <v>8592</v>
      </c>
      <c r="D4155" t="s">
        <v>65</v>
      </c>
      <c r="E4155" s="2">
        <v>41960</v>
      </c>
      <c r="F4155" t="str">
        <f>"9780124046023"</f>
        <v>9780124046023</v>
      </c>
      <c r="G4155" t="str">
        <f>"9780124017337"</f>
        <v>9780124017337</v>
      </c>
      <c r="H4155" t="s">
        <v>261</v>
      </c>
      <c r="I4155">
        <v>628.53</v>
      </c>
      <c r="J4155" t="s">
        <v>8593</v>
      </c>
      <c r="K4155" t="s">
        <v>44</v>
      </c>
      <c r="N4155" t="s">
        <v>45</v>
      </c>
      <c r="O4155" t="s">
        <v>46</v>
      </c>
      <c r="P4155" t="s">
        <v>45</v>
      </c>
      <c r="Q4155" t="s">
        <v>47</v>
      </c>
      <c r="R4155" t="s">
        <v>44</v>
      </c>
      <c r="S4155">
        <v>0</v>
      </c>
      <c r="W4155" s="3">
        <v>9.6064814814814815E-3</v>
      </c>
      <c r="X4155" t="s">
        <v>8594</v>
      </c>
      <c r="Y4155">
        <v>6</v>
      </c>
      <c r="Z4155">
        <v>0</v>
      </c>
      <c r="AA4155" t="s">
        <v>49</v>
      </c>
      <c r="AB4155">
        <v>0</v>
      </c>
      <c r="AC4155" t="s">
        <v>49</v>
      </c>
      <c r="AD4155">
        <v>0</v>
      </c>
      <c r="AE4155">
        <v>10900660</v>
      </c>
      <c r="AF4155" t="s">
        <v>63</v>
      </c>
      <c r="AG4155" t="s">
        <v>7910</v>
      </c>
    </row>
    <row r="4156" spans="1:33" x14ac:dyDescent="0.35">
      <c r="A4156" s="1">
        <v>44618.530555555553</v>
      </c>
      <c r="B4156">
        <v>1883961</v>
      </c>
      <c r="C4156" t="s">
        <v>8595</v>
      </c>
      <c r="D4156" t="s">
        <v>59</v>
      </c>
      <c r="E4156" s="2">
        <v>42114</v>
      </c>
      <c r="F4156" t="str">
        <f>"9783527673346"</f>
        <v>9783527673346</v>
      </c>
      <c r="G4156" t="str">
        <f>"9783527335534"</f>
        <v>9783527335534</v>
      </c>
      <c r="H4156" t="s">
        <v>8596</v>
      </c>
      <c r="I4156">
        <v>621.38152000000002</v>
      </c>
      <c r="J4156" t="s">
        <v>8597</v>
      </c>
      <c r="K4156" t="s">
        <v>44</v>
      </c>
      <c r="N4156" t="s">
        <v>45</v>
      </c>
      <c r="O4156" t="s">
        <v>46</v>
      </c>
      <c r="P4156" t="s">
        <v>45</v>
      </c>
      <c r="Q4156" t="s">
        <v>47</v>
      </c>
      <c r="R4156" t="s">
        <v>44</v>
      </c>
      <c r="S4156">
        <v>0</v>
      </c>
      <c r="W4156" s="3">
        <v>2.0833333333333335E-4</v>
      </c>
      <c r="X4156" t="s">
        <v>3078</v>
      </c>
      <c r="Y4156">
        <v>4</v>
      </c>
      <c r="Z4156">
        <v>0</v>
      </c>
      <c r="AA4156" t="s">
        <v>49</v>
      </c>
      <c r="AB4156">
        <v>0</v>
      </c>
      <c r="AC4156" t="s">
        <v>49</v>
      </c>
      <c r="AD4156">
        <v>0</v>
      </c>
      <c r="AE4156">
        <v>10993870</v>
      </c>
      <c r="AF4156" t="s">
        <v>50</v>
      </c>
      <c r="AG4156" t="s">
        <v>7910</v>
      </c>
    </row>
    <row r="4157" spans="1:33" x14ac:dyDescent="0.35">
      <c r="A4157" s="1">
        <v>44618.529861111114</v>
      </c>
      <c r="B4157">
        <v>1185373</v>
      </c>
      <c r="C4157" t="s">
        <v>8598</v>
      </c>
      <c r="D4157" t="s">
        <v>465</v>
      </c>
      <c r="E4157" s="2">
        <v>40414</v>
      </c>
      <c r="F4157" t="str">
        <f>"9781849732031"</f>
        <v>9781849732031</v>
      </c>
      <c r="G4157" t="str">
        <f>"9781847558701"</f>
        <v>9781847558701</v>
      </c>
      <c r="H4157" t="s">
        <v>214</v>
      </c>
      <c r="I4157">
        <v>541.39499999999998</v>
      </c>
      <c r="J4157">
        <v>2012360130</v>
      </c>
      <c r="K4157" t="s">
        <v>44</v>
      </c>
      <c r="N4157" t="s">
        <v>45</v>
      </c>
      <c r="O4157" t="s">
        <v>46</v>
      </c>
      <c r="P4157" t="s">
        <v>45</v>
      </c>
      <c r="Q4157" t="s">
        <v>47</v>
      </c>
      <c r="R4157" t="s">
        <v>44</v>
      </c>
      <c r="S4157">
        <v>0</v>
      </c>
      <c r="W4157" s="3">
        <v>3.4722222222222222E-5</v>
      </c>
      <c r="X4157" t="s">
        <v>121</v>
      </c>
      <c r="Y4157">
        <v>1</v>
      </c>
      <c r="Z4157">
        <v>0</v>
      </c>
      <c r="AA4157" t="s">
        <v>49</v>
      </c>
      <c r="AB4157">
        <v>0</v>
      </c>
      <c r="AC4157" t="s">
        <v>49</v>
      </c>
      <c r="AD4157">
        <v>0</v>
      </c>
      <c r="AE4157">
        <v>10627728</v>
      </c>
      <c r="AF4157" t="s">
        <v>50</v>
      </c>
      <c r="AG4157" t="s">
        <v>7910</v>
      </c>
    </row>
    <row r="4158" spans="1:33" x14ac:dyDescent="0.35">
      <c r="A4158" s="1">
        <v>44618.529861111114</v>
      </c>
      <c r="B4158">
        <v>4497397</v>
      </c>
      <c r="C4158" t="s">
        <v>8599</v>
      </c>
      <c r="D4158" t="s">
        <v>8600</v>
      </c>
      <c r="E4158" s="2">
        <v>42551</v>
      </c>
      <c r="F4158" t="str">
        <f>"9789385059605"</f>
        <v>9789385059605</v>
      </c>
      <c r="G4158" t="str">
        <f>"9789385059049"</f>
        <v>9789385059049</v>
      </c>
      <c r="H4158" t="s">
        <v>116</v>
      </c>
      <c r="J4158" t="s">
        <v>8601</v>
      </c>
      <c r="K4158" t="s">
        <v>55</v>
      </c>
      <c r="N4158" t="s">
        <v>79</v>
      </c>
      <c r="P4158" t="s">
        <v>80</v>
      </c>
      <c r="Q4158" t="s">
        <v>47</v>
      </c>
      <c r="R4158" t="s">
        <v>44</v>
      </c>
      <c r="S4158">
        <v>0</v>
      </c>
      <c r="W4158" s="3">
        <v>6.9444444444444444E-5</v>
      </c>
      <c r="X4158" t="s">
        <v>121</v>
      </c>
      <c r="Y4158">
        <v>1</v>
      </c>
      <c r="Z4158">
        <v>0</v>
      </c>
      <c r="AA4158" t="s">
        <v>49</v>
      </c>
      <c r="AB4158">
        <v>0</v>
      </c>
      <c r="AC4158" t="s">
        <v>49</v>
      </c>
      <c r="AD4158">
        <v>0</v>
      </c>
      <c r="AE4158">
        <v>11201119</v>
      </c>
      <c r="AF4158" t="s">
        <v>50</v>
      </c>
      <c r="AG4158" t="s">
        <v>7910</v>
      </c>
    </row>
    <row r="4159" spans="1:33" x14ac:dyDescent="0.35">
      <c r="A4159" s="1">
        <v>44618.50277777778</v>
      </c>
      <c r="B4159">
        <v>3339142</v>
      </c>
      <c r="C4159" t="s">
        <v>7658</v>
      </c>
      <c r="D4159" t="s">
        <v>303</v>
      </c>
      <c r="E4159" s="2">
        <v>40025</v>
      </c>
      <c r="F4159" t="str">
        <f>"9780262270830"</f>
        <v>9780262270830</v>
      </c>
      <c r="G4159" t="str">
        <f>"9780262033848"</f>
        <v>9780262033848</v>
      </c>
      <c r="H4159" t="s">
        <v>138</v>
      </c>
      <c r="I4159">
        <v>5.0999999999999996</v>
      </c>
      <c r="J4159" t="s">
        <v>7659</v>
      </c>
      <c r="K4159" t="s">
        <v>44</v>
      </c>
      <c r="N4159" t="s">
        <v>45</v>
      </c>
      <c r="O4159" t="s">
        <v>46</v>
      </c>
      <c r="P4159" t="s">
        <v>45</v>
      </c>
      <c r="Q4159" t="s">
        <v>47</v>
      </c>
      <c r="R4159" t="s">
        <v>44</v>
      </c>
      <c r="S4159">
        <v>0</v>
      </c>
      <c r="W4159" s="3">
        <v>2.3657407407407408E-2</v>
      </c>
      <c r="X4159" t="s">
        <v>8602</v>
      </c>
      <c r="Y4159">
        <v>25</v>
      </c>
      <c r="Z4159">
        <v>0</v>
      </c>
      <c r="AA4159" t="s">
        <v>49</v>
      </c>
      <c r="AB4159">
        <v>0</v>
      </c>
      <c r="AC4159" t="s">
        <v>49</v>
      </c>
      <c r="AD4159">
        <v>0</v>
      </c>
      <c r="AE4159">
        <v>10397652</v>
      </c>
      <c r="AF4159" t="s">
        <v>50</v>
      </c>
      <c r="AG4159" t="s">
        <v>8238</v>
      </c>
    </row>
    <row r="4160" spans="1:33" x14ac:dyDescent="0.35">
      <c r="A4160" s="1">
        <v>44618.478472222225</v>
      </c>
      <c r="B4160">
        <v>589099</v>
      </c>
      <c r="C4160" t="s">
        <v>8531</v>
      </c>
      <c r="D4160" t="s">
        <v>59</v>
      </c>
      <c r="E4160" s="2">
        <v>40498</v>
      </c>
      <c r="F4160" t="str">
        <f>"9780470825624"</f>
        <v>9780470825624</v>
      </c>
      <c r="G4160" t="str">
        <f>"9780470825617"</f>
        <v>9780470825617</v>
      </c>
      <c r="H4160" t="s">
        <v>546</v>
      </c>
      <c r="I4160">
        <v>621.38400000000001</v>
      </c>
      <c r="J4160" t="s">
        <v>8532</v>
      </c>
      <c r="K4160" t="s">
        <v>44</v>
      </c>
      <c r="N4160" t="s">
        <v>45</v>
      </c>
      <c r="O4160" t="s">
        <v>46</v>
      </c>
      <c r="P4160" t="s">
        <v>45</v>
      </c>
      <c r="Q4160" t="s">
        <v>47</v>
      </c>
      <c r="R4160" t="s">
        <v>44</v>
      </c>
      <c r="S4160">
        <v>0</v>
      </c>
      <c r="W4160" s="3">
        <v>7.175925925925927E-4</v>
      </c>
      <c r="X4160" t="s">
        <v>8603</v>
      </c>
      <c r="Y4160">
        <v>10</v>
      </c>
      <c r="Z4160">
        <v>0</v>
      </c>
      <c r="AA4160" t="s">
        <v>49</v>
      </c>
      <c r="AB4160">
        <v>0</v>
      </c>
      <c r="AC4160" t="s">
        <v>49</v>
      </c>
      <c r="AD4160">
        <v>0</v>
      </c>
      <c r="AE4160">
        <v>10412611</v>
      </c>
      <c r="AF4160" t="s">
        <v>50</v>
      </c>
      <c r="AG4160" t="s">
        <v>7910</v>
      </c>
    </row>
    <row r="4161" spans="1:33" x14ac:dyDescent="0.35">
      <c r="A4161" s="1">
        <v>44618.448611111111</v>
      </c>
      <c r="B4161">
        <v>5796941</v>
      </c>
      <c r="C4161" t="s">
        <v>7395</v>
      </c>
      <c r="D4161" t="s">
        <v>844</v>
      </c>
      <c r="E4161" s="2">
        <v>43656</v>
      </c>
      <c r="F4161" t="str">
        <f>"9781787566811"</f>
        <v>9781787566811</v>
      </c>
      <c r="G4161" t="str">
        <f>"9781787566804"</f>
        <v>9781787566804</v>
      </c>
      <c r="H4161" t="s">
        <v>900</v>
      </c>
      <c r="I4161">
        <v>337.51056</v>
      </c>
      <c r="J4161" t="s">
        <v>1794</v>
      </c>
      <c r="K4161" t="s">
        <v>44</v>
      </c>
      <c r="N4161" t="s">
        <v>45</v>
      </c>
      <c r="O4161" t="s">
        <v>46</v>
      </c>
      <c r="P4161" t="s">
        <v>45</v>
      </c>
      <c r="Q4161" t="s">
        <v>47</v>
      </c>
      <c r="R4161" t="s">
        <v>44</v>
      </c>
      <c r="S4161">
        <v>0</v>
      </c>
      <c r="W4161" s="3">
        <v>1.273148148148148E-4</v>
      </c>
      <c r="X4161" t="s">
        <v>8604</v>
      </c>
      <c r="Y4161">
        <v>3</v>
      </c>
      <c r="Z4161">
        <v>0</v>
      </c>
      <c r="AA4161" t="s">
        <v>49</v>
      </c>
      <c r="AB4161">
        <v>0</v>
      </c>
      <c r="AC4161" t="s">
        <v>49</v>
      </c>
      <c r="AD4161">
        <v>0</v>
      </c>
      <c r="AE4161">
        <v>-1</v>
      </c>
      <c r="AF4161" t="s">
        <v>50</v>
      </c>
      <c r="AG4161" t="s">
        <v>7910</v>
      </c>
    </row>
    <row r="4162" spans="1:33" x14ac:dyDescent="0.35">
      <c r="A4162" s="1">
        <v>44618.381249999999</v>
      </c>
      <c r="B4162">
        <v>313592</v>
      </c>
      <c r="C4162" t="s">
        <v>8605</v>
      </c>
      <c r="D4162" t="s">
        <v>65</v>
      </c>
      <c r="E4162" s="2">
        <v>39336</v>
      </c>
      <c r="F4162" t="str">
        <f>"9780080551913"</f>
        <v>9780080551913</v>
      </c>
      <c r="G4162" t="str">
        <f>"9780444528377"</f>
        <v>9780444528377</v>
      </c>
      <c r="H4162" t="s">
        <v>214</v>
      </c>
      <c r="I4162">
        <v>541.2242</v>
      </c>
      <c r="J4162" t="s">
        <v>8606</v>
      </c>
      <c r="K4162" t="s">
        <v>44</v>
      </c>
      <c r="N4162" t="s">
        <v>45</v>
      </c>
      <c r="O4162" t="s">
        <v>46</v>
      </c>
      <c r="P4162" t="s">
        <v>45</v>
      </c>
      <c r="Q4162" t="s">
        <v>47</v>
      </c>
      <c r="R4162" t="s">
        <v>44</v>
      </c>
      <c r="S4162">
        <v>0</v>
      </c>
      <c r="W4162" s="3">
        <v>9.1435185185185185E-4</v>
      </c>
      <c r="X4162" t="s">
        <v>8607</v>
      </c>
      <c r="Y4162">
        <v>7</v>
      </c>
      <c r="Z4162">
        <v>1</v>
      </c>
      <c r="AA4162" t="s">
        <v>56</v>
      </c>
      <c r="AB4162">
        <v>3</v>
      </c>
      <c r="AC4162" t="s">
        <v>49</v>
      </c>
      <c r="AD4162">
        <v>0</v>
      </c>
      <c r="AE4162">
        <v>10190879</v>
      </c>
      <c r="AF4162" t="s">
        <v>50</v>
      </c>
      <c r="AG4162" t="s">
        <v>7910</v>
      </c>
    </row>
    <row r="4163" spans="1:33" x14ac:dyDescent="0.35">
      <c r="A4163" s="1">
        <v>44618.012499999997</v>
      </c>
      <c r="B4163">
        <v>536977</v>
      </c>
      <c r="C4163" t="s">
        <v>1900</v>
      </c>
      <c r="D4163" t="s">
        <v>507</v>
      </c>
      <c r="E4163" s="2">
        <v>40043</v>
      </c>
      <c r="F4163" t="str">
        <f>"9780748637942"</f>
        <v>9780748637942</v>
      </c>
      <c r="G4163" t="str">
        <f>"9780748637928"</f>
        <v>9780748637928</v>
      </c>
      <c r="H4163" t="s">
        <v>162</v>
      </c>
      <c r="I4163">
        <v>297</v>
      </c>
      <c r="J4163" t="s">
        <v>1901</v>
      </c>
      <c r="K4163" t="s">
        <v>44</v>
      </c>
      <c r="N4163" t="s">
        <v>45</v>
      </c>
      <c r="O4163" t="s">
        <v>46</v>
      </c>
      <c r="P4163" t="s">
        <v>45</v>
      </c>
      <c r="Q4163" t="s">
        <v>47</v>
      </c>
      <c r="R4163" t="s">
        <v>44</v>
      </c>
      <c r="S4163">
        <v>0</v>
      </c>
      <c r="W4163" s="3">
        <v>1.7731481481481483E-2</v>
      </c>
      <c r="X4163" t="s">
        <v>8608</v>
      </c>
      <c r="Y4163">
        <v>14</v>
      </c>
      <c r="Z4163">
        <v>0</v>
      </c>
      <c r="AA4163" t="s">
        <v>49</v>
      </c>
      <c r="AB4163">
        <v>0</v>
      </c>
      <c r="AC4163" t="s">
        <v>49</v>
      </c>
      <c r="AD4163">
        <v>0</v>
      </c>
      <c r="AE4163">
        <v>10391780</v>
      </c>
      <c r="AF4163" t="s">
        <v>50</v>
      </c>
      <c r="AG4163" t="s">
        <v>7910</v>
      </c>
    </row>
    <row r="4164" spans="1:33" x14ac:dyDescent="0.35">
      <c r="A4164" s="1">
        <v>44618.004166666666</v>
      </c>
      <c r="B4164">
        <v>634969</v>
      </c>
      <c r="C4164" t="s">
        <v>1913</v>
      </c>
      <c r="D4164" t="s">
        <v>473</v>
      </c>
      <c r="E4164" s="2">
        <v>40343</v>
      </c>
      <c r="F4164" t="str">
        <f>"9789004185708"</f>
        <v>9789004185708</v>
      </c>
      <c r="G4164" t="str">
        <f>"9789004184695"</f>
        <v>9789004184695</v>
      </c>
      <c r="H4164" t="s">
        <v>1914</v>
      </c>
      <c r="I4164">
        <v>297.81409538000003</v>
      </c>
      <c r="J4164" t="s">
        <v>1915</v>
      </c>
      <c r="K4164" t="s">
        <v>44</v>
      </c>
      <c r="N4164" t="s">
        <v>45</v>
      </c>
      <c r="O4164" t="s">
        <v>46</v>
      </c>
      <c r="P4164" t="s">
        <v>45</v>
      </c>
      <c r="Q4164" t="s">
        <v>47</v>
      </c>
      <c r="R4164" t="s">
        <v>44</v>
      </c>
      <c r="S4164">
        <v>0</v>
      </c>
      <c r="W4164" s="3">
        <v>3.8194444444444446E-4</v>
      </c>
      <c r="X4164" t="s">
        <v>4135</v>
      </c>
      <c r="Y4164">
        <v>4</v>
      </c>
      <c r="Z4164">
        <v>0</v>
      </c>
      <c r="AA4164" t="s">
        <v>49</v>
      </c>
      <c r="AB4164">
        <v>0</v>
      </c>
      <c r="AC4164" t="s">
        <v>49</v>
      </c>
      <c r="AD4164">
        <v>0</v>
      </c>
      <c r="AE4164">
        <v>10439227</v>
      </c>
      <c r="AF4164" t="s">
        <v>50</v>
      </c>
      <c r="AG4164" t="s">
        <v>7910</v>
      </c>
    </row>
    <row r="4165" spans="1:33" x14ac:dyDescent="0.35">
      <c r="A4165" s="1">
        <v>44617.958333333336</v>
      </c>
      <c r="B4165">
        <v>534570</v>
      </c>
      <c r="C4165" t="s">
        <v>8609</v>
      </c>
      <c r="D4165" t="s">
        <v>4958</v>
      </c>
      <c r="E4165" s="2">
        <v>40313</v>
      </c>
      <c r="F4165" t="str">
        <f>"9780226039084"</f>
        <v>9780226039084</v>
      </c>
      <c r="G4165" t="str">
        <f>"9780226039077"</f>
        <v>9780226039077</v>
      </c>
      <c r="H4165" t="s">
        <v>8610</v>
      </c>
      <c r="I4165">
        <v>363.80223000000001</v>
      </c>
      <c r="J4165" t="s">
        <v>8611</v>
      </c>
      <c r="K4165" t="s">
        <v>44</v>
      </c>
      <c r="N4165" t="s">
        <v>45</v>
      </c>
      <c r="O4165" t="s">
        <v>46</v>
      </c>
      <c r="P4165" t="s">
        <v>45</v>
      </c>
      <c r="Q4165" t="s">
        <v>47</v>
      </c>
      <c r="R4165" t="s">
        <v>44</v>
      </c>
      <c r="S4165">
        <v>0</v>
      </c>
      <c r="W4165" s="3">
        <v>6.2500000000000001E-4</v>
      </c>
      <c r="X4165" t="s">
        <v>8612</v>
      </c>
      <c r="Y4165">
        <v>13</v>
      </c>
      <c r="Z4165">
        <v>0</v>
      </c>
      <c r="AA4165" t="s">
        <v>49</v>
      </c>
      <c r="AB4165">
        <v>0</v>
      </c>
      <c r="AC4165" t="s">
        <v>49</v>
      </c>
      <c r="AD4165">
        <v>0</v>
      </c>
      <c r="AE4165">
        <v>10389557</v>
      </c>
      <c r="AF4165" t="s">
        <v>50</v>
      </c>
      <c r="AG4165" t="s">
        <v>2144</v>
      </c>
    </row>
    <row r="4166" spans="1:33" x14ac:dyDescent="0.35">
      <c r="A4166" s="1">
        <v>44617.909722222219</v>
      </c>
      <c r="B4166">
        <v>1102197</v>
      </c>
      <c r="C4166" t="s">
        <v>8613</v>
      </c>
      <c r="D4166" t="s">
        <v>65</v>
      </c>
      <c r="E4166" s="2">
        <v>41320</v>
      </c>
      <c r="F4166" t="str">
        <f>"9780123914279"</f>
        <v>9780123914279</v>
      </c>
      <c r="G4166" t="str">
        <f>"9780124159785"</f>
        <v>9780124159785</v>
      </c>
      <c r="H4166" t="s">
        <v>8614</v>
      </c>
      <c r="I4166">
        <v>333.79399999999998</v>
      </c>
      <c r="J4166" t="s">
        <v>8615</v>
      </c>
      <c r="K4166" t="s">
        <v>55</v>
      </c>
      <c r="N4166" t="s">
        <v>79</v>
      </c>
      <c r="P4166" t="s">
        <v>80</v>
      </c>
      <c r="Q4166" t="s">
        <v>47</v>
      </c>
      <c r="R4166" t="s">
        <v>44</v>
      </c>
      <c r="S4166">
        <v>0</v>
      </c>
      <c r="W4166" s="3">
        <v>1.1400462962962965E-2</v>
      </c>
      <c r="X4166" t="s">
        <v>8616</v>
      </c>
      <c r="Y4166">
        <v>29</v>
      </c>
      <c r="Z4166">
        <v>0</v>
      </c>
      <c r="AA4166" t="s">
        <v>49</v>
      </c>
      <c r="AB4166">
        <v>0</v>
      </c>
      <c r="AC4166" t="s">
        <v>49</v>
      </c>
      <c r="AD4166">
        <v>0</v>
      </c>
      <c r="AE4166">
        <v>10639739</v>
      </c>
      <c r="AF4166" t="s">
        <v>50</v>
      </c>
      <c r="AG4166" t="s">
        <v>2144</v>
      </c>
    </row>
    <row r="4167" spans="1:33" x14ac:dyDescent="0.35">
      <c r="A4167" s="1">
        <v>44617.902777777781</v>
      </c>
      <c r="B4167">
        <v>1910718</v>
      </c>
      <c r="C4167" t="s">
        <v>8617</v>
      </c>
      <c r="D4167" t="s">
        <v>371</v>
      </c>
      <c r="E4167" s="2">
        <v>41771</v>
      </c>
      <c r="F4167" t="str">
        <f>"9783038264026"</f>
        <v>9783038264026</v>
      </c>
      <c r="G4167" t="str">
        <f>"9783038350217"</f>
        <v>9783038350217</v>
      </c>
      <c r="H4167" t="s">
        <v>639</v>
      </c>
      <c r="K4167" t="s">
        <v>44</v>
      </c>
      <c r="N4167" t="s">
        <v>45</v>
      </c>
      <c r="O4167" t="s">
        <v>46</v>
      </c>
      <c r="P4167" t="s">
        <v>45</v>
      </c>
      <c r="Q4167" t="s">
        <v>47</v>
      </c>
      <c r="R4167" t="s">
        <v>44</v>
      </c>
      <c r="S4167">
        <v>0</v>
      </c>
      <c r="W4167" s="3">
        <v>6.3657407407407402E-4</v>
      </c>
      <c r="X4167" t="s">
        <v>8618</v>
      </c>
      <c r="Y4167">
        <v>18</v>
      </c>
      <c r="Z4167">
        <v>0</v>
      </c>
      <c r="AA4167" t="s">
        <v>49</v>
      </c>
      <c r="AB4167">
        <v>0</v>
      </c>
      <c r="AC4167" t="s">
        <v>49</v>
      </c>
      <c r="AD4167">
        <v>0</v>
      </c>
      <c r="AE4167">
        <v>10846238</v>
      </c>
      <c r="AF4167" t="s">
        <v>50</v>
      </c>
      <c r="AG4167" t="s">
        <v>2144</v>
      </c>
    </row>
    <row r="4168" spans="1:33" x14ac:dyDescent="0.35">
      <c r="A4168" s="1">
        <v>44617.892361111109</v>
      </c>
      <c r="B4168">
        <v>5796941</v>
      </c>
      <c r="C4168" t="s">
        <v>7395</v>
      </c>
      <c r="D4168" t="s">
        <v>844</v>
      </c>
      <c r="E4168" s="2">
        <v>43656</v>
      </c>
      <c r="F4168" t="str">
        <f t="shared" ref="F4168:F4176" si="14">"9781787566811"</f>
        <v>9781787566811</v>
      </c>
      <c r="G4168" t="str">
        <f t="shared" ref="G4168:G4176" si="15">"9781787566804"</f>
        <v>9781787566804</v>
      </c>
      <c r="H4168" t="s">
        <v>900</v>
      </c>
      <c r="I4168">
        <v>337.51056</v>
      </c>
      <c r="J4168" t="s">
        <v>1794</v>
      </c>
      <c r="K4168" t="s">
        <v>44</v>
      </c>
      <c r="N4168" t="s">
        <v>45</v>
      </c>
      <c r="O4168" t="s">
        <v>46</v>
      </c>
      <c r="P4168" t="s">
        <v>45</v>
      </c>
      <c r="Q4168" t="s">
        <v>47</v>
      </c>
      <c r="R4168" t="s">
        <v>44</v>
      </c>
      <c r="S4168">
        <v>0</v>
      </c>
      <c r="W4168" s="3">
        <v>1.1655092592592594E-2</v>
      </c>
      <c r="X4168" t="s">
        <v>8619</v>
      </c>
      <c r="Y4168">
        <v>6</v>
      </c>
      <c r="Z4168">
        <v>0</v>
      </c>
      <c r="AA4168" t="s">
        <v>49</v>
      </c>
      <c r="AB4168">
        <v>0</v>
      </c>
      <c r="AC4168" t="s">
        <v>49</v>
      </c>
      <c r="AD4168">
        <v>0</v>
      </c>
      <c r="AE4168">
        <v>-1</v>
      </c>
      <c r="AF4168" t="s">
        <v>50</v>
      </c>
      <c r="AG4168" t="s">
        <v>7910</v>
      </c>
    </row>
    <row r="4169" spans="1:33" x14ac:dyDescent="0.35">
      <c r="A4169" s="1">
        <v>44617.868055555555</v>
      </c>
      <c r="B4169">
        <v>5796941</v>
      </c>
      <c r="C4169" t="s">
        <v>7395</v>
      </c>
      <c r="D4169" t="s">
        <v>844</v>
      </c>
      <c r="E4169" s="2">
        <v>43656</v>
      </c>
      <c r="F4169" t="str">
        <f t="shared" si="14"/>
        <v>9781787566811</v>
      </c>
      <c r="G4169" t="str">
        <f t="shared" si="15"/>
        <v>9781787566804</v>
      </c>
      <c r="H4169" t="s">
        <v>900</v>
      </c>
      <c r="I4169">
        <v>337.51056</v>
      </c>
      <c r="J4169" t="s">
        <v>1794</v>
      </c>
      <c r="K4169" t="s">
        <v>44</v>
      </c>
      <c r="N4169" t="s">
        <v>45</v>
      </c>
      <c r="O4169" t="s">
        <v>46</v>
      </c>
      <c r="P4169" t="s">
        <v>45</v>
      </c>
      <c r="Q4169" t="s">
        <v>47</v>
      </c>
      <c r="R4169" t="s">
        <v>44</v>
      </c>
      <c r="S4169">
        <v>0</v>
      </c>
      <c r="W4169" s="3">
        <v>4.2534722222222217E-2</v>
      </c>
      <c r="X4169" t="s">
        <v>8620</v>
      </c>
      <c r="Y4169">
        <v>16</v>
      </c>
      <c r="Z4169">
        <v>0</v>
      </c>
      <c r="AA4169" t="s">
        <v>49</v>
      </c>
      <c r="AB4169">
        <v>0</v>
      </c>
      <c r="AC4169" t="s">
        <v>49</v>
      </c>
      <c r="AD4169">
        <v>0</v>
      </c>
      <c r="AE4169">
        <v>-1</v>
      </c>
      <c r="AF4169" t="s">
        <v>50</v>
      </c>
      <c r="AG4169" t="s">
        <v>8588</v>
      </c>
    </row>
    <row r="4170" spans="1:33" x14ac:dyDescent="0.35">
      <c r="A4170" s="1">
        <v>44617.859722222223</v>
      </c>
      <c r="B4170">
        <v>5796941</v>
      </c>
      <c r="C4170" t="s">
        <v>7395</v>
      </c>
      <c r="D4170" t="s">
        <v>844</v>
      </c>
      <c r="E4170" s="2">
        <v>43656</v>
      </c>
      <c r="F4170" t="str">
        <f t="shared" si="14"/>
        <v>9781787566811</v>
      </c>
      <c r="G4170" t="str">
        <f t="shared" si="15"/>
        <v>9781787566804</v>
      </c>
      <c r="H4170" t="s">
        <v>900</v>
      </c>
      <c r="I4170">
        <v>337.51056</v>
      </c>
      <c r="J4170" t="s">
        <v>1794</v>
      </c>
      <c r="K4170" t="s">
        <v>44</v>
      </c>
      <c r="N4170" t="s">
        <v>45</v>
      </c>
      <c r="O4170" t="s">
        <v>46</v>
      </c>
      <c r="P4170" t="s">
        <v>45</v>
      </c>
      <c r="Q4170" t="s">
        <v>47</v>
      </c>
      <c r="R4170" t="s">
        <v>44</v>
      </c>
      <c r="S4170">
        <v>0</v>
      </c>
      <c r="W4170" s="3">
        <v>9.9537037037037042E-4</v>
      </c>
      <c r="X4170" t="s">
        <v>8621</v>
      </c>
      <c r="Y4170">
        <v>9</v>
      </c>
      <c r="Z4170">
        <v>0</v>
      </c>
      <c r="AA4170" t="s">
        <v>49</v>
      </c>
      <c r="AB4170">
        <v>0</v>
      </c>
      <c r="AC4170" t="s">
        <v>49</v>
      </c>
      <c r="AD4170">
        <v>0</v>
      </c>
      <c r="AE4170">
        <v>-1</v>
      </c>
      <c r="AF4170" t="s">
        <v>50</v>
      </c>
      <c r="AG4170" t="s">
        <v>1451</v>
      </c>
    </row>
    <row r="4171" spans="1:33" x14ac:dyDescent="0.35">
      <c r="A4171" s="1">
        <v>44617.81527777778</v>
      </c>
      <c r="B4171">
        <v>5796941</v>
      </c>
      <c r="C4171" t="s">
        <v>7395</v>
      </c>
      <c r="D4171" t="s">
        <v>844</v>
      </c>
      <c r="E4171" s="2">
        <v>43656</v>
      </c>
      <c r="F4171" t="str">
        <f t="shared" si="14"/>
        <v>9781787566811</v>
      </c>
      <c r="G4171" t="str">
        <f t="shared" si="15"/>
        <v>9781787566804</v>
      </c>
      <c r="H4171" t="s">
        <v>900</v>
      </c>
      <c r="I4171">
        <v>337.51056</v>
      </c>
      <c r="J4171" t="s">
        <v>1794</v>
      </c>
      <c r="K4171" t="s">
        <v>44</v>
      </c>
      <c r="N4171" t="s">
        <v>45</v>
      </c>
      <c r="O4171" t="s">
        <v>46</v>
      </c>
      <c r="P4171" t="s">
        <v>45</v>
      </c>
      <c r="Q4171" t="s">
        <v>47</v>
      </c>
      <c r="R4171" t="s">
        <v>44</v>
      </c>
      <c r="S4171">
        <v>0</v>
      </c>
      <c r="W4171" s="3">
        <v>7.9050925925925927E-2</v>
      </c>
      <c r="X4171" t="s">
        <v>8622</v>
      </c>
      <c r="Y4171">
        <v>63</v>
      </c>
      <c r="Z4171">
        <v>0</v>
      </c>
      <c r="AA4171" t="s">
        <v>49</v>
      </c>
      <c r="AB4171">
        <v>0</v>
      </c>
      <c r="AC4171" t="s">
        <v>8623</v>
      </c>
      <c r="AD4171">
        <v>2</v>
      </c>
      <c r="AE4171">
        <v>-1</v>
      </c>
      <c r="AF4171" t="s">
        <v>50</v>
      </c>
      <c r="AG4171" t="s">
        <v>8624</v>
      </c>
    </row>
    <row r="4172" spans="1:33" x14ac:dyDescent="0.35">
      <c r="A4172" s="1">
        <v>44617.811111111114</v>
      </c>
      <c r="B4172">
        <v>5796941</v>
      </c>
      <c r="C4172" t="s">
        <v>7395</v>
      </c>
      <c r="D4172" t="s">
        <v>844</v>
      </c>
      <c r="E4172" s="2">
        <v>43656</v>
      </c>
      <c r="F4172" t="str">
        <f t="shared" si="14"/>
        <v>9781787566811</v>
      </c>
      <c r="G4172" t="str">
        <f t="shared" si="15"/>
        <v>9781787566804</v>
      </c>
      <c r="H4172" t="s">
        <v>900</v>
      </c>
      <c r="I4172">
        <v>337.51056</v>
      </c>
      <c r="J4172" t="s">
        <v>1794</v>
      </c>
      <c r="K4172" t="s">
        <v>44</v>
      </c>
      <c r="N4172" t="s">
        <v>45</v>
      </c>
      <c r="O4172" t="s">
        <v>46</v>
      </c>
      <c r="P4172" t="s">
        <v>45</v>
      </c>
      <c r="Q4172" t="s">
        <v>47</v>
      </c>
      <c r="R4172" t="s">
        <v>44</v>
      </c>
      <c r="S4172">
        <v>0</v>
      </c>
      <c r="W4172" s="3">
        <v>1.4305555555555557E-2</v>
      </c>
      <c r="X4172" t="s">
        <v>8625</v>
      </c>
      <c r="Y4172">
        <v>10</v>
      </c>
      <c r="Z4172">
        <v>0</v>
      </c>
      <c r="AA4172" t="s">
        <v>49</v>
      </c>
      <c r="AB4172">
        <v>0</v>
      </c>
      <c r="AC4172" t="s">
        <v>49</v>
      </c>
      <c r="AD4172">
        <v>0</v>
      </c>
      <c r="AE4172">
        <v>-1</v>
      </c>
      <c r="AF4172" t="s">
        <v>50</v>
      </c>
      <c r="AG4172" t="s">
        <v>8588</v>
      </c>
    </row>
    <row r="4173" spans="1:33" x14ac:dyDescent="0.35">
      <c r="A4173" s="1">
        <v>44617.78402777778</v>
      </c>
      <c r="B4173">
        <v>5796941</v>
      </c>
      <c r="C4173" t="s">
        <v>7395</v>
      </c>
      <c r="D4173" t="s">
        <v>844</v>
      </c>
      <c r="E4173" s="2">
        <v>43656</v>
      </c>
      <c r="F4173" t="str">
        <f t="shared" si="14"/>
        <v>9781787566811</v>
      </c>
      <c r="G4173" t="str">
        <f t="shared" si="15"/>
        <v>9781787566804</v>
      </c>
      <c r="H4173" t="s">
        <v>900</v>
      </c>
      <c r="I4173">
        <v>337.51056</v>
      </c>
      <c r="J4173" t="s">
        <v>1794</v>
      </c>
      <c r="K4173" t="s">
        <v>44</v>
      </c>
      <c r="N4173" t="s">
        <v>45</v>
      </c>
      <c r="O4173" t="s">
        <v>46</v>
      </c>
      <c r="P4173" t="s">
        <v>45</v>
      </c>
      <c r="Q4173" t="s">
        <v>47</v>
      </c>
      <c r="R4173" t="s">
        <v>44</v>
      </c>
      <c r="S4173">
        <v>0</v>
      </c>
      <c r="W4173" s="3">
        <v>3.2407407407407406E-4</v>
      </c>
      <c r="X4173" t="s">
        <v>8604</v>
      </c>
      <c r="Y4173">
        <v>3</v>
      </c>
      <c r="Z4173">
        <v>0</v>
      </c>
      <c r="AA4173" t="s">
        <v>49</v>
      </c>
      <c r="AB4173">
        <v>0</v>
      </c>
      <c r="AC4173" t="s">
        <v>49</v>
      </c>
      <c r="AD4173">
        <v>0</v>
      </c>
      <c r="AE4173">
        <v>-1</v>
      </c>
      <c r="AF4173" t="s">
        <v>50</v>
      </c>
      <c r="AG4173" t="s">
        <v>8250</v>
      </c>
    </row>
    <row r="4174" spans="1:33" x14ac:dyDescent="0.35">
      <c r="A4174" s="1">
        <v>44617.77847222222</v>
      </c>
      <c r="B4174">
        <v>5796941</v>
      </c>
      <c r="C4174" t="s">
        <v>7395</v>
      </c>
      <c r="D4174" t="s">
        <v>844</v>
      </c>
      <c r="E4174" s="2">
        <v>43656</v>
      </c>
      <c r="F4174" t="str">
        <f t="shared" si="14"/>
        <v>9781787566811</v>
      </c>
      <c r="G4174" t="str">
        <f t="shared" si="15"/>
        <v>9781787566804</v>
      </c>
      <c r="H4174" t="s">
        <v>900</v>
      </c>
      <c r="I4174">
        <v>337.51056</v>
      </c>
      <c r="J4174" t="s">
        <v>1794</v>
      </c>
      <c r="K4174" t="s">
        <v>44</v>
      </c>
      <c r="N4174" t="s">
        <v>45</v>
      </c>
      <c r="O4174" t="s">
        <v>46</v>
      </c>
      <c r="P4174" t="s">
        <v>45</v>
      </c>
      <c r="Q4174" t="s">
        <v>47</v>
      </c>
      <c r="R4174" t="s">
        <v>44</v>
      </c>
      <c r="S4174">
        <v>1</v>
      </c>
      <c r="W4174" s="3">
        <v>1.5787037037037037E-2</v>
      </c>
      <c r="X4174" t="s">
        <v>8626</v>
      </c>
      <c r="Y4174">
        <v>40</v>
      </c>
      <c r="Z4174">
        <v>0</v>
      </c>
      <c r="AA4174" t="s">
        <v>49</v>
      </c>
      <c r="AB4174">
        <v>0</v>
      </c>
      <c r="AC4174" t="s">
        <v>49</v>
      </c>
      <c r="AD4174">
        <v>0</v>
      </c>
      <c r="AE4174">
        <v>-1</v>
      </c>
      <c r="AF4174" t="s">
        <v>63</v>
      </c>
      <c r="AG4174" t="s">
        <v>835</v>
      </c>
    </row>
    <row r="4175" spans="1:33" x14ac:dyDescent="0.35">
      <c r="A4175" s="1">
        <v>44617.775000000001</v>
      </c>
      <c r="B4175">
        <v>5796941</v>
      </c>
      <c r="C4175" t="s">
        <v>7395</v>
      </c>
      <c r="D4175" t="s">
        <v>844</v>
      </c>
      <c r="E4175" s="2">
        <v>43656</v>
      </c>
      <c r="F4175" t="str">
        <f t="shared" si="14"/>
        <v>9781787566811</v>
      </c>
      <c r="G4175" t="str">
        <f t="shared" si="15"/>
        <v>9781787566804</v>
      </c>
      <c r="H4175" t="s">
        <v>900</v>
      </c>
      <c r="I4175">
        <v>337.51056</v>
      </c>
      <c r="J4175" t="s">
        <v>1794</v>
      </c>
      <c r="K4175" t="s">
        <v>44</v>
      </c>
      <c r="N4175" t="s">
        <v>45</v>
      </c>
      <c r="O4175" t="s">
        <v>46</v>
      </c>
      <c r="P4175" t="s">
        <v>45</v>
      </c>
      <c r="Q4175" t="s">
        <v>47</v>
      </c>
      <c r="R4175" t="s">
        <v>44</v>
      </c>
      <c r="S4175">
        <v>0</v>
      </c>
      <c r="W4175" s="3">
        <v>3.0092592592592595E-4</v>
      </c>
      <c r="X4175" t="s">
        <v>320</v>
      </c>
      <c r="Y4175">
        <v>3</v>
      </c>
      <c r="Z4175">
        <v>0</v>
      </c>
      <c r="AA4175" t="s">
        <v>49</v>
      </c>
      <c r="AB4175">
        <v>0</v>
      </c>
      <c r="AC4175" t="s">
        <v>49</v>
      </c>
      <c r="AD4175">
        <v>0</v>
      </c>
      <c r="AE4175">
        <v>-1</v>
      </c>
      <c r="AF4175" t="s">
        <v>50</v>
      </c>
      <c r="AG4175" t="s">
        <v>1691</v>
      </c>
    </row>
    <row r="4176" spans="1:33" x14ac:dyDescent="0.35">
      <c r="A4176" s="1">
        <v>44617.772222222222</v>
      </c>
      <c r="B4176">
        <v>5796941</v>
      </c>
      <c r="C4176" t="s">
        <v>7395</v>
      </c>
      <c r="D4176" t="s">
        <v>844</v>
      </c>
      <c r="E4176" s="2">
        <v>43656</v>
      </c>
      <c r="F4176" t="str">
        <f t="shared" si="14"/>
        <v>9781787566811</v>
      </c>
      <c r="G4176" t="str">
        <f t="shared" si="15"/>
        <v>9781787566804</v>
      </c>
      <c r="H4176" t="s">
        <v>900</v>
      </c>
      <c r="I4176">
        <v>337.51056</v>
      </c>
      <c r="J4176" t="s">
        <v>1794</v>
      </c>
      <c r="K4176" t="s">
        <v>44</v>
      </c>
      <c r="N4176" t="s">
        <v>45</v>
      </c>
      <c r="O4176" t="s">
        <v>46</v>
      </c>
      <c r="P4176" t="s">
        <v>45</v>
      </c>
      <c r="Q4176" t="s">
        <v>47</v>
      </c>
      <c r="R4176" t="s">
        <v>44</v>
      </c>
      <c r="S4176">
        <v>0</v>
      </c>
      <c r="W4176" s="3">
        <v>3.8194444444444446E-4</v>
      </c>
      <c r="X4176" t="s">
        <v>8627</v>
      </c>
      <c r="Y4176">
        <v>9</v>
      </c>
      <c r="Z4176">
        <v>0</v>
      </c>
      <c r="AA4176" t="s">
        <v>49</v>
      </c>
      <c r="AB4176">
        <v>0</v>
      </c>
      <c r="AC4176" t="s">
        <v>49</v>
      </c>
      <c r="AD4176">
        <v>0</v>
      </c>
      <c r="AE4176">
        <v>-1</v>
      </c>
      <c r="AF4176" t="s">
        <v>50</v>
      </c>
      <c r="AG4176" t="s">
        <v>835</v>
      </c>
    </row>
    <row r="4177" spans="1:33" x14ac:dyDescent="0.35">
      <c r="A4177" s="1">
        <v>44617.76458333333</v>
      </c>
      <c r="B4177">
        <v>888149</v>
      </c>
      <c r="C4177" t="s">
        <v>8628</v>
      </c>
      <c r="D4177" t="s">
        <v>59</v>
      </c>
      <c r="E4177" s="2">
        <v>41029</v>
      </c>
      <c r="F4177" t="str">
        <f>"9781119943204"</f>
        <v>9781119943204</v>
      </c>
      <c r="G4177" t="str">
        <f>"9780470976388"</f>
        <v>9780470976388</v>
      </c>
      <c r="H4177" t="s">
        <v>244</v>
      </c>
      <c r="I4177">
        <v>155.9</v>
      </c>
      <c r="J4177" t="s">
        <v>8629</v>
      </c>
      <c r="K4177" t="s">
        <v>44</v>
      </c>
      <c r="N4177" t="s">
        <v>45</v>
      </c>
      <c r="O4177" t="s">
        <v>46</v>
      </c>
      <c r="P4177" t="s">
        <v>45</v>
      </c>
      <c r="Q4177" t="s">
        <v>47</v>
      </c>
      <c r="R4177" t="s">
        <v>44</v>
      </c>
      <c r="S4177">
        <v>0</v>
      </c>
      <c r="W4177" s="3">
        <v>3.9351851851851852E-4</v>
      </c>
      <c r="X4177" t="s">
        <v>8630</v>
      </c>
      <c r="Y4177">
        <v>6</v>
      </c>
      <c r="Z4177">
        <v>0</v>
      </c>
      <c r="AA4177" t="s">
        <v>49</v>
      </c>
      <c r="AB4177">
        <v>0</v>
      </c>
      <c r="AC4177" t="s">
        <v>49</v>
      </c>
      <c r="AD4177">
        <v>0</v>
      </c>
      <c r="AE4177">
        <v>10558123</v>
      </c>
      <c r="AF4177" t="s">
        <v>50</v>
      </c>
      <c r="AG4177" t="s">
        <v>5698</v>
      </c>
    </row>
    <row r="4178" spans="1:33" x14ac:dyDescent="0.35">
      <c r="A4178" s="1">
        <v>44617.761111111111</v>
      </c>
      <c r="B4178">
        <v>5796941</v>
      </c>
      <c r="C4178" t="s">
        <v>7395</v>
      </c>
      <c r="D4178" t="s">
        <v>844</v>
      </c>
      <c r="E4178" s="2">
        <v>43656</v>
      </c>
      <c r="F4178" t="str">
        <f>"9781787566811"</f>
        <v>9781787566811</v>
      </c>
      <c r="G4178" t="str">
        <f>"9781787566804"</f>
        <v>9781787566804</v>
      </c>
      <c r="H4178" t="s">
        <v>900</v>
      </c>
      <c r="I4178">
        <v>337.51056</v>
      </c>
      <c r="J4178" t="s">
        <v>1794</v>
      </c>
      <c r="K4178" t="s">
        <v>44</v>
      </c>
      <c r="N4178" t="s">
        <v>45</v>
      </c>
      <c r="O4178" t="s">
        <v>46</v>
      </c>
      <c r="P4178" t="s">
        <v>45</v>
      </c>
      <c r="Q4178" t="s">
        <v>47</v>
      </c>
      <c r="R4178" t="s">
        <v>44</v>
      </c>
      <c r="S4178">
        <v>0</v>
      </c>
      <c r="W4178" s="3">
        <v>3.622685185185185E-2</v>
      </c>
      <c r="X4178" t="s">
        <v>8631</v>
      </c>
      <c r="Y4178">
        <v>38</v>
      </c>
      <c r="Z4178">
        <v>0</v>
      </c>
      <c r="AA4178" t="s">
        <v>49</v>
      </c>
      <c r="AB4178">
        <v>0</v>
      </c>
      <c r="AC4178" t="s">
        <v>49</v>
      </c>
      <c r="AD4178">
        <v>0</v>
      </c>
      <c r="AE4178">
        <v>-1</v>
      </c>
      <c r="AF4178" t="s">
        <v>50</v>
      </c>
      <c r="AG4178" t="s">
        <v>7910</v>
      </c>
    </row>
    <row r="4179" spans="1:33" x14ac:dyDescent="0.35">
      <c r="A4179" s="1">
        <v>44617.659722222219</v>
      </c>
      <c r="B4179">
        <v>5796941</v>
      </c>
      <c r="C4179" t="s">
        <v>7395</v>
      </c>
      <c r="D4179" t="s">
        <v>844</v>
      </c>
      <c r="E4179" s="2">
        <v>43656</v>
      </c>
      <c r="F4179" t="str">
        <f>"9781787566811"</f>
        <v>9781787566811</v>
      </c>
      <c r="G4179" t="str">
        <f>"9781787566804"</f>
        <v>9781787566804</v>
      </c>
      <c r="H4179" t="s">
        <v>900</v>
      </c>
      <c r="I4179">
        <v>337.51056</v>
      </c>
      <c r="J4179" t="s">
        <v>1794</v>
      </c>
      <c r="K4179" t="s">
        <v>44</v>
      </c>
      <c r="N4179" t="s">
        <v>45</v>
      </c>
      <c r="O4179" t="s">
        <v>46</v>
      </c>
      <c r="P4179" t="s">
        <v>45</v>
      </c>
      <c r="Q4179" t="s">
        <v>47</v>
      </c>
      <c r="R4179" t="s">
        <v>44</v>
      </c>
      <c r="S4179">
        <v>0</v>
      </c>
      <c r="W4179" s="3">
        <v>2.3310185185185187E-2</v>
      </c>
      <c r="X4179" t="s">
        <v>8632</v>
      </c>
      <c r="Y4179">
        <v>11</v>
      </c>
      <c r="Z4179">
        <v>0</v>
      </c>
      <c r="AA4179" t="s">
        <v>49</v>
      </c>
      <c r="AB4179">
        <v>0</v>
      </c>
      <c r="AC4179" t="s">
        <v>49</v>
      </c>
      <c r="AD4179">
        <v>0</v>
      </c>
      <c r="AE4179">
        <v>-1</v>
      </c>
      <c r="AF4179" t="s">
        <v>50</v>
      </c>
      <c r="AG4179" t="s">
        <v>7910</v>
      </c>
    </row>
    <row r="4180" spans="1:33" x14ac:dyDescent="0.35">
      <c r="A4180" s="1">
        <v>44617.600694444445</v>
      </c>
      <c r="B4180">
        <v>5796941</v>
      </c>
      <c r="C4180" t="s">
        <v>7395</v>
      </c>
      <c r="D4180" t="s">
        <v>844</v>
      </c>
      <c r="E4180" s="2">
        <v>43656</v>
      </c>
      <c r="F4180" t="str">
        <f>"9781787566811"</f>
        <v>9781787566811</v>
      </c>
      <c r="G4180" t="str">
        <f>"9781787566804"</f>
        <v>9781787566804</v>
      </c>
      <c r="H4180" t="s">
        <v>900</v>
      </c>
      <c r="I4180">
        <v>337.51056</v>
      </c>
      <c r="J4180" t="s">
        <v>1794</v>
      </c>
      <c r="K4180" t="s">
        <v>44</v>
      </c>
      <c r="N4180" t="s">
        <v>45</v>
      </c>
      <c r="O4180" t="s">
        <v>46</v>
      </c>
      <c r="P4180" t="s">
        <v>45</v>
      </c>
      <c r="Q4180" t="s">
        <v>47</v>
      </c>
      <c r="R4180" t="s">
        <v>44</v>
      </c>
      <c r="S4180">
        <v>0</v>
      </c>
      <c r="W4180" s="3">
        <v>1.3761574074074074E-2</v>
      </c>
      <c r="X4180" t="s">
        <v>8633</v>
      </c>
      <c r="Y4180">
        <v>21</v>
      </c>
      <c r="Z4180">
        <v>0</v>
      </c>
      <c r="AA4180" t="s">
        <v>49</v>
      </c>
      <c r="AB4180">
        <v>0</v>
      </c>
      <c r="AC4180" t="s">
        <v>49</v>
      </c>
      <c r="AD4180">
        <v>0</v>
      </c>
      <c r="AE4180">
        <v>-1</v>
      </c>
      <c r="AF4180" t="s">
        <v>50</v>
      </c>
      <c r="AG4180" t="s">
        <v>1816</v>
      </c>
    </row>
    <row r="4181" spans="1:33" x14ac:dyDescent="0.35">
      <c r="A4181" s="1">
        <v>44617.588194444441</v>
      </c>
      <c r="B4181">
        <v>5796941</v>
      </c>
      <c r="C4181" t="s">
        <v>7395</v>
      </c>
      <c r="D4181" t="s">
        <v>844</v>
      </c>
      <c r="E4181" s="2">
        <v>43656</v>
      </c>
      <c r="F4181" t="str">
        <f>"9781787566811"</f>
        <v>9781787566811</v>
      </c>
      <c r="G4181" t="str">
        <f>"9781787566804"</f>
        <v>9781787566804</v>
      </c>
      <c r="H4181" t="s">
        <v>900</v>
      </c>
      <c r="I4181">
        <v>337.51056</v>
      </c>
      <c r="J4181" t="s">
        <v>1794</v>
      </c>
      <c r="K4181" t="s">
        <v>44</v>
      </c>
      <c r="N4181" t="s">
        <v>45</v>
      </c>
      <c r="O4181" t="s">
        <v>46</v>
      </c>
      <c r="P4181" t="s">
        <v>45</v>
      </c>
      <c r="Q4181" t="s">
        <v>47</v>
      </c>
      <c r="R4181" t="s">
        <v>44</v>
      </c>
      <c r="S4181">
        <v>0</v>
      </c>
      <c r="W4181" s="3">
        <v>6.3310185185185197E-3</v>
      </c>
      <c r="X4181" t="s">
        <v>8634</v>
      </c>
      <c r="Y4181">
        <v>7</v>
      </c>
      <c r="Z4181">
        <v>0</v>
      </c>
      <c r="AA4181" t="s">
        <v>49</v>
      </c>
      <c r="AB4181">
        <v>0</v>
      </c>
      <c r="AC4181" t="s">
        <v>8635</v>
      </c>
      <c r="AD4181">
        <v>2</v>
      </c>
      <c r="AE4181">
        <v>-1</v>
      </c>
      <c r="AF4181" t="s">
        <v>50</v>
      </c>
      <c r="AG4181" t="s">
        <v>8250</v>
      </c>
    </row>
    <row r="4182" spans="1:33" x14ac:dyDescent="0.35">
      <c r="A4182" s="1">
        <v>44617.568749999999</v>
      </c>
      <c r="B4182">
        <v>4179320</v>
      </c>
      <c r="C4182" t="s">
        <v>8636</v>
      </c>
      <c r="D4182" t="s">
        <v>59</v>
      </c>
      <c r="E4182" s="2">
        <v>42415</v>
      </c>
      <c r="F4182" t="str">
        <f>"9781118298435"</f>
        <v>9781118298435</v>
      </c>
      <c r="G4182" t="str">
        <f>"9781118298411"</f>
        <v>9781118298411</v>
      </c>
      <c r="H4182" t="s">
        <v>538</v>
      </c>
      <c r="I4182">
        <v>620.10599999999999</v>
      </c>
      <c r="J4182" t="s">
        <v>8637</v>
      </c>
      <c r="K4182" t="s">
        <v>44</v>
      </c>
      <c r="N4182" t="s">
        <v>45</v>
      </c>
      <c r="O4182" t="s">
        <v>46</v>
      </c>
      <c r="P4182" t="s">
        <v>45</v>
      </c>
      <c r="Q4182" t="s">
        <v>47</v>
      </c>
      <c r="R4182" t="s">
        <v>44</v>
      </c>
      <c r="S4182">
        <v>0</v>
      </c>
      <c r="W4182" s="3">
        <v>0</v>
      </c>
      <c r="X4182" t="s">
        <v>49</v>
      </c>
      <c r="Y4182">
        <v>0</v>
      </c>
      <c r="Z4182">
        <v>1</v>
      </c>
      <c r="AA4182" t="s">
        <v>8638</v>
      </c>
      <c r="AB4182">
        <v>10</v>
      </c>
      <c r="AC4182" t="s">
        <v>49</v>
      </c>
      <c r="AD4182">
        <v>0</v>
      </c>
      <c r="AE4182">
        <v>11123676</v>
      </c>
      <c r="AF4182" t="s">
        <v>50</v>
      </c>
      <c r="AG4182" t="s">
        <v>7910</v>
      </c>
    </row>
    <row r="4183" spans="1:33" x14ac:dyDescent="0.35">
      <c r="A4183" s="1">
        <v>44617.568055555559</v>
      </c>
      <c r="B4183">
        <v>1446262</v>
      </c>
      <c r="C4183" t="s">
        <v>8639</v>
      </c>
      <c r="D4183" t="s">
        <v>76</v>
      </c>
      <c r="E4183" s="2">
        <v>41122</v>
      </c>
      <c r="F4183" t="str">
        <f>"9781466517004"</f>
        <v>9781466517004</v>
      </c>
      <c r="G4183" t="str">
        <f>"9781439874608"</f>
        <v>9781439874608</v>
      </c>
      <c r="H4183" t="s">
        <v>8640</v>
      </c>
      <c r="I4183">
        <v>620.10599999999999</v>
      </c>
      <c r="J4183" t="s">
        <v>8641</v>
      </c>
      <c r="K4183" t="s">
        <v>44</v>
      </c>
      <c r="N4183" t="s">
        <v>45</v>
      </c>
      <c r="O4183" t="s">
        <v>46</v>
      </c>
      <c r="P4183" t="s">
        <v>45</v>
      </c>
      <c r="Q4183" t="s">
        <v>47</v>
      </c>
      <c r="R4183" t="s">
        <v>44</v>
      </c>
      <c r="S4183">
        <v>0</v>
      </c>
      <c r="W4183" s="3">
        <v>0</v>
      </c>
      <c r="X4183" t="s">
        <v>49</v>
      </c>
      <c r="Y4183">
        <v>0</v>
      </c>
      <c r="Z4183">
        <v>1</v>
      </c>
      <c r="AA4183" t="s">
        <v>8642</v>
      </c>
      <c r="AB4183">
        <v>6</v>
      </c>
      <c r="AC4183" t="s">
        <v>49</v>
      </c>
      <c r="AD4183">
        <v>0</v>
      </c>
      <c r="AE4183">
        <v>11165967</v>
      </c>
      <c r="AF4183" t="s">
        <v>50</v>
      </c>
      <c r="AG4183" t="s">
        <v>7910</v>
      </c>
    </row>
    <row r="4184" spans="1:33" x14ac:dyDescent="0.35">
      <c r="A4184" s="1">
        <v>44617.55</v>
      </c>
      <c r="B4184">
        <v>5796941</v>
      </c>
      <c r="C4184" t="s">
        <v>7395</v>
      </c>
      <c r="D4184" t="s">
        <v>844</v>
      </c>
      <c r="E4184" s="2">
        <v>43656</v>
      </c>
      <c r="F4184" t="str">
        <f>"9781787566811"</f>
        <v>9781787566811</v>
      </c>
      <c r="G4184" t="str">
        <f>"9781787566804"</f>
        <v>9781787566804</v>
      </c>
      <c r="H4184" t="s">
        <v>900</v>
      </c>
      <c r="I4184">
        <v>337.51056</v>
      </c>
      <c r="J4184" t="s">
        <v>1794</v>
      </c>
      <c r="K4184" t="s">
        <v>44</v>
      </c>
      <c r="N4184" t="s">
        <v>45</v>
      </c>
      <c r="O4184" t="s">
        <v>46</v>
      </c>
      <c r="P4184" t="s">
        <v>45</v>
      </c>
      <c r="Q4184" t="s">
        <v>47</v>
      </c>
      <c r="R4184" t="s">
        <v>44</v>
      </c>
      <c r="S4184">
        <v>0</v>
      </c>
      <c r="W4184" s="3">
        <v>3.1712962962962958E-3</v>
      </c>
      <c r="X4184" t="s">
        <v>8643</v>
      </c>
      <c r="Y4184">
        <v>6</v>
      </c>
      <c r="Z4184">
        <v>0</v>
      </c>
      <c r="AA4184" t="s">
        <v>49</v>
      </c>
      <c r="AB4184">
        <v>0</v>
      </c>
      <c r="AC4184" t="s">
        <v>5562</v>
      </c>
      <c r="AD4184">
        <v>1</v>
      </c>
      <c r="AE4184">
        <v>-1</v>
      </c>
      <c r="AF4184" t="s">
        <v>50</v>
      </c>
      <c r="AG4184" t="s">
        <v>300</v>
      </c>
    </row>
    <row r="4185" spans="1:33" x14ac:dyDescent="0.35">
      <c r="A4185" s="1">
        <v>44617.506249999999</v>
      </c>
      <c r="B4185">
        <v>5796941</v>
      </c>
      <c r="C4185" t="s">
        <v>7395</v>
      </c>
      <c r="D4185" t="s">
        <v>844</v>
      </c>
      <c r="E4185" s="2">
        <v>43656</v>
      </c>
      <c r="F4185" t="str">
        <f>"9781787566811"</f>
        <v>9781787566811</v>
      </c>
      <c r="G4185" t="str">
        <f>"9781787566804"</f>
        <v>9781787566804</v>
      </c>
      <c r="H4185" t="s">
        <v>900</v>
      </c>
      <c r="I4185">
        <v>337.51056</v>
      </c>
      <c r="J4185" t="s">
        <v>1794</v>
      </c>
      <c r="K4185" t="s">
        <v>44</v>
      </c>
      <c r="N4185" t="s">
        <v>45</v>
      </c>
      <c r="O4185" t="s">
        <v>46</v>
      </c>
      <c r="P4185" t="s">
        <v>45</v>
      </c>
      <c r="Q4185" t="s">
        <v>47</v>
      </c>
      <c r="R4185" t="s">
        <v>44</v>
      </c>
      <c r="S4185">
        <v>0</v>
      </c>
      <c r="W4185" s="3">
        <v>2.4305555555555552E-4</v>
      </c>
      <c r="X4185" t="s">
        <v>8644</v>
      </c>
      <c r="Y4185">
        <v>5</v>
      </c>
      <c r="Z4185">
        <v>0</v>
      </c>
      <c r="AA4185" t="s">
        <v>49</v>
      </c>
      <c r="AB4185">
        <v>0</v>
      </c>
      <c r="AC4185" t="s">
        <v>49</v>
      </c>
      <c r="AD4185">
        <v>0</v>
      </c>
      <c r="AE4185">
        <v>-1</v>
      </c>
      <c r="AF4185" t="s">
        <v>50</v>
      </c>
      <c r="AG4185" t="s">
        <v>300</v>
      </c>
    </row>
    <row r="4186" spans="1:33" x14ac:dyDescent="0.35">
      <c r="A4186" s="1">
        <v>44617.504861111112</v>
      </c>
      <c r="B4186">
        <v>5796941</v>
      </c>
      <c r="C4186" t="s">
        <v>7395</v>
      </c>
      <c r="D4186" t="s">
        <v>844</v>
      </c>
      <c r="E4186" s="2">
        <v>43656</v>
      </c>
      <c r="F4186" t="str">
        <f>"9781787566811"</f>
        <v>9781787566811</v>
      </c>
      <c r="G4186" t="str">
        <f>"9781787566804"</f>
        <v>9781787566804</v>
      </c>
      <c r="H4186" t="s">
        <v>900</v>
      </c>
      <c r="I4186">
        <v>337.51056</v>
      </c>
      <c r="J4186" t="s">
        <v>1794</v>
      </c>
      <c r="K4186" t="s">
        <v>44</v>
      </c>
      <c r="N4186" t="s">
        <v>45</v>
      </c>
      <c r="O4186" t="s">
        <v>46</v>
      </c>
      <c r="P4186" t="s">
        <v>45</v>
      </c>
      <c r="Q4186" t="s">
        <v>47</v>
      </c>
      <c r="R4186" t="s">
        <v>44</v>
      </c>
      <c r="S4186">
        <v>0</v>
      </c>
      <c r="W4186" s="3">
        <v>1.9930555555555556E-2</v>
      </c>
      <c r="X4186" t="s">
        <v>8645</v>
      </c>
      <c r="Y4186">
        <v>9</v>
      </c>
      <c r="Z4186">
        <v>0</v>
      </c>
      <c r="AA4186" t="s">
        <v>49</v>
      </c>
      <c r="AB4186">
        <v>0</v>
      </c>
      <c r="AC4186" t="s">
        <v>49</v>
      </c>
      <c r="AD4186">
        <v>0</v>
      </c>
      <c r="AE4186">
        <v>-1</v>
      </c>
      <c r="AF4186" t="s">
        <v>50</v>
      </c>
      <c r="AG4186" t="s">
        <v>8250</v>
      </c>
    </row>
    <row r="4187" spans="1:33" x14ac:dyDescent="0.35">
      <c r="A4187" s="1">
        <v>44617.416666666664</v>
      </c>
      <c r="B4187">
        <v>6210937</v>
      </c>
      <c r="C4187" t="s">
        <v>8539</v>
      </c>
      <c r="D4187" t="s">
        <v>213</v>
      </c>
      <c r="E4187" s="2">
        <v>43979</v>
      </c>
      <c r="F4187" t="str">
        <f>"9780128223437"</f>
        <v>9780128223437</v>
      </c>
      <c r="G4187" t="str">
        <f>"9780128223420"</f>
        <v>9780128223420</v>
      </c>
      <c r="H4187" t="s">
        <v>546</v>
      </c>
      <c r="I4187">
        <v>621.39700000000005</v>
      </c>
      <c r="J4187" t="s">
        <v>8540</v>
      </c>
      <c r="K4187" t="s">
        <v>55</v>
      </c>
      <c r="N4187" t="s">
        <v>79</v>
      </c>
      <c r="P4187" t="s">
        <v>80</v>
      </c>
      <c r="Q4187" t="s">
        <v>47</v>
      </c>
      <c r="R4187" t="s">
        <v>44</v>
      </c>
      <c r="S4187">
        <v>0</v>
      </c>
      <c r="W4187" s="3">
        <v>4.5486111111111109E-3</v>
      </c>
      <c r="X4187" t="s">
        <v>8646</v>
      </c>
      <c r="Y4187">
        <v>5</v>
      </c>
      <c r="Z4187">
        <v>0</v>
      </c>
      <c r="AA4187" t="s">
        <v>49</v>
      </c>
      <c r="AB4187">
        <v>0</v>
      </c>
      <c r="AC4187" t="s">
        <v>49</v>
      </c>
      <c r="AD4187">
        <v>0</v>
      </c>
      <c r="AE4187">
        <v>-1</v>
      </c>
      <c r="AF4187" t="s">
        <v>50</v>
      </c>
      <c r="AG4187" t="s">
        <v>7910</v>
      </c>
    </row>
    <row r="4188" spans="1:33" x14ac:dyDescent="0.35">
      <c r="A4188" s="1">
        <v>44617.414583333331</v>
      </c>
      <c r="B4188">
        <v>6210937</v>
      </c>
      <c r="C4188" t="s">
        <v>8539</v>
      </c>
      <c r="D4188" t="s">
        <v>213</v>
      </c>
      <c r="E4188" s="2">
        <v>43979</v>
      </c>
      <c r="F4188" t="str">
        <f>"9780128223437"</f>
        <v>9780128223437</v>
      </c>
      <c r="G4188" t="str">
        <f>"9780128223420"</f>
        <v>9780128223420</v>
      </c>
      <c r="H4188" t="s">
        <v>546</v>
      </c>
      <c r="I4188">
        <v>621.39700000000005</v>
      </c>
      <c r="J4188" t="s">
        <v>8540</v>
      </c>
      <c r="K4188" t="s">
        <v>55</v>
      </c>
      <c r="N4188" t="s">
        <v>79</v>
      </c>
      <c r="P4188" t="s">
        <v>80</v>
      </c>
      <c r="Q4188" t="s">
        <v>47</v>
      </c>
      <c r="R4188" t="s">
        <v>44</v>
      </c>
      <c r="S4188">
        <v>0</v>
      </c>
      <c r="W4188" s="3">
        <v>1.1574074074074073E-4</v>
      </c>
      <c r="X4188" t="s">
        <v>196</v>
      </c>
      <c r="Y4188">
        <v>2</v>
      </c>
      <c r="Z4188">
        <v>0</v>
      </c>
      <c r="AA4188" t="s">
        <v>49</v>
      </c>
      <c r="AB4188">
        <v>0</v>
      </c>
      <c r="AC4188" t="s">
        <v>49</v>
      </c>
      <c r="AD4188">
        <v>0</v>
      </c>
      <c r="AE4188">
        <v>-1</v>
      </c>
      <c r="AF4188" t="s">
        <v>50</v>
      </c>
      <c r="AG4188" t="s">
        <v>7910</v>
      </c>
    </row>
    <row r="4189" spans="1:33" x14ac:dyDescent="0.35">
      <c r="A4189" s="1">
        <v>44617.413194444445</v>
      </c>
      <c r="B4189">
        <v>6210937</v>
      </c>
      <c r="C4189" t="s">
        <v>8539</v>
      </c>
      <c r="D4189" t="s">
        <v>213</v>
      </c>
      <c r="E4189" s="2">
        <v>43979</v>
      </c>
      <c r="F4189" t="str">
        <f>"9780128223437"</f>
        <v>9780128223437</v>
      </c>
      <c r="G4189" t="str">
        <f>"9780128223420"</f>
        <v>9780128223420</v>
      </c>
      <c r="H4189" t="s">
        <v>546</v>
      </c>
      <c r="I4189">
        <v>621.39700000000005</v>
      </c>
      <c r="J4189" t="s">
        <v>8540</v>
      </c>
      <c r="K4189" t="s">
        <v>55</v>
      </c>
      <c r="N4189" t="s">
        <v>79</v>
      </c>
      <c r="P4189" t="s">
        <v>80</v>
      </c>
      <c r="Q4189" t="s">
        <v>47</v>
      </c>
      <c r="R4189" t="s">
        <v>44</v>
      </c>
      <c r="S4189">
        <v>0</v>
      </c>
      <c r="W4189" s="3">
        <v>1.8055555555555557E-3</v>
      </c>
      <c r="X4189" t="s">
        <v>8647</v>
      </c>
      <c r="Y4189">
        <v>8</v>
      </c>
      <c r="Z4189">
        <v>0</v>
      </c>
      <c r="AA4189" t="s">
        <v>49</v>
      </c>
      <c r="AB4189">
        <v>0</v>
      </c>
      <c r="AC4189" t="s">
        <v>49</v>
      </c>
      <c r="AD4189">
        <v>0</v>
      </c>
      <c r="AE4189">
        <v>-1</v>
      </c>
      <c r="AF4189" t="s">
        <v>50</v>
      </c>
      <c r="AG4189" t="s">
        <v>7910</v>
      </c>
    </row>
    <row r="4190" spans="1:33" x14ac:dyDescent="0.35">
      <c r="A4190" s="1">
        <v>44617.411111111112</v>
      </c>
      <c r="B4190">
        <v>6033311</v>
      </c>
      <c r="C4190" t="s">
        <v>8449</v>
      </c>
      <c r="D4190" t="s">
        <v>65</v>
      </c>
      <c r="E4190" s="2">
        <v>43864</v>
      </c>
      <c r="F4190" t="str">
        <f>"9780128172483"</f>
        <v>9780128172483</v>
      </c>
      <c r="G4190" t="str">
        <f>"9780128172476"</f>
        <v>9780128172476</v>
      </c>
      <c r="H4190" t="s">
        <v>8450</v>
      </c>
      <c r="I4190">
        <v>621.04200000000003</v>
      </c>
      <c r="J4190" t="s">
        <v>8451</v>
      </c>
      <c r="K4190" t="s">
        <v>55</v>
      </c>
      <c r="Q4190" t="s">
        <v>47</v>
      </c>
      <c r="R4190" t="s">
        <v>44</v>
      </c>
      <c r="S4190">
        <v>0</v>
      </c>
      <c r="W4190" s="3">
        <v>2.3148148148148146E-4</v>
      </c>
      <c r="X4190" t="s">
        <v>8648</v>
      </c>
      <c r="Y4190">
        <v>7</v>
      </c>
      <c r="Z4190">
        <v>0</v>
      </c>
      <c r="AA4190" t="s">
        <v>49</v>
      </c>
      <c r="AB4190">
        <v>0</v>
      </c>
      <c r="AC4190" t="s">
        <v>49</v>
      </c>
      <c r="AD4190">
        <v>0</v>
      </c>
      <c r="AE4190">
        <v>-1</v>
      </c>
      <c r="AF4190" t="s">
        <v>50</v>
      </c>
      <c r="AG4190" t="s">
        <v>7104</v>
      </c>
    </row>
    <row r="4191" spans="1:33" x14ac:dyDescent="0.35">
      <c r="A4191" s="1">
        <v>44617.375</v>
      </c>
      <c r="B4191">
        <v>6033311</v>
      </c>
      <c r="C4191" t="s">
        <v>8449</v>
      </c>
      <c r="D4191" t="s">
        <v>65</v>
      </c>
      <c r="E4191" s="2">
        <v>43864</v>
      </c>
      <c r="F4191" t="str">
        <f>"9780128172483"</f>
        <v>9780128172483</v>
      </c>
      <c r="G4191" t="str">
        <f>"9780128172476"</f>
        <v>9780128172476</v>
      </c>
      <c r="H4191" t="s">
        <v>8450</v>
      </c>
      <c r="I4191">
        <v>621.04200000000003</v>
      </c>
      <c r="J4191" t="s">
        <v>8451</v>
      </c>
      <c r="K4191" t="s">
        <v>55</v>
      </c>
      <c r="Q4191" t="s">
        <v>47</v>
      </c>
      <c r="R4191" t="s">
        <v>44</v>
      </c>
      <c r="S4191">
        <v>0</v>
      </c>
      <c r="W4191" s="3">
        <v>5.7870370370370366E-5</v>
      </c>
      <c r="X4191" t="s">
        <v>196</v>
      </c>
      <c r="Y4191">
        <v>2</v>
      </c>
      <c r="Z4191">
        <v>0</v>
      </c>
      <c r="AA4191" t="s">
        <v>49</v>
      </c>
      <c r="AB4191">
        <v>0</v>
      </c>
      <c r="AC4191" t="s">
        <v>49</v>
      </c>
      <c r="AD4191">
        <v>0</v>
      </c>
      <c r="AE4191">
        <v>-1</v>
      </c>
      <c r="AF4191" t="s">
        <v>50</v>
      </c>
      <c r="AG4191" t="s">
        <v>8588</v>
      </c>
    </row>
    <row r="4192" spans="1:33" x14ac:dyDescent="0.35">
      <c r="A4192" s="1">
        <v>44617.375</v>
      </c>
      <c r="B4192">
        <v>6033311</v>
      </c>
      <c r="C4192" t="s">
        <v>8449</v>
      </c>
      <c r="D4192" t="s">
        <v>65</v>
      </c>
      <c r="E4192" s="2">
        <v>43864</v>
      </c>
      <c r="F4192" t="str">
        <f>"9780128172483"</f>
        <v>9780128172483</v>
      </c>
      <c r="G4192" t="str">
        <f>"9780128172476"</f>
        <v>9780128172476</v>
      </c>
      <c r="H4192" t="s">
        <v>8450</v>
      </c>
      <c r="I4192">
        <v>621.04200000000003</v>
      </c>
      <c r="J4192" t="s">
        <v>8451</v>
      </c>
      <c r="K4192" t="s">
        <v>55</v>
      </c>
      <c r="Q4192" t="s">
        <v>47</v>
      </c>
      <c r="R4192" t="s">
        <v>44</v>
      </c>
      <c r="S4192">
        <v>0</v>
      </c>
      <c r="W4192" s="3">
        <v>2.7893518518518519E-3</v>
      </c>
      <c r="X4192" t="s">
        <v>8649</v>
      </c>
      <c r="Y4192">
        <v>12</v>
      </c>
      <c r="Z4192">
        <v>0</v>
      </c>
      <c r="AA4192" t="s">
        <v>49</v>
      </c>
      <c r="AB4192">
        <v>0</v>
      </c>
      <c r="AC4192" t="s">
        <v>49</v>
      </c>
      <c r="AD4192">
        <v>0</v>
      </c>
      <c r="AE4192">
        <v>-1</v>
      </c>
      <c r="AF4192" t="s">
        <v>50</v>
      </c>
      <c r="AG4192" t="s">
        <v>7910</v>
      </c>
    </row>
    <row r="4193" spans="1:33" x14ac:dyDescent="0.35">
      <c r="A4193" s="1">
        <v>44616.972916666666</v>
      </c>
      <c r="B4193">
        <v>4914179</v>
      </c>
      <c r="C4193" t="s">
        <v>7239</v>
      </c>
      <c r="D4193" t="s">
        <v>59</v>
      </c>
      <c r="E4193" s="2">
        <v>42961</v>
      </c>
      <c r="F4193" t="str">
        <f>"9781119420705"</f>
        <v>9781119420705</v>
      </c>
      <c r="G4193" t="str">
        <f>"9781118116173"</f>
        <v>9781118116173</v>
      </c>
      <c r="H4193" t="s">
        <v>6624</v>
      </c>
      <c r="I4193">
        <v>6.22</v>
      </c>
      <c r="J4193" t="s">
        <v>7240</v>
      </c>
      <c r="K4193" t="s">
        <v>44</v>
      </c>
      <c r="N4193" t="s">
        <v>45</v>
      </c>
      <c r="O4193" t="s">
        <v>46</v>
      </c>
      <c r="P4193" t="s">
        <v>45</v>
      </c>
      <c r="Q4193" t="s">
        <v>47</v>
      </c>
      <c r="R4193" t="s">
        <v>44</v>
      </c>
      <c r="S4193">
        <v>0</v>
      </c>
      <c r="W4193" s="3">
        <v>8.1018518518518516E-5</v>
      </c>
      <c r="X4193" t="s">
        <v>121</v>
      </c>
      <c r="Y4193">
        <v>1</v>
      </c>
      <c r="Z4193">
        <v>0</v>
      </c>
      <c r="AA4193" t="s">
        <v>49</v>
      </c>
      <c r="AB4193">
        <v>0</v>
      </c>
      <c r="AC4193" t="s">
        <v>49</v>
      </c>
      <c r="AD4193">
        <v>0</v>
      </c>
      <c r="AE4193">
        <v>11412425</v>
      </c>
      <c r="AF4193" t="s">
        <v>50</v>
      </c>
      <c r="AG4193" t="s">
        <v>7910</v>
      </c>
    </row>
    <row r="4194" spans="1:33" x14ac:dyDescent="0.35">
      <c r="A4194" s="1">
        <v>44616.865277777775</v>
      </c>
      <c r="B4194">
        <v>5796941</v>
      </c>
      <c r="C4194" t="s">
        <v>7395</v>
      </c>
      <c r="D4194" t="s">
        <v>844</v>
      </c>
      <c r="E4194" s="2">
        <v>43656</v>
      </c>
      <c r="F4194" t="str">
        <f>"9781787566811"</f>
        <v>9781787566811</v>
      </c>
      <c r="G4194" t="str">
        <f>"9781787566804"</f>
        <v>9781787566804</v>
      </c>
      <c r="H4194" t="s">
        <v>900</v>
      </c>
      <c r="I4194">
        <v>337.51056</v>
      </c>
      <c r="J4194" t="s">
        <v>1794</v>
      </c>
      <c r="K4194" t="s">
        <v>44</v>
      </c>
      <c r="N4194" t="s">
        <v>45</v>
      </c>
      <c r="O4194" t="s">
        <v>46</v>
      </c>
      <c r="P4194" t="s">
        <v>45</v>
      </c>
      <c r="Q4194" t="s">
        <v>47</v>
      </c>
      <c r="R4194" t="s">
        <v>44</v>
      </c>
      <c r="S4194">
        <v>0</v>
      </c>
      <c r="W4194" s="3">
        <v>2.0277777777777777E-2</v>
      </c>
      <c r="X4194" t="s">
        <v>8650</v>
      </c>
      <c r="Y4194">
        <v>7</v>
      </c>
      <c r="Z4194">
        <v>0</v>
      </c>
      <c r="AA4194" t="s">
        <v>49</v>
      </c>
      <c r="AB4194">
        <v>0</v>
      </c>
      <c r="AC4194" t="s">
        <v>49</v>
      </c>
      <c r="AD4194">
        <v>0</v>
      </c>
      <c r="AE4194">
        <v>-1</v>
      </c>
      <c r="AF4194" t="s">
        <v>50</v>
      </c>
      <c r="AG4194" t="s">
        <v>8250</v>
      </c>
    </row>
    <row r="4195" spans="1:33" x14ac:dyDescent="0.35">
      <c r="A4195" s="1">
        <v>44616.832638888889</v>
      </c>
      <c r="B4195">
        <v>5796941</v>
      </c>
      <c r="C4195" t="s">
        <v>7395</v>
      </c>
      <c r="D4195" t="s">
        <v>844</v>
      </c>
      <c r="E4195" s="2">
        <v>43656</v>
      </c>
      <c r="F4195" t="str">
        <f>"9781787566811"</f>
        <v>9781787566811</v>
      </c>
      <c r="G4195" t="str">
        <f>"9781787566804"</f>
        <v>9781787566804</v>
      </c>
      <c r="H4195" t="s">
        <v>900</v>
      </c>
      <c r="I4195">
        <v>337.51056</v>
      </c>
      <c r="J4195" t="s">
        <v>1794</v>
      </c>
      <c r="K4195" t="s">
        <v>44</v>
      </c>
      <c r="N4195" t="s">
        <v>45</v>
      </c>
      <c r="O4195" t="s">
        <v>46</v>
      </c>
      <c r="P4195" t="s">
        <v>45</v>
      </c>
      <c r="Q4195" t="s">
        <v>47</v>
      </c>
      <c r="R4195" t="s">
        <v>44</v>
      </c>
      <c r="S4195">
        <v>0</v>
      </c>
      <c r="W4195" s="3">
        <v>5.7870370370370366E-5</v>
      </c>
      <c r="X4195" t="s">
        <v>196</v>
      </c>
      <c r="Y4195">
        <v>2</v>
      </c>
      <c r="Z4195">
        <v>0</v>
      </c>
      <c r="AA4195" t="s">
        <v>49</v>
      </c>
      <c r="AB4195">
        <v>0</v>
      </c>
      <c r="AC4195" t="s">
        <v>49</v>
      </c>
      <c r="AD4195">
        <v>0</v>
      </c>
      <c r="AE4195">
        <v>-1</v>
      </c>
      <c r="AF4195" t="s">
        <v>50</v>
      </c>
      <c r="AG4195" t="s">
        <v>8250</v>
      </c>
    </row>
    <row r="4196" spans="1:33" x14ac:dyDescent="0.35">
      <c r="A4196" s="1">
        <v>44616.798611111109</v>
      </c>
      <c r="B4196">
        <v>5796941</v>
      </c>
      <c r="C4196" t="s">
        <v>7395</v>
      </c>
      <c r="D4196" t="s">
        <v>844</v>
      </c>
      <c r="E4196" s="2">
        <v>43656</v>
      </c>
      <c r="F4196" t="str">
        <f>"9781787566811"</f>
        <v>9781787566811</v>
      </c>
      <c r="G4196" t="str">
        <f>"9781787566804"</f>
        <v>9781787566804</v>
      </c>
      <c r="H4196" t="s">
        <v>900</v>
      </c>
      <c r="I4196">
        <v>337.51056</v>
      </c>
      <c r="J4196" t="s">
        <v>1794</v>
      </c>
      <c r="K4196" t="s">
        <v>44</v>
      </c>
      <c r="N4196" t="s">
        <v>45</v>
      </c>
      <c r="O4196" t="s">
        <v>46</v>
      </c>
      <c r="P4196" t="s">
        <v>45</v>
      </c>
      <c r="Q4196" t="s">
        <v>47</v>
      </c>
      <c r="R4196" t="s">
        <v>44</v>
      </c>
      <c r="S4196">
        <v>0</v>
      </c>
      <c r="W4196" s="3">
        <v>1.1701388888888891E-2</v>
      </c>
      <c r="X4196" t="s">
        <v>8651</v>
      </c>
      <c r="Y4196">
        <v>19</v>
      </c>
      <c r="Z4196">
        <v>0</v>
      </c>
      <c r="AA4196" t="s">
        <v>49</v>
      </c>
      <c r="AB4196">
        <v>0</v>
      </c>
      <c r="AC4196" t="s">
        <v>49</v>
      </c>
      <c r="AD4196">
        <v>0</v>
      </c>
      <c r="AE4196">
        <v>-1</v>
      </c>
      <c r="AF4196" t="s">
        <v>50</v>
      </c>
      <c r="AG4196" t="s">
        <v>1816</v>
      </c>
    </row>
    <row r="4197" spans="1:33" x14ac:dyDescent="0.35">
      <c r="A4197" s="1">
        <v>44616.773611111108</v>
      </c>
      <c r="B4197">
        <v>1124090</v>
      </c>
      <c r="C4197" t="s">
        <v>8652</v>
      </c>
      <c r="D4197" t="s">
        <v>59</v>
      </c>
      <c r="E4197" s="2">
        <v>41269</v>
      </c>
      <c r="F4197" t="str">
        <f>"9781118580110"</f>
        <v>9781118580110</v>
      </c>
      <c r="G4197" t="str">
        <f>"9781848214422"</f>
        <v>9781848214422</v>
      </c>
      <c r="H4197" t="s">
        <v>8653</v>
      </c>
      <c r="I4197">
        <v>620.00450000000001</v>
      </c>
      <c r="J4197" t="s">
        <v>8654</v>
      </c>
      <c r="K4197" t="s">
        <v>44</v>
      </c>
      <c r="N4197" t="s">
        <v>45</v>
      </c>
      <c r="O4197" t="s">
        <v>46</v>
      </c>
      <c r="P4197" t="s">
        <v>45</v>
      </c>
      <c r="Q4197" t="s">
        <v>47</v>
      </c>
      <c r="R4197" t="s">
        <v>44</v>
      </c>
      <c r="S4197">
        <v>0</v>
      </c>
      <c r="W4197" s="3">
        <v>2.5462962962962961E-3</v>
      </c>
      <c r="X4197" t="s">
        <v>8655</v>
      </c>
      <c r="Y4197">
        <v>5</v>
      </c>
      <c r="Z4197">
        <v>0</v>
      </c>
      <c r="AA4197" t="s">
        <v>49</v>
      </c>
      <c r="AB4197">
        <v>0</v>
      </c>
      <c r="AC4197" t="s">
        <v>49</v>
      </c>
      <c r="AD4197">
        <v>0</v>
      </c>
      <c r="AE4197">
        <v>10658484</v>
      </c>
      <c r="AF4197" t="s">
        <v>50</v>
      </c>
      <c r="AG4197" t="s">
        <v>8576</v>
      </c>
    </row>
    <row r="4198" spans="1:33" x14ac:dyDescent="0.35">
      <c r="A4198" s="1">
        <v>44616.761805555558</v>
      </c>
      <c r="B4198">
        <v>5796941</v>
      </c>
      <c r="C4198" t="s">
        <v>7395</v>
      </c>
      <c r="D4198" t="s">
        <v>844</v>
      </c>
      <c r="E4198" s="2">
        <v>43656</v>
      </c>
      <c r="F4198" t="str">
        <f>"9781787566811"</f>
        <v>9781787566811</v>
      </c>
      <c r="G4198" t="str">
        <f>"9781787566804"</f>
        <v>9781787566804</v>
      </c>
      <c r="H4198" t="s">
        <v>900</v>
      </c>
      <c r="I4198">
        <v>337.51056</v>
      </c>
      <c r="J4198" t="s">
        <v>1794</v>
      </c>
      <c r="K4198" t="s">
        <v>44</v>
      </c>
      <c r="N4198" t="s">
        <v>45</v>
      </c>
      <c r="O4198" t="s">
        <v>46</v>
      </c>
      <c r="P4198" t="s">
        <v>45</v>
      </c>
      <c r="Q4198" t="s">
        <v>47</v>
      </c>
      <c r="R4198" t="s">
        <v>44</v>
      </c>
      <c r="S4198">
        <v>0</v>
      </c>
      <c r="W4198" s="3">
        <v>1.2256944444444444E-2</v>
      </c>
      <c r="X4198" t="s">
        <v>8656</v>
      </c>
      <c r="Y4198">
        <v>28</v>
      </c>
      <c r="Z4198">
        <v>0</v>
      </c>
      <c r="AA4198" t="s">
        <v>49</v>
      </c>
      <c r="AB4198">
        <v>0</v>
      </c>
      <c r="AC4198" t="s">
        <v>49</v>
      </c>
      <c r="AD4198">
        <v>0</v>
      </c>
      <c r="AE4198">
        <v>-1</v>
      </c>
      <c r="AF4198" t="s">
        <v>50</v>
      </c>
      <c r="AG4198" t="s">
        <v>1816</v>
      </c>
    </row>
    <row r="4199" spans="1:33" x14ac:dyDescent="0.35">
      <c r="A4199" s="1">
        <v>44616.609722222223</v>
      </c>
      <c r="B4199">
        <v>4883043</v>
      </c>
      <c r="C4199" t="s">
        <v>8657</v>
      </c>
      <c r="D4199" t="s">
        <v>59</v>
      </c>
      <c r="E4199" s="2">
        <v>42933</v>
      </c>
      <c r="F4199" t="str">
        <f>"9781119265283"</f>
        <v>9781119265283</v>
      </c>
      <c r="G4199" t="str">
        <f>"9781119265269"</f>
        <v>9781119265269</v>
      </c>
      <c r="H4199" t="s">
        <v>214</v>
      </c>
      <c r="I4199">
        <v>540</v>
      </c>
      <c r="J4199" t="s">
        <v>8658</v>
      </c>
      <c r="K4199" t="s">
        <v>44</v>
      </c>
      <c r="N4199" t="s">
        <v>45</v>
      </c>
      <c r="O4199" t="s">
        <v>46</v>
      </c>
      <c r="P4199" t="s">
        <v>45</v>
      </c>
      <c r="Q4199" t="s">
        <v>47</v>
      </c>
      <c r="R4199" t="s">
        <v>44</v>
      </c>
      <c r="S4199">
        <v>0</v>
      </c>
      <c r="W4199" s="3">
        <v>2.5462962962962961E-4</v>
      </c>
      <c r="X4199" t="s">
        <v>3360</v>
      </c>
      <c r="Y4199">
        <v>4</v>
      </c>
      <c r="Z4199">
        <v>0</v>
      </c>
      <c r="AA4199" t="s">
        <v>49</v>
      </c>
      <c r="AB4199">
        <v>0</v>
      </c>
      <c r="AC4199" t="s">
        <v>49</v>
      </c>
      <c r="AD4199">
        <v>0</v>
      </c>
      <c r="AE4199">
        <v>11400652</v>
      </c>
      <c r="AF4199" t="s">
        <v>50</v>
      </c>
      <c r="AG4199" t="s">
        <v>8546</v>
      </c>
    </row>
    <row r="4200" spans="1:33" x14ac:dyDescent="0.35">
      <c r="A4200" s="1">
        <v>44616.55</v>
      </c>
      <c r="B4200">
        <v>588040</v>
      </c>
      <c r="C4200" t="s">
        <v>8659</v>
      </c>
      <c r="D4200" t="s">
        <v>8660</v>
      </c>
      <c r="E4200" s="2">
        <v>39814</v>
      </c>
      <c r="F4200" t="str">
        <f>"9789350432228"</f>
        <v>9789350432228</v>
      </c>
      <c r="G4200" t="str">
        <f>"9789350245682"</f>
        <v>9789350245682</v>
      </c>
      <c r="H4200" t="s">
        <v>60</v>
      </c>
      <c r="I4200" t="s">
        <v>8661</v>
      </c>
      <c r="J4200" t="s">
        <v>8662</v>
      </c>
      <c r="K4200" t="s">
        <v>44</v>
      </c>
      <c r="N4200" t="s">
        <v>45</v>
      </c>
      <c r="O4200" t="s">
        <v>46</v>
      </c>
      <c r="P4200" t="s">
        <v>45</v>
      </c>
      <c r="Q4200" t="s">
        <v>47</v>
      </c>
      <c r="R4200" t="s">
        <v>44</v>
      </c>
      <c r="S4200">
        <v>0</v>
      </c>
      <c r="W4200" s="3">
        <v>9.8379629629629642E-4</v>
      </c>
      <c r="X4200" t="s">
        <v>8663</v>
      </c>
      <c r="Y4200">
        <v>13</v>
      </c>
      <c r="Z4200">
        <v>0</v>
      </c>
      <c r="AA4200" t="s">
        <v>49</v>
      </c>
      <c r="AB4200">
        <v>0</v>
      </c>
      <c r="AC4200" t="s">
        <v>49</v>
      </c>
      <c r="AD4200">
        <v>0</v>
      </c>
      <c r="AE4200">
        <v>10415102</v>
      </c>
      <c r="AF4200" t="s">
        <v>50</v>
      </c>
      <c r="AG4200" t="s">
        <v>7910</v>
      </c>
    </row>
    <row r="4201" spans="1:33" x14ac:dyDescent="0.35">
      <c r="A4201" s="1">
        <v>44616.549305555556</v>
      </c>
      <c r="B4201">
        <v>2122288</v>
      </c>
      <c r="C4201" t="s">
        <v>8664</v>
      </c>
      <c r="D4201" t="s">
        <v>844</v>
      </c>
      <c r="E4201" s="2">
        <v>42205</v>
      </c>
      <c r="F4201" t="str">
        <f>"9781784416492"</f>
        <v>9781784416492</v>
      </c>
      <c r="G4201" t="str">
        <f>"9781784416508"</f>
        <v>9781784416508</v>
      </c>
      <c r="H4201" t="s">
        <v>60</v>
      </c>
      <c r="I4201">
        <v>657</v>
      </c>
      <c r="J4201" t="s">
        <v>8665</v>
      </c>
      <c r="K4201" t="s">
        <v>44</v>
      </c>
      <c r="N4201" t="s">
        <v>45</v>
      </c>
      <c r="O4201" t="s">
        <v>46</v>
      </c>
      <c r="P4201" t="s">
        <v>45</v>
      </c>
      <c r="Q4201" t="s">
        <v>47</v>
      </c>
      <c r="R4201" t="s">
        <v>44</v>
      </c>
      <c r="S4201">
        <v>0</v>
      </c>
      <c r="W4201" s="3">
        <v>6.5972222222222213E-4</v>
      </c>
      <c r="X4201" t="s">
        <v>8666</v>
      </c>
      <c r="Y4201">
        <v>13</v>
      </c>
      <c r="Z4201">
        <v>0</v>
      </c>
      <c r="AA4201" t="s">
        <v>49</v>
      </c>
      <c r="AB4201">
        <v>0</v>
      </c>
      <c r="AC4201" t="s">
        <v>49</v>
      </c>
      <c r="AD4201">
        <v>0</v>
      </c>
      <c r="AE4201">
        <v>11083233</v>
      </c>
      <c r="AF4201" t="s">
        <v>50</v>
      </c>
      <c r="AG4201" t="s">
        <v>7910</v>
      </c>
    </row>
    <row r="4202" spans="1:33" x14ac:dyDescent="0.35">
      <c r="A4202" s="1">
        <v>44616.476388888892</v>
      </c>
      <c r="B4202">
        <v>589099</v>
      </c>
      <c r="C4202" t="s">
        <v>8531</v>
      </c>
      <c r="D4202" t="s">
        <v>59</v>
      </c>
      <c r="E4202" s="2">
        <v>40498</v>
      </c>
      <c r="F4202" t="str">
        <f>"9780470825624"</f>
        <v>9780470825624</v>
      </c>
      <c r="G4202" t="str">
        <f>"9780470825617"</f>
        <v>9780470825617</v>
      </c>
      <c r="H4202" t="s">
        <v>546</v>
      </c>
      <c r="I4202">
        <v>621.38400000000001</v>
      </c>
      <c r="J4202" t="s">
        <v>8532</v>
      </c>
      <c r="K4202" t="s">
        <v>44</v>
      </c>
      <c r="N4202" t="s">
        <v>45</v>
      </c>
      <c r="O4202" t="s">
        <v>46</v>
      </c>
      <c r="P4202" t="s">
        <v>45</v>
      </c>
      <c r="Q4202" t="s">
        <v>47</v>
      </c>
      <c r="R4202" t="s">
        <v>44</v>
      </c>
      <c r="S4202">
        <v>0</v>
      </c>
      <c r="W4202" s="3">
        <v>9.5833333333333343E-3</v>
      </c>
      <c r="X4202" t="s">
        <v>8667</v>
      </c>
      <c r="Y4202">
        <v>28</v>
      </c>
      <c r="Z4202">
        <v>0</v>
      </c>
      <c r="AA4202" t="s">
        <v>49</v>
      </c>
      <c r="AB4202">
        <v>0</v>
      </c>
      <c r="AC4202" t="s">
        <v>49</v>
      </c>
      <c r="AD4202">
        <v>0</v>
      </c>
      <c r="AE4202">
        <v>10412611</v>
      </c>
      <c r="AF4202" t="s">
        <v>50</v>
      </c>
      <c r="AG4202" t="s">
        <v>7910</v>
      </c>
    </row>
    <row r="4203" spans="1:33" x14ac:dyDescent="0.35">
      <c r="A4203" s="1">
        <v>44616.368055555555</v>
      </c>
      <c r="B4203">
        <v>589099</v>
      </c>
      <c r="C4203" t="s">
        <v>8531</v>
      </c>
      <c r="D4203" t="s">
        <v>59</v>
      </c>
      <c r="E4203" s="2">
        <v>40498</v>
      </c>
      <c r="F4203" t="str">
        <f>"9780470825624"</f>
        <v>9780470825624</v>
      </c>
      <c r="G4203" t="str">
        <f>"9780470825617"</f>
        <v>9780470825617</v>
      </c>
      <c r="H4203" t="s">
        <v>546</v>
      </c>
      <c r="I4203">
        <v>621.38400000000001</v>
      </c>
      <c r="J4203" t="s">
        <v>8532</v>
      </c>
      <c r="K4203" t="s">
        <v>44</v>
      </c>
      <c r="N4203" t="s">
        <v>45</v>
      </c>
      <c r="O4203" t="s">
        <v>46</v>
      </c>
      <c r="P4203" t="s">
        <v>45</v>
      </c>
      <c r="Q4203" t="s">
        <v>47</v>
      </c>
      <c r="R4203" t="s">
        <v>44</v>
      </c>
      <c r="S4203">
        <v>0</v>
      </c>
      <c r="W4203" s="3">
        <v>2.1701388888888892E-2</v>
      </c>
      <c r="X4203" t="s">
        <v>8668</v>
      </c>
      <c r="Y4203">
        <v>19</v>
      </c>
      <c r="Z4203">
        <v>0</v>
      </c>
      <c r="AA4203" t="s">
        <v>49</v>
      </c>
      <c r="AB4203">
        <v>0</v>
      </c>
      <c r="AC4203" t="s">
        <v>49</v>
      </c>
      <c r="AD4203">
        <v>0</v>
      </c>
      <c r="AE4203">
        <v>10412611</v>
      </c>
      <c r="AF4203" t="s">
        <v>50</v>
      </c>
      <c r="AG4203" t="s">
        <v>7910</v>
      </c>
    </row>
    <row r="4204" spans="1:33" x14ac:dyDescent="0.35">
      <c r="A4204" s="1">
        <v>44616.359722222223</v>
      </c>
      <c r="B4204">
        <v>589099</v>
      </c>
      <c r="C4204" t="s">
        <v>8531</v>
      </c>
      <c r="D4204" t="s">
        <v>59</v>
      </c>
      <c r="E4204" s="2">
        <v>40498</v>
      </c>
      <c r="F4204" t="str">
        <f>"9780470825624"</f>
        <v>9780470825624</v>
      </c>
      <c r="G4204" t="str">
        <f>"9780470825617"</f>
        <v>9780470825617</v>
      </c>
      <c r="H4204" t="s">
        <v>546</v>
      </c>
      <c r="I4204">
        <v>621.38400000000001</v>
      </c>
      <c r="J4204" t="s">
        <v>8532</v>
      </c>
      <c r="K4204" t="s">
        <v>44</v>
      </c>
      <c r="N4204" t="s">
        <v>45</v>
      </c>
      <c r="O4204" t="s">
        <v>46</v>
      </c>
      <c r="P4204" t="s">
        <v>45</v>
      </c>
      <c r="Q4204" t="s">
        <v>47</v>
      </c>
      <c r="R4204" t="s">
        <v>44</v>
      </c>
      <c r="S4204">
        <v>0</v>
      </c>
      <c r="W4204" s="3">
        <v>4.8263888888888887E-3</v>
      </c>
      <c r="X4204" t="s">
        <v>8669</v>
      </c>
      <c r="Y4204">
        <v>11</v>
      </c>
      <c r="Z4204">
        <v>0</v>
      </c>
      <c r="AA4204" t="s">
        <v>49</v>
      </c>
      <c r="AB4204">
        <v>0</v>
      </c>
      <c r="AC4204" t="s">
        <v>49</v>
      </c>
      <c r="AD4204">
        <v>0</v>
      </c>
      <c r="AE4204">
        <v>10412611</v>
      </c>
      <c r="AF4204" t="s">
        <v>50</v>
      </c>
      <c r="AG4204" t="s">
        <v>7910</v>
      </c>
    </row>
    <row r="4205" spans="1:33" x14ac:dyDescent="0.35">
      <c r="A4205" s="1">
        <v>44615.862500000003</v>
      </c>
      <c r="B4205">
        <v>5796941</v>
      </c>
      <c r="C4205" t="s">
        <v>7395</v>
      </c>
      <c r="D4205" t="s">
        <v>844</v>
      </c>
      <c r="E4205" s="2">
        <v>43656</v>
      </c>
      <c r="F4205" t="str">
        <f>"9781787566811"</f>
        <v>9781787566811</v>
      </c>
      <c r="G4205" t="str">
        <f>"9781787566804"</f>
        <v>9781787566804</v>
      </c>
      <c r="H4205" t="s">
        <v>900</v>
      </c>
      <c r="I4205">
        <v>337.51056</v>
      </c>
      <c r="J4205" t="s">
        <v>1794</v>
      </c>
      <c r="K4205" t="s">
        <v>44</v>
      </c>
      <c r="N4205" t="s">
        <v>45</v>
      </c>
      <c r="O4205" t="s">
        <v>46</v>
      </c>
      <c r="P4205" t="s">
        <v>45</v>
      </c>
      <c r="Q4205" t="s">
        <v>47</v>
      </c>
      <c r="R4205" t="s">
        <v>44</v>
      </c>
      <c r="S4205">
        <v>0</v>
      </c>
      <c r="W4205" s="3">
        <v>8.8657407407407417E-3</v>
      </c>
      <c r="X4205" t="s">
        <v>8670</v>
      </c>
      <c r="Y4205">
        <v>10</v>
      </c>
      <c r="Z4205">
        <v>0</v>
      </c>
      <c r="AA4205" t="s">
        <v>49</v>
      </c>
      <c r="AB4205">
        <v>0</v>
      </c>
      <c r="AC4205" t="s">
        <v>49</v>
      </c>
      <c r="AD4205">
        <v>0</v>
      </c>
      <c r="AE4205">
        <v>-1</v>
      </c>
      <c r="AF4205" t="s">
        <v>50</v>
      </c>
      <c r="AG4205" t="s">
        <v>7910</v>
      </c>
    </row>
    <row r="4206" spans="1:33" x14ac:dyDescent="0.35">
      <c r="A4206" s="1">
        <v>44615.486111111109</v>
      </c>
      <c r="B4206">
        <v>661781</v>
      </c>
      <c r="C4206" t="s">
        <v>8671</v>
      </c>
      <c r="D4206" t="s">
        <v>59</v>
      </c>
      <c r="E4206" s="2">
        <v>40623</v>
      </c>
      <c r="F4206" t="str">
        <f>"9780470684337"</f>
        <v>9780470684337</v>
      </c>
      <c r="G4206" t="str">
        <f>"9780470741887"</f>
        <v>9780470741887</v>
      </c>
      <c r="H4206" t="s">
        <v>811</v>
      </c>
      <c r="I4206" t="s">
        <v>8672</v>
      </c>
      <c r="J4206" t="s">
        <v>8673</v>
      </c>
      <c r="K4206" t="s">
        <v>44</v>
      </c>
      <c r="N4206" t="s">
        <v>45</v>
      </c>
      <c r="O4206" t="s">
        <v>46</v>
      </c>
      <c r="P4206" t="s">
        <v>45</v>
      </c>
      <c r="Q4206" t="s">
        <v>47</v>
      </c>
      <c r="R4206" t="s">
        <v>44</v>
      </c>
      <c r="S4206">
        <v>0</v>
      </c>
      <c r="W4206" s="3">
        <v>1.6087962962962963E-3</v>
      </c>
      <c r="X4206" t="s">
        <v>8674</v>
      </c>
      <c r="Y4206">
        <v>4</v>
      </c>
      <c r="Z4206">
        <v>0</v>
      </c>
      <c r="AA4206" t="s">
        <v>49</v>
      </c>
      <c r="AB4206">
        <v>0</v>
      </c>
      <c r="AC4206" t="s">
        <v>49</v>
      </c>
      <c r="AD4206">
        <v>0</v>
      </c>
      <c r="AE4206">
        <v>10510618</v>
      </c>
      <c r="AF4206" t="s">
        <v>50</v>
      </c>
      <c r="AG4206" t="s">
        <v>1476</v>
      </c>
    </row>
    <row r="4207" spans="1:33" x14ac:dyDescent="0.35">
      <c r="A4207" s="1">
        <v>44615.478472222225</v>
      </c>
      <c r="B4207">
        <v>971524</v>
      </c>
      <c r="C4207" t="s">
        <v>8675</v>
      </c>
      <c r="D4207" t="s">
        <v>8676</v>
      </c>
      <c r="E4207" s="2">
        <v>40975</v>
      </c>
      <c r="F4207" t="str">
        <f>"9781461433934"</f>
        <v>9781461433934</v>
      </c>
      <c r="G4207" t="str">
        <f>"9781489992871"</f>
        <v>9781489992871</v>
      </c>
      <c r="H4207" t="s">
        <v>8677</v>
      </c>
      <c r="I4207">
        <v>363.73919999999998</v>
      </c>
      <c r="J4207" t="s">
        <v>8678</v>
      </c>
      <c r="K4207" t="s">
        <v>55</v>
      </c>
      <c r="N4207" t="s">
        <v>79</v>
      </c>
      <c r="P4207" t="s">
        <v>97</v>
      </c>
      <c r="Q4207" t="s">
        <v>47</v>
      </c>
      <c r="R4207" t="s">
        <v>44</v>
      </c>
      <c r="S4207">
        <v>0</v>
      </c>
      <c r="W4207" s="3">
        <v>0</v>
      </c>
      <c r="X4207" t="s">
        <v>49</v>
      </c>
      <c r="Y4207">
        <v>0</v>
      </c>
      <c r="Z4207">
        <v>0</v>
      </c>
      <c r="AA4207" t="s">
        <v>49</v>
      </c>
      <c r="AB4207">
        <v>0</v>
      </c>
      <c r="AC4207" t="s">
        <v>49</v>
      </c>
      <c r="AD4207">
        <v>0</v>
      </c>
      <c r="AE4207">
        <v>10539528</v>
      </c>
      <c r="AF4207" t="s">
        <v>50</v>
      </c>
      <c r="AG4207" t="s">
        <v>1451</v>
      </c>
    </row>
    <row r="4208" spans="1:33" x14ac:dyDescent="0.35">
      <c r="A4208" s="1">
        <v>44615.445833333331</v>
      </c>
      <c r="B4208">
        <v>1727881</v>
      </c>
      <c r="C4208" t="s">
        <v>8506</v>
      </c>
      <c r="D4208" t="s">
        <v>125</v>
      </c>
      <c r="E4208" s="2">
        <v>41880</v>
      </c>
      <c r="F4208" t="str">
        <f>"9780199928460"</f>
        <v>9780199928460</v>
      </c>
      <c r="G4208" t="str">
        <f>"9780199928453"</f>
        <v>9780199928453</v>
      </c>
      <c r="H4208" t="s">
        <v>147</v>
      </c>
      <c r="I4208">
        <v>616.83000000000004</v>
      </c>
      <c r="J4208" t="s">
        <v>8507</v>
      </c>
      <c r="K4208" t="s">
        <v>44</v>
      </c>
      <c r="N4208" t="s">
        <v>45</v>
      </c>
      <c r="O4208" t="s">
        <v>46</v>
      </c>
      <c r="P4208" t="s">
        <v>45</v>
      </c>
      <c r="Q4208" t="s">
        <v>47</v>
      </c>
      <c r="R4208" t="s">
        <v>44</v>
      </c>
      <c r="S4208">
        <v>0</v>
      </c>
      <c r="W4208" s="3">
        <v>1.5046296296296297E-4</v>
      </c>
      <c r="X4208" t="s">
        <v>121</v>
      </c>
      <c r="Y4208">
        <v>1</v>
      </c>
      <c r="Z4208">
        <v>0</v>
      </c>
      <c r="AA4208" t="s">
        <v>49</v>
      </c>
      <c r="AB4208">
        <v>0</v>
      </c>
      <c r="AC4208" t="s">
        <v>49</v>
      </c>
      <c r="AD4208">
        <v>0</v>
      </c>
      <c r="AE4208">
        <v>10890703</v>
      </c>
      <c r="AF4208" t="s">
        <v>50</v>
      </c>
      <c r="AG4208" t="s">
        <v>7910</v>
      </c>
    </row>
    <row r="4209" spans="1:33" x14ac:dyDescent="0.35">
      <c r="A4209" s="1">
        <v>44615.401388888888</v>
      </c>
      <c r="B4209">
        <v>3338641</v>
      </c>
      <c r="C4209" t="s">
        <v>302</v>
      </c>
      <c r="D4209" t="s">
        <v>303</v>
      </c>
      <c r="E4209" s="2">
        <v>39143</v>
      </c>
      <c r="F4209" t="str">
        <f>"9780262282888"</f>
        <v>9780262282888</v>
      </c>
      <c r="G4209" t="str">
        <f>"9780262195577"</f>
        <v>9780262195577</v>
      </c>
      <c r="H4209" t="s">
        <v>304</v>
      </c>
      <c r="I4209" t="s">
        <v>305</v>
      </c>
      <c r="K4209" t="s">
        <v>44</v>
      </c>
      <c r="N4209" t="s">
        <v>45</v>
      </c>
      <c r="O4209" t="s">
        <v>46</v>
      </c>
      <c r="P4209" t="s">
        <v>45</v>
      </c>
      <c r="Q4209" t="s">
        <v>47</v>
      </c>
      <c r="R4209" t="s">
        <v>44</v>
      </c>
      <c r="S4209">
        <v>0</v>
      </c>
      <c r="W4209" s="3">
        <v>5.9953703703703697E-3</v>
      </c>
      <c r="X4209" t="s">
        <v>8679</v>
      </c>
      <c r="Y4209">
        <v>15</v>
      </c>
      <c r="Z4209">
        <v>0</v>
      </c>
      <c r="AA4209" t="s">
        <v>49</v>
      </c>
      <c r="AB4209">
        <v>0</v>
      </c>
      <c r="AC4209" t="s">
        <v>49</v>
      </c>
      <c r="AD4209">
        <v>0</v>
      </c>
      <c r="AE4209">
        <v>10173702</v>
      </c>
      <c r="AF4209" t="s">
        <v>50</v>
      </c>
      <c r="AG4209" t="s">
        <v>7917</v>
      </c>
    </row>
    <row r="4210" spans="1:33" x14ac:dyDescent="0.35">
      <c r="A4210" s="1">
        <v>44615.390277777777</v>
      </c>
      <c r="B4210">
        <v>5796941</v>
      </c>
      <c r="C4210" t="s">
        <v>7395</v>
      </c>
      <c r="D4210" t="s">
        <v>844</v>
      </c>
      <c r="E4210" s="2">
        <v>43656</v>
      </c>
      <c r="F4210" t="str">
        <f>"9781787566811"</f>
        <v>9781787566811</v>
      </c>
      <c r="G4210" t="str">
        <f>"9781787566804"</f>
        <v>9781787566804</v>
      </c>
      <c r="H4210" t="s">
        <v>900</v>
      </c>
      <c r="I4210">
        <v>337.51056</v>
      </c>
      <c r="J4210" t="s">
        <v>1794</v>
      </c>
      <c r="K4210" t="s">
        <v>44</v>
      </c>
      <c r="N4210" t="s">
        <v>45</v>
      </c>
      <c r="O4210" t="s">
        <v>46</v>
      </c>
      <c r="P4210" t="s">
        <v>45</v>
      </c>
      <c r="Q4210" t="s">
        <v>47</v>
      </c>
      <c r="R4210" t="s">
        <v>44</v>
      </c>
      <c r="S4210">
        <v>0</v>
      </c>
      <c r="W4210" s="3">
        <v>2.2916666666666667E-3</v>
      </c>
      <c r="X4210" t="s">
        <v>8680</v>
      </c>
      <c r="Y4210">
        <v>11</v>
      </c>
      <c r="Z4210">
        <v>0</v>
      </c>
      <c r="AA4210" t="s">
        <v>49</v>
      </c>
      <c r="AB4210">
        <v>0</v>
      </c>
      <c r="AC4210" t="s">
        <v>49</v>
      </c>
      <c r="AD4210">
        <v>0</v>
      </c>
      <c r="AE4210">
        <v>-1</v>
      </c>
      <c r="AF4210" t="s">
        <v>50</v>
      </c>
      <c r="AG4210" t="s">
        <v>7910</v>
      </c>
    </row>
    <row r="4211" spans="1:33" x14ac:dyDescent="0.35">
      <c r="A4211" s="1">
        <v>44615.387499999997</v>
      </c>
      <c r="B4211">
        <v>589099</v>
      </c>
      <c r="C4211" t="s">
        <v>8531</v>
      </c>
      <c r="D4211" t="s">
        <v>59</v>
      </c>
      <c r="E4211" s="2">
        <v>40498</v>
      </c>
      <c r="F4211" t="str">
        <f>"9780470825624"</f>
        <v>9780470825624</v>
      </c>
      <c r="G4211" t="str">
        <f>"9780470825617"</f>
        <v>9780470825617</v>
      </c>
      <c r="H4211" t="s">
        <v>546</v>
      </c>
      <c r="I4211">
        <v>621.38400000000001</v>
      </c>
      <c r="J4211" t="s">
        <v>8532</v>
      </c>
      <c r="K4211" t="s">
        <v>44</v>
      </c>
      <c r="N4211" t="s">
        <v>45</v>
      </c>
      <c r="O4211" t="s">
        <v>46</v>
      </c>
      <c r="P4211" t="s">
        <v>45</v>
      </c>
      <c r="Q4211" t="s">
        <v>47</v>
      </c>
      <c r="R4211" t="s">
        <v>44</v>
      </c>
      <c r="S4211">
        <v>0</v>
      </c>
      <c r="W4211" s="3">
        <v>1.3958333333333335E-2</v>
      </c>
      <c r="X4211" t="s">
        <v>8681</v>
      </c>
      <c r="Y4211">
        <v>23</v>
      </c>
      <c r="Z4211">
        <v>0</v>
      </c>
      <c r="AA4211" t="s">
        <v>49</v>
      </c>
      <c r="AB4211">
        <v>0</v>
      </c>
      <c r="AC4211" t="s">
        <v>49</v>
      </c>
      <c r="AD4211">
        <v>0</v>
      </c>
      <c r="AE4211">
        <v>10412611</v>
      </c>
      <c r="AF4211" t="s">
        <v>50</v>
      </c>
      <c r="AG4211" t="s">
        <v>7910</v>
      </c>
    </row>
    <row r="4212" spans="1:33" x14ac:dyDescent="0.35">
      <c r="A4212" s="1">
        <v>44614.993750000001</v>
      </c>
      <c r="B4212">
        <v>589099</v>
      </c>
      <c r="C4212" t="s">
        <v>8531</v>
      </c>
      <c r="D4212" t="s">
        <v>59</v>
      </c>
      <c r="E4212" s="2">
        <v>40498</v>
      </c>
      <c r="F4212" t="str">
        <f>"9780470825624"</f>
        <v>9780470825624</v>
      </c>
      <c r="G4212" t="str">
        <f>"9780470825617"</f>
        <v>9780470825617</v>
      </c>
      <c r="H4212" t="s">
        <v>546</v>
      </c>
      <c r="I4212">
        <v>621.38400000000001</v>
      </c>
      <c r="J4212" t="s">
        <v>8532</v>
      </c>
      <c r="K4212" t="s">
        <v>44</v>
      </c>
      <c r="N4212" t="s">
        <v>45</v>
      </c>
      <c r="O4212" t="s">
        <v>46</v>
      </c>
      <c r="P4212" t="s">
        <v>45</v>
      </c>
      <c r="Q4212" t="s">
        <v>47</v>
      </c>
      <c r="R4212" t="s">
        <v>44</v>
      </c>
      <c r="S4212">
        <v>0</v>
      </c>
      <c r="W4212" s="3">
        <v>4.7222222222222223E-3</v>
      </c>
      <c r="X4212" t="s">
        <v>8682</v>
      </c>
      <c r="Y4212">
        <v>34</v>
      </c>
      <c r="Z4212">
        <v>0</v>
      </c>
      <c r="AA4212" t="s">
        <v>49</v>
      </c>
      <c r="AB4212">
        <v>0</v>
      </c>
      <c r="AC4212" t="s">
        <v>49</v>
      </c>
      <c r="AD4212">
        <v>0</v>
      </c>
      <c r="AE4212">
        <v>10412611</v>
      </c>
      <c r="AF4212" t="s">
        <v>50</v>
      </c>
      <c r="AG4212" t="s">
        <v>7910</v>
      </c>
    </row>
    <row r="4213" spans="1:33" x14ac:dyDescent="0.35">
      <c r="A4213" s="1">
        <v>44614.95208333333</v>
      </c>
      <c r="B4213">
        <v>1754619</v>
      </c>
      <c r="C4213" t="s">
        <v>8592</v>
      </c>
      <c r="D4213" t="s">
        <v>65</v>
      </c>
      <c r="E4213" s="2">
        <v>41960</v>
      </c>
      <c r="F4213" t="str">
        <f>"9780124046023"</f>
        <v>9780124046023</v>
      </c>
      <c r="G4213" t="str">
        <f>"9780124017337"</f>
        <v>9780124017337</v>
      </c>
      <c r="H4213" t="s">
        <v>261</v>
      </c>
      <c r="I4213">
        <v>628.53</v>
      </c>
      <c r="J4213" t="s">
        <v>8593</v>
      </c>
      <c r="K4213" t="s">
        <v>44</v>
      </c>
      <c r="N4213" t="s">
        <v>45</v>
      </c>
      <c r="O4213" t="s">
        <v>46</v>
      </c>
      <c r="P4213" t="s">
        <v>45</v>
      </c>
      <c r="Q4213" t="s">
        <v>47</v>
      </c>
      <c r="R4213" t="s">
        <v>44</v>
      </c>
      <c r="S4213">
        <v>0</v>
      </c>
      <c r="W4213" s="3">
        <v>5.4513888888888884E-3</v>
      </c>
      <c r="X4213" t="s">
        <v>8683</v>
      </c>
      <c r="Y4213">
        <v>31</v>
      </c>
      <c r="Z4213">
        <v>0</v>
      </c>
      <c r="AA4213" t="s">
        <v>49</v>
      </c>
      <c r="AB4213">
        <v>0</v>
      </c>
      <c r="AC4213" t="s">
        <v>49</v>
      </c>
      <c r="AD4213">
        <v>0</v>
      </c>
      <c r="AE4213">
        <v>10900660</v>
      </c>
      <c r="AF4213" t="s">
        <v>63</v>
      </c>
      <c r="AG4213" t="s">
        <v>7910</v>
      </c>
    </row>
    <row r="4214" spans="1:33" x14ac:dyDescent="0.35">
      <c r="A4214" s="1">
        <v>44614.879166666666</v>
      </c>
      <c r="B4214">
        <v>1754619</v>
      </c>
      <c r="C4214" t="s">
        <v>8592</v>
      </c>
      <c r="D4214" t="s">
        <v>65</v>
      </c>
      <c r="E4214" s="2">
        <v>41960</v>
      </c>
      <c r="F4214" t="str">
        <f>"9780124046023"</f>
        <v>9780124046023</v>
      </c>
      <c r="G4214" t="str">
        <f>"9780124017337"</f>
        <v>9780124017337</v>
      </c>
      <c r="H4214" t="s">
        <v>261</v>
      </c>
      <c r="I4214">
        <v>628.53</v>
      </c>
      <c r="J4214" t="s">
        <v>8593</v>
      </c>
      <c r="K4214" t="s">
        <v>44</v>
      </c>
      <c r="N4214" t="s">
        <v>45</v>
      </c>
      <c r="O4214" t="s">
        <v>46</v>
      </c>
      <c r="P4214" t="s">
        <v>45</v>
      </c>
      <c r="Q4214" t="s">
        <v>47</v>
      </c>
      <c r="R4214" t="s">
        <v>44</v>
      </c>
      <c r="S4214">
        <v>0</v>
      </c>
      <c r="W4214" s="3">
        <v>1.5624999999999999E-3</v>
      </c>
      <c r="X4214" t="s">
        <v>8684</v>
      </c>
      <c r="Y4214">
        <v>6</v>
      </c>
      <c r="Z4214">
        <v>0</v>
      </c>
      <c r="AA4214" t="s">
        <v>49</v>
      </c>
      <c r="AB4214">
        <v>0</v>
      </c>
      <c r="AC4214" t="s">
        <v>49</v>
      </c>
      <c r="AD4214">
        <v>0</v>
      </c>
      <c r="AE4214">
        <v>10900660</v>
      </c>
      <c r="AF4214" t="s">
        <v>63</v>
      </c>
      <c r="AG4214" t="s">
        <v>7910</v>
      </c>
    </row>
    <row r="4215" spans="1:33" x14ac:dyDescent="0.35">
      <c r="A4215" s="1">
        <v>44614.87777777778</v>
      </c>
      <c r="B4215">
        <v>864299</v>
      </c>
      <c r="C4215" t="s">
        <v>8685</v>
      </c>
      <c r="D4215" t="s">
        <v>940</v>
      </c>
      <c r="E4215" s="2">
        <v>40569</v>
      </c>
      <c r="F4215" t="str">
        <f>"9781608052172"</f>
        <v>9781608052172</v>
      </c>
      <c r="G4215" t="str">
        <f>"9781608055821"</f>
        <v>9781608055821</v>
      </c>
      <c r="H4215" t="s">
        <v>261</v>
      </c>
      <c r="I4215" t="s">
        <v>8686</v>
      </c>
      <c r="J4215" t="s">
        <v>8687</v>
      </c>
      <c r="K4215" t="s">
        <v>44</v>
      </c>
      <c r="N4215" t="s">
        <v>45</v>
      </c>
      <c r="O4215" t="s">
        <v>46</v>
      </c>
      <c r="P4215" t="s">
        <v>45</v>
      </c>
      <c r="Q4215" t="s">
        <v>47</v>
      </c>
      <c r="R4215" t="s">
        <v>44</v>
      </c>
      <c r="S4215">
        <v>0</v>
      </c>
      <c r="W4215" s="3">
        <v>1.2384259259259258E-3</v>
      </c>
      <c r="X4215" t="s">
        <v>8688</v>
      </c>
      <c r="Y4215">
        <v>19</v>
      </c>
      <c r="Z4215">
        <v>0</v>
      </c>
      <c r="AA4215" t="s">
        <v>49</v>
      </c>
      <c r="AB4215">
        <v>0</v>
      </c>
      <c r="AC4215" t="s">
        <v>49</v>
      </c>
      <c r="AD4215">
        <v>0</v>
      </c>
      <c r="AE4215">
        <v>10492616</v>
      </c>
      <c r="AF4215" t="s">
        <v>50</v>
      </c>
      <c r="AG4215" t="s">
        <v>7910</v>
      </c>
    </row>
    <row r="4216" spans="1:33" x14ac:dyDescent="0.35">
      <c r="A4216" s="1">
        <v>44614.856944444444</v>
      </c>
      <c r="B4216">
        <v>5796941</v>
      </c>
      <c r="C4216" t="s">
        <v>7395</v>
      </c>
      <c r="D4216" t="s">
        <v>844</v>
      </c>
      <c r="E4216" s="2">
        <v>43656</v>
      </c>
      <c r="F4216" t="str">
        <f>"9781787566811"</f>
        <v>9781787566811</v>
      </c>
      <c r="G4216" t="str">
        <f>"9781787566804"</f>
        <v>9781787566804</v>
      </c>
      <c r="H4216" t="s">
        <v>900</v>
      </c>
      <c r="I4216">
        <v>337.51056</v>
      </c>
      <c r="J4216" t="s">
        <v>1794</v>
      </c>
      <c r="K4216" t="s">
        <v>44</v>
      </c>
      <c r="N4216" t="s">
        <v>45</v>
      </c>
      <c r="O4216" t="s">
        <v>46</v>
      </c>
      <c r="P4216" t="s">
        <v>45</v>
      </c>
      <c r="Q4216" t="s">
        <v>47</v>
      </c>
      <c r="R4216" t="s">
        <v>44</v>
      </c>
      <c r="S4216">
        <v>0</v>
      </c>
      <c r="W4216" s="3">
        <v>4.3981481481481481E-4</v>
      </c>
      <c r="X4216" t="s">
        <v>8604</v>
      </c>
      <c r="Y4216">
        <v>3</v>
      </c>
      <c r="Z4216">
        <v>0</v>
      </c>
      <c r="AA4216" t="s">
        <v>49</v>
      </c>
      <c r="AB4216">
        <v>0</v>
      </c>
      <c r="AC4216" t="s">
        <v>49</v>
      </c>
      <c r="AD4216">
        <v>0</v>
      </c>
      <c r="AE4216">
        <v>-1</v>
      </c>
      <c r="AF4216" t="s">
        <v>50</v>
      </c>
      <c r="AG4216" t="s">
        <v>1816</v>
      </c>
    </row>
    <row r="4217" spans="1:33" x14ac:dyDescent="0.35">
      <c r="A4217" s="1">
        <v>44614.845833333333</v>
      </c>
      <c r="B4217">
        <v>5796941</v>
      </c>
      <c r="C4217" t="s">
        <v>7395</v>
      </c>
      <c r="D4217" t="s">
        <v>844</v>
      </c>
      <c r="E4217" s="2">
        <v>43656</v>
      </c>
      <c r="F4217" t="str">
        <f>"9781787566811"</f>
        <v>9781787566811</v>
      </c>
      <c r="G4217" t="str">
        <f>"9781787566804"</f>
        <v>9781787566804</v>
      </c>
      <c r="H4217" t="s">
        <v>900</v>
      </c>
      <c r="I4217">
        <v>337.51056</v>
      </c>
      <c r="J4217" t="s">
        <v>1794</v>
      </c>
      <c r="K4217" t="s">
        <v>44</v>
      </c>
      <c r="N4217" t="s">
        <v>45</v>
      </c>
      <c r="O4217" t="s">
        <v>46</v>
      </c>
      <c r="P4217" t="s">
        <v>45</v>
      </c>
      <c r="Q4217" t="s">
        <v>47</v>
      </c>
      <c r="R4217" t="s">
        <v>44</v>
      </c>
      <c r="S4217">
        <v>0</v>
      </c>
      <c r="W4217" s="3">
        <v>3.0902777777777779E-2</v>
      </c>
      <c r="X4217" t="s">
        <v>8689</v>
      </c>
      <c r="Y4217">
        <v>13</v>
      </c>
      <c r="Z4217">
        <v>0</v>
      </c>
      <c r="AA4217" t="s">
        <v>49</v>
      </c>
      <c r="AB4217">
        <v>0</v>
      </c>
      <c r="AC4217" t="s">
        <v>49</v>
      </c>
      <c r="AD4217">
        <v>0</v>
      </c>
      <c r="AE4217">
        <v>-1</v>
      </c>
      <c r="AF4217" t="s">
        <v>50</v>
      </c>
      <c r="AG4217" t="s">
        <v>7910</v>
      </c>
    </row>
    <row r="4218" spans="1:33" x14ac:dyDescent="0.35">
      <c r="A4218" s="1">
        <v>44614.785416666666</v>
      </c>
      <c r="B4218">
        <v>5796941</v>
      </c>
      <c r="C4218" t="s">
        <v>7395</v>
      </c>
      <c r="D4218" t="s">
        <v>844</v>
      </c>
      <c r="E4218" s="2">
        <v>43656</v>
      </c>
      <c r="F4218" t="str">
        <f>"9781787566811"</f>
        <v>9781787566811</v>
      </c>
      <c r="G4218" t="str">
        <f>"9781787566804"</f>
        <v>9781787566804</v>
      </c>
      <c r="H4218" t="s">
        <v>900</v>
      </c>
      <c r="I4218">
        <v>337.51056</v>
      </c>
      <c r="J4218" t="s">
        <v>1794</v>
      </c>
      <c r="K4218" t="s">
        <v>44</v>
      </c>
      <c r="N4218" t="s">
        <v>45</v>
      </c>
      <c r="O4218" t="s">
        <v>46</v>
      </c>
      <c r="P4218" t="s">
        <v>45</v>
      </c>
      <c r="Q4218" t="s">
        <v>47</v>
      </c>
      <c r="R4218" t="s">
        <v>44</v>
      </c>
      <c r="S4218">
        <v>0</v>
      </c>
      <c r="W4218" s="3">
        <v>2.0833333333333335E-4</v>
      </c>
      <c r="X4218" t="s">
        <v>8690</v>
      </c>
      <c r="Y4218">
        <v>4</v>
      </c>
      <c r="Z4218">
        <v>0</v>
      </c>
      <c r="AA4218" t="s">
        <v>49</v>
      </c>
      <c r="AB4218">
        <v>0</v>
      </c>
      <c r="AC4218" t="s">
        <v>49</v>
      </c>
      <c r="AD4218">
        <v>0</v>
      </c>
      <c r="AE4218">
        <v>-1</v>
      </c>
      <c r="AF4218" t="s">
        <v>50</v>
      </c>
      <c r="AG4218" t="s">
        <v>1816</v>
      </c>
    </row>
    <row r="4219" spans="1:33" x14ac:dyDescent="0.35">
      <c r="A4219" s="1">
        <v>44614.730555555558</v>
      </c>
      <c r="B4219">
        <v>988156</v>
      </c>
      <c r="C4219" t="s">
        <v>8490</v>
      </c>
      <c r="D4219" t="s">
        <v>7296</v>
      </c>
      <c r="E4219" s="2">
        <v>41106</v>
      </c>
      <c r="F4219" t="str">
        <f>"9780813553146"</f>
        <v>9780813553146</v>
      </c>
      <c r="G4219" t="str">
        <f>"9780813552996"</f>
        <v>9780813552996</v>
      </c>
      <c r="H4219" t="s">
        <v>525</v>
      </c>
      <c r="I4219">
        <v>362.12</v>
      </c>
      <c r="J4219" t="s">
        <v>8491</v>
      </c>
      <c r="K4219" t="s">
        <v>44</v>
      </c>
      <c r="N4219" t="s">
        <v>45</v>
      </c>
      <c r="O4219" t="s">
        <v>46</v>
      </c>
      <c r="P4219" t="s">
        <v>45</v>
      </c>
      <c r="Q4219" t="s">
        <v>47</v>
      </c>
      <c r="R4219" t="s">
        <v>44</v>
      </c>
      <c r="S4219">
        <v>1</v>
      </c>
      <c r="W4219" s="3">
        <v>1.3657407407407409E-3</v>
      </c>
      <c r="X4219" t="s">
        <v>8691</v>
      </c>
      <c r="Y4219">
        <v>4</v>
      </c>
      <c r="Z4219">
        <v>0</v>
      </c>
      <c r="AA4219" t="s">
        <v>49</v>
      </c>
      <c r="AB4219">
        <v>0</v>
      </c>
      <c r="AC4219" t="s">
        <v>49</v>
      </c>
      <c r="AD4219">
        <v>0</v>
      </c>
      <c r="AE4219">
        <v>10589779</v>
      </c>
      <c r="AF4219" t="s">
        <v>63</v>
      </c>
      <c r="AG4219" t="s">
        <v>8692</v>
      </c>
    </row>
    <row r="4220" spans="1:33" x14ac:dyDescent="0.35">
      <c r="A4220" s="1">
        <v>44614.724305555559</v>
      </c>
      <c r="B4220">
        <v>988156</v>
      </c>
      <c r="C4220" t="s">
        <v>8490</v>
      </c>
      <c r="D4220" t="s">
        <v>7296</v>
      </c>
      <c r="E4220" s="2">
        <v>41106</v>
      </c>
      <c r="F4220" t="str">
        <f>"9780813553146"</f>
        <v>9780813553146</v>
      </c>
      <c r="G4220" t="str">
        <f>"9780813552996"</f>
        <v>9780813552996</v>
      </c>
      <c r="H4220" t="s">
        <v>525</v>
      </c>
      <c r="I4220">
        <v>362.12</v>
      </c>
      <c r="J4220" t="s">
        <v>8491</v>
      </c>
      <c r="K4220" t="s">
        <v>44</v>
      </c>
      <c r="N4220" t="s">
        <v>45</v>
      </c>
      <c r="O4220" t="s">
        <v>46</v>
      </c>
      <c r="P4220" t="s">
        <v>45</v>
      </c>
      <c r="Q4220" t="s">
        <v>47</v>
      </c>
      <c r="R4220" t="s">
        <v>44</v>
      </c>
      <c r="S4220">
        <v>0</v>
      </c>
      <c r="W4220" s="3">
        <v>5.9606481481481489E-3</v>
      </c>
      <c r="X4220" t="s">
        <v>8693</v>
      </c>
      <c r="Y4220">
        <v>7</v>
      </c>
      <c r="Z4220">
        <v>0</v>
      </c>
      <c r="AA4220" t="s">
        <v>49</v>
      </c>
      <c r="AB4220">
        <v>0</v>
      </c>
      <c r="AC4220" t="s">
        <v>121</v>
      </c>
      <c r="AD4220">
        <v>1</v>
      </c>
      <c r="AE4220">
        <v>10589779</v>
      </c>
      <c r="AF4220" t="s">
        <v>63</v>
      </c>
      <c r="AG4220" t="s">
        <v>8692</v>
      </c>
    </row>
    <row r="4221" spans="1:33" x14ac:dyDescent="0.35">
      <c r="A4221" s="1">
        <v>44614.7</v>
      </c>
      <c r="B4221">
        <v>957493</v>
      </c>
      <c r="C4221" t="s">
        <v>8694</v>
      </c>
      <c r="D4221" t="s">
        <v>76</v>
      </c>
      <c r="E4221" s="2">
        <v>40976</v>
      </c>
      <c r="F4221" t="str">
        <f>"9780203147603"</f>
        <v>9780203147603</v>
      </c>
      <c r="G4221" t="str">
        <f>"9780415680288"</f>
        <v>9780415680288</v>
      </c>
      <c r="H4221" t="s">
        <v>1046</v>
      </c>
      <c r="I4221" t="s">
        <v>8695</v>
      </c>
      <c r="J4221" t="s">
        <v>8696</v>
      </c>
      <c r="K4221" t="s">
        <v>44</v>
      </c>
      <c r="N4221" t="s">
        <v>45</v>
      </c>
      <c r="O4221" t="s">
        <v>46</v>
      </c>
      <c r="P4221" t="s">
        <v>45</v>
      </c>
      <c r="Q4221" t="s">
        <v>47</v>
      </c>
      <c r="R4221" t="s">
        <v>44</v>
      </c>
      <c r="S4221">
        <v>0</v>
      </c>
      <c r="W4221" s="3">
        <v>1.3888888888888889E-3</v>
      </c>
      <c r="X4221" t="s">
        <v>8697</v>
      </c>
      <c r="Y4221">
        <v>6</v>
      </c>
      <c r="Z4221">
        <v>1</v>
      </c>
      <c r="AA4221" t="s">
        <v>56</v>
      </c>
      <c r="AB4221">
        <v>3</v>
      </c>
      <c r="AC4221" t="s">
        <v>3286</v>
      </c>
      <c r="AD4221">
        <v>1</v>
      </c>
      <c r="AE4221">
        <v>10531864</v>
      </c>
      <c r="AF4221" t="s">
        <v>50</v>
      </c>
      <c r="AG4221" t="s">
        <v>8692</v>
      </c>
    </row>
    <row r="4222" spans="1:33" x14ac:dyDescent="0.35">
      <c r="A4222" s="1">
        <v>44614.673611111109</v>
      </c>
      <c r="B4222">
        <v>1629167</v>
      </c>
      <c r="C4222" t="s">
        <v>8487</v>
      </c>
      <c r="D4222" t="s">
        <v>59</v>
      </c>
      <c r="E4222" s="2">
        <v>41687</v>
      </c>
      <c r="F4222" t="str">
        <f>"9781118740071"</f>
        <v>9781118740071</v>
      </c>
      <c r="G4222" t="str">
        <f>"9781118458341"</f>
        <v>9781118458341</v>
      </c>
      <c r="H4222" t="s">
        <v>84</v>
      </c>
      <c r="I4222">
        <v>690</v>
      </c>
      <c r="J4222" t="s">
        <v>8488</v>
      </c>
      <c r="K4222" t="s">
        <v>44</v>
      </c>
      <c r="N4222" t="s">
        <v>45</v>
      </c>
      <c r="O4222" t="s">
        <v>46</v>
      </c>
      <c r="P4222" t="s">
        <v>45</v>
      </c>
      <c r="Q4222" t="s">
        <v>47</v>
      </c>
      <c r="R4222" t="s">
        <v>44</v>
      </c>
      <c r="S4222">
        <v>0</v>
      </c>
      <c r="W4222" s="3">
        <v>1.8680555555555554E-2</v>
      </c>
      <c r="X4222" t="s">
        <v>196</v>
      </c>
      <c r="Y4222">
        <v>2</v>
      </c>
      <c r="Z4222">
        <v>0</v>
      </c>
      <c r="AA4222" t="s">
        <v>49</v>
      </c>
      <c r="AB4222">
        <v>0</v>
      </c>
      <c r="AC4222" t="s">
        <v>49</v>
      </c>
      <c r="AD4222">
        <v>0</v>
      </c>
      <c r="AE4222">
        <v>10837572</v>
      </c>
      <c r="AF4222" t="s">
        <v>50</v>
      </c>
      <c r="AG4222" t="s">
        <v>8692</v>
      </c>
    </row>
    <row r="4223" spans="1:33" x14ac:dyDescent="0.35">
      <c r="A4223" s="1">
        <v>44614.667361111111</v>
      </c>
      <c r="B4223">
        <v>3571170</v>
      </c>
      <c r="C4223" t="s">
        <v>8698</v>
      </c>
      <c r="D4223" t="s">
        <v>8699</v>
      </c>
      <c r="E4223" s="2">
        <v>40877</v>
      </c>
      <c r="F4223" t="str">
        <f>"9780268081737"</f>
        <v>9780268081737</v>
      </c>
      <c r="G4223" t="str">
        <f>"9780268031107"</f>
        <v>9780268031107</v>
      </c>
      <c r="H4223" t="s">
        <v>811</v>
      </c>
      <c r="I4223" t="s">
        <v>8700</v>
      </c>
      <c r="K4223" t="s">
        <v>44</v>
      </c>
      <c r="N4223" t="s">
        <v>45</v>
      </c>
      <c r="O4223" t="s">
        <v>46</v>
      </c>
      <c r="P4223" t="s">
        <v>45</v>
      </c>
      <c r="Q4223" t="s">
        <v>47</v>
      </c>
      <c r="R4223" t="s">
        <v>44</v>
      </c>
      <c r="S4223">
        <v>0</v>
      </c>
      <c r="W4223" s="3">
        <v>6.9444444444444444E-5</v>
      </c>
      <c r="X4223" t="s">
        <v>121</v>
      </c>
      <c r="Y4223">
        <v>1</v>
      </c>
      <c r="Z4223">
        <v>0</v>
      </c>
      <c r="AA4223" t="s">
        <v>49</v>
      </c>
      <c r="AB4223">
        <v>0</v>
      </c>
      <c r="AC4223" t="s">
        <v>49</v>
      </c>
      <c r="AD4223">
        <v>0</v>
      </c>
      <c r="AE4223">
        <v>10557712</v>
      </c>
      <c r="AF4223" t="s">
        <v>50</v>
      </c>
      <c r="AG4223" t="s">
        <v>8692</v>
      </c>
    </row>
    <row r="4224" spans="1:33" x14ac:dyDescent="0.35">
      <c r="A4224" s="1">
        <v>44614.643750000003</v>
      </c>
      <c r="B4224">
        <v>3306705</v>
      </c>
      <c r="C4224" t="s">
        <v>8701</v>
      </c>
      <c r="D4224" t="s">
        <v>8702</v>
      </c>
      <c r="E4224" s="2">
        <v>37712</v>
      </c>
      <c r="F4224" t="str">
        <f>""</f>
        <v/>
      </c>
      <c r="G4224" t="str">
        <f>"9780738427485"</f>
        <v>9780738427485</v>
      </c>
      <c r="H4224" t="s">
        <v>138</v>
      </c>
      <c r="I4224" t="s">
        <v>8703</v>
      </c>
      <c r="J4224" t="s">
        <v>8704</v>
      </c>
      <c r="K4224" t="s">
        <v>44</v>
      </c>
      <c r="N4224" t="s">
        <v>45</v>
      </c>
      <c r="O4224" t="s">
        <v>46</v>
      </c>
      <c r="P4224" t="s">
        <v>45</v>
      </c>
      <c r="Q4224" t="s">
        <v>47</v>
      </c>
      <c r="R4224" t="s">
        <v>44</v>
      </c>
      <c r="S4224">
        <v>0</v>
      </c>
      <c r="W4224" s="3">
        <v>2.7777777777777778E-4</v>
      </c>
      <c r="X4224" t="s">
        <v>2904</v>
      </c>
      <c r="Y4224">
        <v>3</v>
      </c>
      <c r="Z4224">
        <v>0</v>
      </c>
      <c r="AA4224" t="s">
        <v>49</v>
      </c>
      <c r="AB4224">
        <v>0</v>
      </c>
      <c r="AC4224" t="s">
        <v>49</v>
      </c>
      <c r="AD4224">
        <v>0</v>
      </c>
      <c r="AE4224">
        <v>10112794</v>
      </c>
      <c r="AF4224" t="s">
        <v>50</v>
      </c>
      <c r="AG4224" t="s">
        <v>8588</v>
      </c>
    </row>
    <row r="4225" spans="1:33" x14ac:dyDescent="0.35">
      <c r="A4225" s="1">
        <v>44614.64166666667</v>
      </c>
      <c r="B4225">
        <v>1752699</v>
      </c>
      <c r="C4225" t="s">
        <v>8482</v>
      </c>
      <c r="D4225" t="s">
        <v>59</v>
      </c>
      <c r="E4225" s="2">
        <v>41828</v>
      </c>
      <c r="F4225" t="str">
        <f>"9781118648896"</f>
        <v>9781118648896</v>
      </c>
      <c r="G4225" t="str">
        <f>"9781118648889"</f>
        <v>9781118648889</v>
      </c>
      <c r="H4225" t="s">
        <v>8483</v>
      </c>
      <c r="I4225">
        <v>720.2856693</v>
      </c>
      <c r="J4225" t="s">
        <v>8484</v>
      </c>
      <c r="K4225" t="s">
        <v>44</v>
      </c>
      <c r="N4225" t="s">
        <v>45</v>
      </c>
      <c r="O4225" t="s">
        <v>46</v>
      </c>
      <c r="P4225" t="s">
        <v>45</v>
      </c>
      <c r="Q4225" t="s">
        <v>47</v>
      </c>
      <c r="R4225" t="s">
        <v>44</v>
      </c>
      <c r="S4225">
        <v>0</v>
      </c>
      <c r="W4225" s="3">
        <v>2.7488425925925927E-2</v>
      </c>
      <c r="X4225" t="s">
        <v>8705</v>
      </c>
      <c r="Y4225">
        <v>10</v>
      </c>
      <c r="Z4225">
        <v>3</v>
      </c>
      <c r="AA4225" t="s">
        <v>8706</v>
      </c>
      <c r="AB4225">
        <v>8</v>
      </c>
      <c r="AC4225" t="s">
        <v>49</v>
      </c>
      <c r="AD4225">
        <v>0</v>
      </c>
      <c r="AE4225">
        <v>10899792</v>
      </c>
      <c r="AF4225" t="s">
        <v>50</v>
      </c>
      <c r="AG4225" t="s">
        <v>8692</v>
      </c>
    </row>
    <row r="4226" spans="1:33" x14ac:dyDescent="0.35">
      <c r="A4226" s="1">
        <v>44614.614583333336</v>
      </c>
      <c r="B4226">
        <v>1834780</v>
      </c>
      <c r="C4226" t="s">
        <v>8707</v>
      </c>
      <c r="D4226" t="s">
        <v>59</v>
      </c>
      <c r="E4226" s="2">
        <v>41953</v>
      </c>
      <c r="F4226" t="str">
        <f>"9781118771150"</f>
        <v>9781118771150</v>
      </c>
      <c r="G4226" t="str">
        <f>"9781118770962"</f>
        <v>9781118770962</v>
      </c>
      <c r="H4226" t="s">
        <v>133</v>
      </c>
      <c r="I4226" t="s">
        <v>8708</v>
      </c>
      <c r="J4226" t="s">
        <v>8709</v>
      </c>
      <c r="K4226" t="s">
        <v>44</v>
      </c>
      <c r="N4226" t="s">
        <v>45</v>
      </c>
      <c r="O4226" t="s">
        <v>46</v>
      </c>
      <c r="P4226" t="s">
        <v>45</v>
      </c>
      <c r="Q4226" t="s">
        <v>47</v>
      </c>
      <c r="R4226" t="s">
        <v>44</v>
      </c>
      <c r="S4226">
        <v>0</v>
      </c>
      <c r="W4226" s="3">
        <v>4.6296296296296294E-5</v>
      </c>
      <c r="X4226" t="s">
        <v>121</v>
      </c>
      <c r="Y4226">
        <v>1</v>
      </c>
      <c r="Z4226">
        <v>0</v>
      </c>
      <c r="AA4226" t="s">
        <v>49</v>
      </c>
      <c r="AB4226">
        <v>0</v>
      </c>
      <c r="AC4226" t="s">
        <v>49</v>
      </c>
      <c r="AD4226">
        <v>0</v>
      </c>
      <c r="AE4226">
        <v>10976516</v>
      </c>
      <c r="AF4226" t="s">
        <v>50</v>
      </c>
      <c r="AG4226" t="s">
        <v>8710</v>
      </c>
    </row>
    <row r="4227" spans="1:33" x14ac:dyDescent="0.35">
      <c r="A4227" s="1">
        <v>44614.612500000003</v>
      </c>
      <c r="B4227">
        <v>1175198</v>
      </c>
      <c r="C4227" t="s">
        <v>8711</v>
      </c>
      <c r="D4227" t="s">
        <v>59</v>
      </c>
      <c r="E4227" s="2">
        <v>41442</v>
      </c>
      <c r="F4227" t="str">
        <f>"9781118247082"</f>
        <v>9781118247082</v>
      </c>
      <c r="G4227" t="str">
        <f>"9781118247044"</f>
        <v>9781118247044</v>
      </c>
      <c r="H4227" t="s">
        <v>133</v>
      </c>
      <c r="I4227">
        <v>332.10917669999998</v>
      </c>
      <c r="J4227" t="s">
        <v>8712</v>
      </c>
      <c r="K4227" t="s">
        <v>44</v>
      </c>
      <c r="N4227" t="s">
        <v>45</v>
      </c>
      <c r="O4227" t="s">
        <v>46</v>
      </c>
      <c r="P4227" t="s">
        <v>45</v>
      </c>
      <c r="Q4227" t="s">
        <v>47</v>
      </c>
      <c r="R4227" t="s">
        <v>44</v>
      </c>
      <c r="S4227">
        <v>0</v>
      </c>
      <c r="W4227" s="3">
        <v>1.1574074074074073E-4</v>
      </c>
      <c r="X4227" t="s">
        <v>8713</v>
      </c>
      <c r="Y4227">
        <v>2</v>
      </c>
      <c r="Z4227">
        <v>0</v>
      </c>
      <c r="AA4227" t="s">
        <v>49</v>
      </c>
      <c r="AB4227">
        <v>0</v>
      </c>
      <c r="AC4227" t="s">
        <v>49</v>
      </c>
      <c r="AD4227">
        <v>0</v>
      </c>
      <c r="AE4227">
        <v>10692141</v>
      </c>
      <c r="AF4227" t="s">
        <v>50</v>
      </c>
      <c r="AG4227" t="s">
        <v>8710</v>
      </c>
    </row>
    <row r="4228" spans="1:33" x14ac:dyDescent="0.35">
      <c r="A4228" s="1">
        <v>44614.595833333333</v>
      </c>
      <c r="B4228">
        <v>589099</v>
      </c>
      <c r="C4228" t="s">
        <v>8531</v>
      </c>
      <c r="D4228" t="s">
        <v>59</v>
      </c>
      <c r="E4228" s="2">
        <v>40498</v>
      </c>
      <c r="F4228" t="str">
        <f>"9780470825624"</f>
        <v>9780470825624</v>
      </c>
      <c r="G4228" t="str">
        <f>"9780470825617"</f>
        <v>9780470825617</v>
      </c>
      <c r="H4228" t="s">
        <v>546</v>
      </c>
      <c r="I4228">
        <v>621.38400000000001</v>
      </c>
      <c r="J4228" t="s">
        <v>8532</v>
      </c>
      <c r="K4228" t="s">
        <v>44</v>
      </c>
      <c r="N4228" t="s">
        <v>45</v>
      </c>
      <c r="O4228" t="s">
        <v>46</v>
      </c>
      <c r="P4228" t="s">
        <v>45</v>
      </c>
      <c r="Q4228" t="s">
        <v>47</v>
      </c>
      <c r="R4228" t="s">
        <v>44</v>
      </c>
      <c r="S4228">
        <v>0</v>
      </c>
      <c r="W4228" s="3">
        <v>4.2824074074074075E-4</v>
      </c>
      <c r="X4228" t="s">
        <v>8714</v>
      </c>
      <c r="Y4228">
        <v>4</v>
      </c>
      <c r="Z4228">
        <v>0</v>
      </c>
      <c r="AA4228" t="s">
        <v>49</v>
      </c>
      <c r="AB4228">
        <v>0</v>
      </c>
      <c r="AC4228" t="s">
        <v>49</v>
      </c>
      <c r="AD4228">
        <v>0</v>
      </c>
      <c r="AE4228">
        <v>10412611</v>
      </c>
      <c r="AF4228" t="s">
        <v>50</v>
      </c>
      <c r="AG4228" t="s">
        <v>7910</v>
      </c>
    </row>
    <row r="4229" spans="1:33" x14ac:dyDescent="0.35">
      <c r="A4229" s="1">
        <v>44614.521527777775</v>
      </c>
      <c r="B4229">
        <v>6123281</v>
      </c>
      <c r="C4229" t="s">
        <v>8236</v>
      </c>
      <c r="D4229" t="s">
        <v>59</v>
      </c>
      <c r="E4229" s="2">
        <v>43879</v>
      </c>
      <c r="F4229" t="str">
        <f>"9780730368465"</f>
        <v>9780730368465</v>
      </c>
      <c r="G4229" t="str">
        <f>"9780730368441"</f>
        <v>9780730368441</v>
      </c>
      <c r="H4229" t="s">
        <v>244</v>
      </c>
      <c r="I4229">
        <v>158.1</v>
      </c>
      <c r="J4229" t="s">
        <v>8237</v>
      </c>
      <c r="K4229" t="s">
        <v>55</v>
      </c>
      <c r="N4229" t="s">
        <v>293</v>
      </c>
      <c r="P4229" t="s">
        <v>80</v>
      </c>
      <c r="Q4229" t="s">
        <v>47</v>
      </c>
      <c r="R4229" t="s">
        <v>44</v>
      </c>
      <c r="S4229">
        <v>0</v>
      </c>
      <c r="W4229" s="3">
        <v>1.0659722222222221E-2</v>
      </c>
      <c r="X4229" t="s">
        <v>8715</v>
      </c>
      <c r="Y4229">
        <v>21</v>
      </c>
      <c r="Z4229">
        <v>2</v>
      </c>
      <c r="AA4229" t="s">
        <v>8716</v>
      </c>
      <c r="AB4229">
        <v>20</v>
      </c>
      <c r="AC4229" t="s">
        <v>49</v>
      </c>
      <c r="AD4229">
        <v>0</v>
      </c>
      <c r="AE4229">
        <v>-1</v>
      </c>
      <c r="AF4229" t="s">
        <v>50</v>
      </c>
      <c r="AG4229" t="s">
        <v>7910</v>
      </c>
    </row>
    <row r="4230" spans="1:33" x14ac:dyDescent="0.35">
      <c r="A4230" s="1">
        <v>44614.510416666664</v>
      </c>
      <c r="B4230">
        <v>415623</v>
      </c>
      <c r="C4230" t="s">
        <v>8717</v>
      </c>
      <c r="D4230" t="s">
        <v>125</v>
      </c>
      <c r="E4230" s="2">
        <v>39342</v>
      </c>
      <c r="F4230" t="str">
        <f>"9780199715176"</f>
        <v>9780199715176</v>
      </c>
      <c r="G4230" t="str">
        <f>"9780195334562"</f>
        <v>9780195334562</v>
      </c>
      <c r="H4230" t="s">
        <v>147</v>
      </c>
      <c r="I4230">
        <v>616.85260000000005</v>
      </c>
      <c r="J4230" t="s">
        <v>8718</v>
      </c>
      <c r="K4230" t="s">
        <v>44</v>
      </c>
      <c r="N4230" t="s">
        <v>45</v>
      </c>
      <c r="O4230" t="s">
        <v>46</v>
      </c>
      <c r="P4230" t="s">
        <v>45</v>
      </c>
      <c r="Q4230" t="s">
        <v>47</v>
      </c>
      <c r="R4230" t="s">
        <v>44</v>
      </c>
      <c r="S4230">
        <v>0</v>
      </c>
      <c r="W4230" s="3">
        <v>2.6620370370370374E-3</v>
      </c>
      <c r="X4230" t="s">
        <v>8719</v>
      </c>
      <c r="Y4230">
        <v>24</v>
      </c>
      <c r="Z4230">
        <v>0</v>
      </c>
      <c r="AA4230" t="s">
        <v>49</v>
      </c>
      <c r="AB4230">
        <v>0</v>
      </c>
      <c r="AC4230" t="s">
        <v>49</v>
      </c>
      <c r="AD4230">
        <v>0</v>
      </c>
      <c r="AE4230">
        <v>10229910</v>
      </c>
      <c r="AF4230" t="s">
        <v>63</v>
      </c>
      <c r="AG4230" t="s">
        <v>7910</v>
      </c>
    </row>
    <row r="4231" spans="1:33" x14ac:dyDescent="0.35">
      <c r="A4231" s="1">
        <v>44614.50277777778</v>
      </c>
      <c r="B4231">
        <v>3020139</v>
      </c>
      <c r="C4231" t="s">
        <v>8720</v>
      </c>
      <c r="D4231" t="s">
        <v>137</v>
      </c>
      <c r="E4231" s="2">
        <v>39882</v>
      </c>
      <c r="F4231" t="str">
        <f>"9781617281464"</f>
        <v>9781617281464</v>
      </c>
      <c r="G4231" t="str">
        <f>"9781606922422"</f>
        <v>9781606922422</v>
      </c>
      <c r="H4231" t="s">
        <v>151</v>
      </c>
      <c r="I4231" t="s">
        <v>8721</v>
      </c>
      <c r="J4231" t="s">
        <v>8722</v>
      </c>
      <c r="K4231" t="s">
        <v>44</v>
      </c>
      <c r="N4231" t="s">
        <v>45</v>
      </c>
      <c r="O4231" t="s">
        <v>46</v>
      </c>
      <c r="P4231" t="s">
        <v>177</v>
      </c>
      <c r="Q4231" t="s">
        <v>47</v>
      </c>
      <c r="R4231" t="s">
        <v>55</v>
      </c>
      <c r="S4231">
        <v>3</v>
      </c>
      <c r="W4231" s="3">
        <v>6.134259259259259E-4</v>
      </c>
      <c r="X4231" t="s">
        <v>8723</v>
      </c>
      <c r="Y4231">
        <v>6</v>
      </c>
      <c r="Z4231">
        <v>0</v>
      </c>
      <c r="AA4231" t="s">
        <v>49</v>
      </c>
      <c r="AB4231">
        <v>0</v>
      </c>
      <c r="AC4231" t="s">
        <v>49</v>
      </c>
      <c r="AD4231">
        <v>0</v>
      </c>
      <c r="AE4231">
        <v>10675147</v>
      </c>
      <c r="AF4231" t="s">
        <v>63</v>
      </c>
      <c r="AG4231" t="s">
        <v>7910</v>
      </c>
    </row>
    <row r="4232" spans="1:33" x14ac:dyDescent="0.35">
      <c r="A4232" s="1">
        <v>44614.501388888886</v>
      </c>
      <c r="B4232">
        <v>3020139</v>
      </c>
      <c r="C4232" t="s">
        <v>8720</v>
      </c>
      <c r="D4232" t="s">
        <v>137</v>
      </c>
      <c r="E4232" s="2">
        <v>39882</v>
      </c>
      <c r="F4232" t="str">
        <f>"9781617281464"</f>
        <v>9781617281464</v>
      </c>
      <c r="G4232" t="str">
        <f>"9781606922422"</f>
        <v>9781606922422</v>
      </c>
      <c r="H4232" t="s">
        <v>151</v>
      </c>
      <c r="I4232" t="s">
        <v>8721</v>
      </c>
      <c r="J4232" t="s">
        <v>8722</v>
      </c>
      <c r="K4232" t="s">
        <v>44</v>
      </c>
      <c r="N4232" t="s">
        <v>45</v>
      </c>
      <c r="O4232" t="s">
        <v>46</v>
      </c>
      <c r="P4232" t="s">
        <v>177</v>
      </c>
      <c r="Q4232" t="s">
        <v>47</v>
      </c>
      <c r="R4232" t="s">
        <v>55</v>
      </c>
      <c r="S4232">
        <v>0</v>
      </c>
      <c r="W4232" s="3">
        <v>1.4120370370370369E-3</v>
      </c>
      <c r="X4232" t="s">
        <v>8724</v>
      </c>
      <c r="Y4232">
        <v>10</v>
      </c>
      <c r="Z4232">
        <v>0</v>
      </c>
      <c r="AA4232" t="s">
        <v>49</v>
      </c>
      <c r="AB4232">
        <v>0</v>
      </c>
      <c r="AC4232" t="s">
        <v>49</v>
      </c>
      <c r="AD4232">
        <v>0</v>
      </c>
      <c r="AE4232">
        <v>10675147</v>
      </c>
      <c r="AF4232" t="s">
        <v>63</v>
      </c>
      <c r="AG4232" t="s">
        <v>7910</v>
      </c>
    </row>
    <row r="4233" spans="1:33" x14ac:dyDescent="0.35">
      <c r="A4233" s="1">
        <v>44614.488194444442</v>
      </c>
      <c r="B4233">
        <v>6370240</v>
      </c>
      <c r="C4233" t="s">
        <v>8342</v>
      </c>
      <c r="D4233" t="s">
        <v>105</v>
      </c>
      <c r="E4233" s="2">
        <v>44113</v>
      </c>
      <c r="F4233" t="str">
        <f>"9783030547349"</f>
        <v>9783030547349</v>
      </c>
      <c r="G4233" t="str">
        <f>"9783030547332"</f>
        <v>9783030547332</v>
      </c>
      <c r="H4233" t="s">
        <v>8343</v>
      </c>
      <c r="I4233">
        <v>363.73874000000001</v>
      </c>
      <c r="J4233" t="s">
        <v>8344</v>
      </c>
      <c r="K4233" t="s">
        <v>55</v>
      </c>
      <c r="Q4233" t="s">
        <v>47</v>
      </c>
      <c r="R4233" t="s">
        <v>44</v>
      </c>
      <c r="S4233">
        <v>0</v>
      </c>
      <c r="W4233" s="3">
        <v>0</v>
      </c>
      <c r="X4233" t="s">
        <v>49</v>
      </c>
      <c r="Y4233">
        <v>0</v>
      </c>
      <c r="Z4233">
        <v>0</v>
      </c>
      <c r="AA4233" t="s">
        <v>49</v>
      </c>
      <c r="AB4233">
        <v>0</v>
      </c>
      <c r="AC4233" t="s">
        <v>49</v>
      </c>
      <c r="AD4233">
        <v>0</v>
      </c>
      <c r="AE4233">
        <v>-1</v>
      </c>
      <c r="AF4233" t="s">
        <v>63</v>
      </c>
      <c r="AG4233" t="s">
        <v>7910</v>
      </c>
    </row>
    <row r="4234" spans="1:33" x14ac:dyDescent="0.35">
      <c r="A4234" s="1">
        <v>44614.161111111112</v>
      </c>
      <c r="B4234">
        <v>1344599</v>
      </c>
      <c r="C4234" t="s">
        <v>6832</v>
      </c>
      <c r="D4234" t="s">
        <v>76</v>
      </c>
      <c r="E4234" s="2">
        <v>41514</v>
      </c>
      <c r="F4234" t="str">
        <f>"9781135007959"</f>
        <v>9781135007959</v>
      </c>
      <c r="G4234" t="str">
        <f>"9780415780858"</f>
        <v>9780415780858</v>
      </c>
      <c r="H4234" t="s">
        <v>162</v>
      </c>
      <c r="I4234">
        <v>297</v>
      </c>
      <c r="J4234" t="s">
        <v>6833</v>
      </c>
      <c r="K4234" t="s">
        <v>44</v>
      </c>
      <c r="N4234" t="s">
        <v>45</v>
      </c>
      <c r="O4234" t="s">
        <v>46</v>
      </c>
      <c r="P4234" t="s">
        <v>45</v>
      </c>
      <c r="Q4234" t="s">
        <v>47</v>
      </c>
      <c r="R4234" t="s">
        <v>44</v>
      </c>
      <c r="S4234">
        <v>0</v>
      </c>
      <c r="W4234" s="3">
        <v>2.7083333333333334E-3</v>
      </c>
      <c r="X4234" t="s">
        <v>8725</v>
      </c>
      <c r="Y4234">
        <v>30</v>
      </c>
      <c r="Z4234">
        <v>0</v>
      </c>
      <c r="AA4234" t="s">
        <v>49</v>
      </c>
      <c r="AB4234">
        <v>0</v>
      </c>
      <c r="AC4234" t="s">
        <v>49</v>
      </c>
      <c r="AD4234">
        <v>0</v>
      </c>
      <c r="AE4234">
        <v>10747206</v>
      </c>
      <c r="AF4234" t="s">
        <v>50</v>
      </c>
      <c r="AG4234" t="s">
        <v>7910</v>
      </c>
    </row>
    <row r="4235" spans="1:33" x14ac:dyDescent="0.35">
      <c r="A4235" s="1">
        <v>44614.137499999997</v>
      </c>
      <c r="B4235">
        <v>880725</v>
      </c>
      <c r="C4235" t="s">
        <v>8726</v>
      </c>
      <c r="D4235" t="s">
        <v>502</v>
      </c>
      <c r="E4235" s="2">
        <v>41029</v>
      </c>
      <c r="F4235" t="str">
        <f>"9781139375573"</f>
        <v>9781139375573</v>
      </c>
      <c r="G4235" t="str">
        <f>"9781107008427"</f>
        <v>9781107008427</v>
      </c>
      <c r="H4235" t="s">
        <v>712</v>
      </c>
      <c r="I4235" t="s">
        <v>8727</v>
      </c>
      <c r="J4235" t="s">
        <v>8728</v>
      </c>
      <c r="K4235" t="s">
        <v>44</v>
      </c>
      <c r="N4235" t="s">
        <v>45</v>
      </c>
      <c r="O4235" t="s">
        <v>46</v>
      </c>
      <c r="P4235" t="s">
        <v>45</v>
      </c>
      <c r="Q4235" t="s">
        <v>47</v>
      </c>
      <c r="R4235" t="s">
        <v>44</v>
      </c>
      <c r="S4235">
        <v>0</v>
      </c>
      <c r="W4235" s="3">
        <v>3.636574074074074E-2</v>
      </c>
      <c r="X4235" t="s">
        <v>8729</v>
      </c>
      <c r="Y4235">
        <v>22</v>
      </c>
      <c r="Z4235">
        <v>0</v>
      </c>
      <c r="AA4235" t="s">
        <v>49</v>
      </c>
      <c r="AB4235">
        <v>0</v>
      </c>
      <c r="AC4235" t="s">
        <v>49</v>
      </c>
      <c r="AD4235">
        <v>0</v>
      </c>
      <c r="AE4235">
        <v>10565106</v>
      </c>
      <c r="AF4235" t="s">
        <v>50</v>
      </c>
      <c r="AG4235" t="s">
        <v>8332</v>
      </c>
    </row>
    <row r="4236" spans="1:33" x14ac:dyDescent="0.35">
      <c r="A4236" s="1">
        <v>44614.09652777778</v>
      </c>
      <c r="B4236">
        <v>3239659</v>
      </c>
      <c r="C4236" t="s">
        <v>8390</v>
      </c>
      <c r="D4236" t="s">
        <v>6899</v>
      </c>
      <c r="E4236" s="2">
        <v>39553</v>
      </c>
      <c r="F4236" t="str">
        <f>"9780823247721"</f>
        <v>9780823247721</v>
      </c>
      <c r="G4236" t="str">
        <f>"9780823228539"</f>
        <v>9780823228539</v>
      </c>
      <c r="H4236" t="s">
        <v>498</v>
      </c>
      <c r="I4236">
        <v>171.2</v>
      </c>
      <c r="J4236" t="s">
        <v>8391</v>
      </c>
      <c r="K4236" t="s">
        <v>44</v>
      </c>
      <c r="N4236" t="s">
        <v>45</v>
      </c>
      <c r="O4236" t="s">
        <v>46</v>
      </c>
      <c r="P4236" t="s">
        <v>45</v>
      </c>
      <c r="Q4236" t="s">
        <v>47</v>
      </c>
      <c r="R4236" t="s">
        <v>44</v>
      </c>
      <c r="S4236">
        <v>0</v>
      </c>
      <c r="W4236" s="3">
        <v>1.5856481481481479E-3</v>
      </c>
      <c r="X4236" t="s">
        <v>8730</v>
      </c>
      <c r="Y4236">
        <v>12</v>
      </c>
      <c r="Z4236">
        <v>0</v>
      </c>
      <c r="AA4236" t="s">
        <v>49</v>
      </c>
      <c r="AB4236">
        <v>0</v>
      </c>
      <c r="AC4236" t="s">
        <v>49</v>
      </c>
      <c r="AD4236">
        <v>0</v>
      </c>
      <c r="AE4236">
        <v>10586717</v>
      </c>
      <c r="AF4236" t="s">
        <v>50</v>
      </c>
      <c r="AG4236" t="s">
        <v>8332</v>
      </c>
    </row>
    <row r="4237" spans="1:33" x14ac:dyDescent="0.35">
      <c r="A4237" s="1">
        <v>44614.082638888889</v>
      </c>
      <c r="B4237">
        <v>1344599</v>
      </c>
      <c r="C4237" t="s">
        <v>6832</v>
      </c>
      <c r="D4237" t="s">
        <v>76</v>
      </c>
      <c r="E4237" s="2">
        <v>41514</v>
      </c>
      <c r="F4237" t="str">
        <f>"9781135007959"</f>
        <v>9781135007959</v>
      </c>
      <c r="G4237" t="str">
        <f>"9780415780858"</f>
        <v>9780415780858</v>
      </c>
      <c r="H4237" t="s">
        <v>162</v>
      </c>
      <c r="I4237">
        <v>297</v>
      </c>
      <c r="J4237" t="s">
        <v>6833</v>
      </c>
      <c r="K4237" t="s">
        <v>44</v>
      </c>
      <c r="N4237" t="s">
        <v>45</v>
      </c>
      <c r="O4237" t="s">
        <v>46</v>
      </c>
      <c r="P4237" t="s">
        <v>45</v>
      </c>
      <c r="Q4237" t="s">
        <v>47</v>
      </c>
      <c r="R4237" t="s">
        <v>44</v>
      </c>
      <c r="S4237">
        <v>0</v>
      </c>
      <c r="W4237" s="3">
        <v>1.0636574074074074E-2</v>
      </c>
      <c r="X4237" t="s">
        <v>8731</v>
      </c>
      <c r="Y4237">
        <v>16</v>
      </c>
      <c r="Z4237">
        <v>1</v>
      </c>
      <c r="AA4237" t="s">
        <v>4551</v>
      </c>
      <c r="AB4237">
        <v>1</v>
      </c>
      <c r="AC4237" t="s">
        <v>49</v>
      </c>
      <c r="AD4237">
        <v>0</v>
      </c>
      <c r="AE4237">
        <v>10747206</v>
      </c>
      <c r="AF4237" t="s">
        <v>50</v>
      </c>
      <c r="AG4237" t="s">
        <v>7910</v>
      </c>
    </row>
    <row r="4238" spans="1:33" x14ac:dyDescent="0.35">
      <c r="A4238" s="1">
        <v>44614.056944444441</v>
      </c>
      <c r="B4238">
        <v>3386341</v>
      </c>
      <c r="C4238" t="s">
        <v>8732</v>
      </c>
      <c r="D4238" t="s">
        <v>2066</v>
      </c>
      <c r="E4238" s="2">
        <v>37610</v>
      </c>
      <c r="F4238" t="str">
        <f>"9781849641524"</f>
        <v>9781849641524</v>
      </c>
      <c r="G4238" t="str">
        <f>"9780745319773"</f>
        <v>9780745319773</v>
      </c>
      <c r="H4238" t="s">
        <v>337</v>
      </c>
      <c r="I4238" t="s">
        <v>8733</v>
      </c>
      <c r="J4238" t="s">
        <v>8734</v>
      </c>
      <c r="K4238" t="s">
        <v>44</v>
      </c>
      <c r="N4238" t="s">
        <v>45</v>
      </c>
      <c r="O4238" t="s">
        <v>46</v>
      </c>
      <c r="P4238" t="s">
        <v>45</v>
      </c>
      <c r="Q4238" t="s">
        <v>47</v>
      </c>
      <c r="R4238" t="s">
        <v>44</v>
      </c>
      <c r="S4238">
        <v>0</v>
      </c>
      <c r="W4238" s="3">
        <v>7.1759259259259259E-3</v>
      </c>
      <c r="X4238" t="s">
        <v>8735</v>
      </c>
      <c r="Y4238">
        <v>31</v>
      </c>
      <c r="Z4238">
        <v>0</v>
      </c>
      <c r="AA4238" t="s">
        <v>49</v>
      </c>
      <c r="AB4238">
        <v>0</v>
      </c>
      <c r="AC4238" t="s">
        <v>49</v>
      </c>
      <c r="AD4238">
        <v>0</v>
      </c>
      <c r="AE4238">
        <v>10479872</v>
      </c>
      <c r="AF4238" t="s">
        <v>50</v>
      </c>
      <c r="AG4238" t="s">
        <v>8576</v>
      </c>
    </row>
    <row r="4239" spans="1:33" x14ac:dyDescent="0.35">
      <c r="A4239" s="1">
        <v>44614.055555555555</v>
      </c>
      <c r="B4239">
        <v>453722</v>
      </c>
      <c r="C4239" t="s">
        <v>8736</v>
      </c>
      <c r="D4239" t="s">
        <v>76</v>
      </c>
      <c r="E4239" s="2">
        <v>40105</v>
      </c>
      <c r="F4239" t="str">
        <f>"9780203873359"</f>
        <v>9780203873359</v>
      </c>
      <c r="G4239" t="str">
        <f>"9780415484701"</f>
        <v>9780415484701</v>
      </c>
      <c r="H4239" t="s">
        <v>419</v>
      </c>
      <c r="I4239">
        <v>324.25610399999999</v>
      </c>
      <c r="J4239" t="s">
        <v>8737</v>
      </c>
      <c r="K4239" t="s">
        <v>44</v>
      </c>
      <c r="N4239" t="s">
        <v>45</v>
      </c>
      <c r="O4239" t="s">
        <v>46</v>
      </c>
      <c r="P4239" t="s">
        <v>45</v>
      </c>
      <c r="Q4239" t="s">
        <v>47</v>
      </c>
      <c r="R4239" t="s">
        <v>44</v>
      </c>
      <c r="S4239">
        <v>0</v>
      </c>
      <c r="W4239" s="3">
        <v>1.2847222222222223E-3</v>
      </c>
      <c r="X4239" t="s">
        <v>8738</v>
      </c>
      <c r="Y4239">
        <v>3</v>
      </c>
      <c r="Z4239">
        <v>0</v>
      </c>
      <c r="AA4239" t="s">
        <v>49</v>
      </c>
      <c r="AB4239">
        <v>0</v>
      </c>
      <c r="AC4239" t="s">
        <v>49</v>
      </c>
      <c r="AD4239">
        <v>0</v>
      </c>
      <c r="AE4239">
        <v>10341902</v>
      </c>
      <c r="AF4239" t="s">
        <v>50</v>
      </c>
      <c r="AG4239" t="s">
        <v>8576</v>
      </c>
    </row>
    <row r="4240" spans="1:33" x14ac:dyDescent="0.35">
      <c r="A4240" s="1">
        <v>44614.036805555559</v>
      </c>
      <c r="B4240">
        <v>1344599</v>
      </c>
      <c r="C4240" t="s">
        <v>6832</v>
      </c>
      <c r="D4240" t="s">
        <v>76</v>
      </c>
      <c r="E4240" s="2">
        <v>41514</v>
      </c>
      <c r="F4240" t="str">
        <f>"9781135007959"</f>
        <v>9781135007959</v>
      </c>
      <c r="G4240" t="str">
        <f>"9780415780858"</f>
        <v>9780415780858</v>
      </c>
      <c r="H4240" t="s">
        <v>162</v>
      </c>
      <c r="I4240">
        <v>297</v>
      </c>
      <c r="J4240" t="s">
        <v>6833</v>
      </c>
      <c r="K4240" t="s">
        <v>44</v>
      </c>
      <c r="N4240" t="s">
        <v>45</v>
      </c>
      <c r="O4240" t="s">
        <v>46</v>
      </c>
      <c r="P4240" t="s">
        <v>45</v>
      </c>
      <c r="Q4240" t="s">
        <v>47</v>
      </c>
      <c r="R4240" t="s">
        <v>44</v>
      </c>
      <c r="S4240">
        <v>0</v>
      </c>
      <c r="W4240" s="3">
        <v>5.7870370370370366E-5</v>
      </c>
      <c r="X4240" t="s">
        <v>121</v>
      </c>
      <c r="Y4240">
        <v>1</v>
      </c>
      <c r="Z4240">
        <v>0</v>
      </c>
      <c r="AA4240" t="s">
        <v>49</v>
      </c>
      <c r="AB4240">
        <v>0</v>
      </c>
      <c r="AC4240" t="s">
        <v>49</v>
      </c>
      <c r="AD4240">
        <v>0</v>
      </c>
      <c r="AE4240">
        <v>10747206</v>
      </c>
      <c r="AF4240" t="s">
        <v>50</v>
      </c>
      <c r="AG4240" t="s">
        <v>7910</v>
      </c>
    </row>
    <row r="4241" spans="1:33" x14ac:dyDescent="0.35">
      <c r="A4241" s="1">
        <v>44614.029861111114</v>
      </c>
      <c r="B4241">
        <v>880725</v>
      </c>
      <c r="C4241" t="s">
        <v>8726</v>
      </c>
      <c r="D4241" t="s">
        <v>502</v>
      </c>
      <c r="E4241" s="2">
        <v>41029</v>
      </c>
      <c r="F4241" t="str">
        <f>"9781139375573"</f>
        <v>9781139375573</v>
      </c>
      <c r="G4241" t="str">
        <f>"9781107008427"</f>
        <v>9781107008427</v>
      </c>
      <c r="H4241" t="s">
        <v>712</v>
      </c>
      <c r="I4241" t="s">
        <v>8727</v>
      </c>
      <c r="J4241" t="s">
        <v>8728</v>
      </c>
      <c r="K4241" t="s">
        <v>44</v>
      </c>
      <c r="N4241" t="s">
        <v>45</v>
      </c>
      <c r="O4241" t="s">
        <v>46</v>
      </c>
      <c r="P4241" t="s">
        <v>45</v>
      </c>
      <c r="Q4241" t="s">
        <v>47</v>
      </c>
      <c r="R4241" t="s">
        <v>44</v>
      </c>
      <c r="S4241">
        <v>0</v>
      </c>
      <c r="W4241" s="3">
        <v>7.0671296296296301E-2</v>
      </c>
      <c r="X4241" t="s">
        <v>8739</v>
      </c>
      <c r="Y4241">
        <v>58</v>
      </c>
      <c r="Z4241">
        <v>0</v>
      </c>
      <c r="AA4241" t="s">
        <v>49</v>
      </c>
      <c r="AB4241">
        <v>0</v>
      </c>
      <c r="AC4241" t="s">
        <v>49</v>
      </c>
      <c r="AD4241">
        <v>0</v>
      </c>
      <c r="AE4241">
        <v>10565106</v>
      </c>
      <c r="AF4241" t="s">
        <v>50</v>
      </c>
      <c r="AG4241" t="s">
        <v>8332</v>
      </c>
    </row>
    <row r="4242" spans="1:33" x14ac:dyDescent="0.35">
      <c r="A4242" s="1">
        <v>44614.007638888892</v>
      </c>
      <c r="B4242">
        <v>880725</v>
      </c>
      <c r="C4242" t="s">
        <v>8726</v>
      </c>
      <c r="D4242" t="s">
        <v>502</v>
      </c>
      <c r="E4242" s="2">
        <v>41029</v>
      </c>
      <c r="F4242" t="str">
        <f>"9781139375573"</f>
        <v>9781139375573</v>
      </c>
      <c r="G4242" t="str">
        <f>"9781107008427"</f>
        <v>9781107008427</v>
      </c>
      <c r="H4242" t="s">
        <v>712</v>
      </c>
      <c r="I4242" t="s">
        <v>8727</v>
      </c>
      <c r="J4242" t="s">
        <v>8728</v>
      </c>
      <c r="K4242" t="s">
        <v>44</v>
      </c>
      <c r="N4242" t="s">
        <v>45</v>
      </c>
      <c r="O4242" t="s">
        <v>46</v>
      </c>
      <c r="P4242" t="s">
        <v>45</v>
      </c>
      <c r="Q4242" t="s">
        <v>47</v>
      </c>
      <c r="R4242" t="s">
        <v>44</v>
      </c>
      <c r="S4242">
        <v>0</v>
      </c>
      <c r="W4242" s="3">
        <v>6.9444444444444444E-5</v>
      </c>
      <c r="X4242" t="s">
        <v>121</v>
      </c>
      <c r="Y4242">
        <v>1</v>
      </c>
      <c r="Z4242">
        <v>0</v>
      </c>
      <c r="AA4242" t="s">
        <v>49</v>
      </c>
      <c r="AB4242">
        <v>0</v>
      </c>
      <c r="AC4242" t="s">
        <v>49</v>
      </c>
      <c r="AD4242">
        <v>0</v>
      </c>
      <c r="AE4242">
        <v>10565106</v>
      </c>
      <c r="AF4242" t="s">
        <v>50</v>
      </c>
      <c r="AG4242" t="s">
        <v>8332</v>
      </c>
    </row>
    <row r="4243" spans="1:33" x14ac:dyDescent="0.35">
      <c r="A4243" s="1">
        <v>44613.990277777775</v>
      </c>
      <c r="B4243">
        <v>1344599</v>
      </c>
      <c r="C4243" t="s">
        <v>6832</v>
      </c>
      <c r="D4243" t="s">
        <v>76</v>
      </c>
      <c r="E4243" s="2">
        <v>41514</v>
      </c>
      <c r="F4243" t="str">
        <f>"9781135007959"</f>
        <v>9781135007959</v>
      </c>
      <c r="G4243" t="str">
        <f>"9780415780858"</f>
        <v>9780415780858</v>
      </c>
      <c r="H4243" t="s">
        <v>162</v>
      </c>
      <c r="I4243">
        <v>297</v>
      </c>
      <c r="J4243" t="s">
        <v>6833</v>
      </c>
      <c r="K4243" t="s">
        <v>44</v>
      </c>
      <c r="N4243" t="s">
        <v>45</v>
      </c>
      <c r="O4243" t="s">
        <v>46</v>
      </c>
      <c r="P4243" t="s">
        <v>45</v>
      </c>
      <c r="Q4243" t="s">
        <v>47</v>
      </c>
      <c r="R4243" t="s">
        <v>44</v>
      </c>
      <c r="S4243">
        <v>0</v>
      </c>
      <c r="W4243" s="3">
        <v>4.1203703703703706E-3</v>
      </c>
      <c r="X4243" t="s">
        <v>8740</v>
      </c>
      <c r="Y4243">
        <v>33</v>
      </c>
      <c r="Z4243">
        <v>0</v>
      </c>
      <c r="AA4243" t="s">
        <v>49</v>
      </c>
      <c r="AB4243">
        <v>0</v>
      </c>
      <c r="AC4243" t="s">
        <v>8039</v>
      </c>
      <c r="AD4243">
        <v>2</v>
      </c>
      <c r="AE4243">
        <v>10747206</v>
      </c>
      <c r="AF4243" t="s">
        <v>50</v>
      </c>
      <c r="AG4243" t="s">
        <v>7910</v>
      </c>
    </row>
    <row r="4244" spans="1:33" x14ac:dyDescent="0.35">
      <c r="A4244" s="1">
        <v>44613.963888888888</v>
      </c>
      <c r="B4244">
        <v>1394600</v>
      </c>
      <c r="C4244" t="s">
        <v>8741</v>
      </c>
      <c r="D4244" t="s">
        <v>502</v>
      </c>
      <c r="E4244" s="2">
        <v>41568</v>
      </c>
      <c r="F4244" t="str">
        <f>"9781107421516"</f>
        <v>9781107421516</v>
      </c>
      <c r="G4244" t="str">
        <f>"9781107041486"</f>
        <v>9781107041486</v>
      </c>
      <c r="H4244" t="s">
        <v>712</v>
      </c>
      <c r="I4244" t="s">
        <v>1490</v>
      </c>
      <c r="J4244" t="s">
        <v>8742</v>
      </c>
      <c r="K4244" t="s">
        <v>44</v>
      </c>
      <c r="N4244" t="s">
        <v>45</v>
      </c>
      <c r="O4244" t="s">
        <v>46</v>
      </c>
      <c r="P4244" t="s">
        <v>45</v>
      </c>
      <c r="Q4244" t="s">
        <v>47</v>
      </c>
      <c r="R4244" t="s">
        <v>44</v>
      </c>
      <c r="S4244">
        <v>0</v>
      </c>
      <c r="W4244" s="3">
        <v>6.7361111111111103E-3</v>
      </c>
      <c r="X4244" t="s">
        <v>8743</v>
      </c>
      <c r="Y4244">
        <v>6</v>
      </c>
      <c r="Z4244">
        <v>0</v>
      </c>
      <c r="AA4244" t="s">
        <v>49</v>
      </c>
      <c r="AB4244">
        <v>0</v>
      </c>
      <c r="AC4244" t="s">
        <v>49</v>
      </c>
      <c r="AD4244">
        <v>0</v>
      </c>
      <c r="AE4244">
        <v>10774079</v>
      </c>
      <c r="AF4244" t="s">
        <v>50</v>
      </c>
      <c r="AG4244" t="s">
        <v>7910</v>
      </c>
    </row>
    <row r="4245" spans="1:33" x14ac:dyDescent="0.35">
      <c r="A4245" s="1">
        <v>44613.962500000001</v>
      </c>
      <c r="B4245">
        <v>310690</v>
      </c>
      <c r="C4245" t="s">
        <v>3233</v>
      </c>
      <c r="D4245" t="s">
        <v>2754</v>
      </c>
      <c r="E4245" s="2">
        <v>38412</v>
      </c>
      <c r="F4245" t="str">
        <f>"9780816696321"</f>
        <v>9780816696321</v>
      </c>
      <c r="G4245" t="str">
        <f>"9780816644100"</f>
        <v>9780816644100</v>
      </c>
      <c r="H4245" t="s">
        <v>3234</v>
      </c>
      <c r="I4245">
        <v>322.10956099999999</v>
      </c>
      <c r="J4245" t="s">
        <v>3235</v>
      </c>
      <c r="K4245" t="s">
        <v>44</v>
      </c>
      <c r="N4245" t="s">
        <v>45</v>
      </c>
      <c r="O4245" t="s">
        <v>46</v>
      </c>
      <c r="P4245" t="s">
        <v>45</v>
      </c>
      <c r="Q4245" t="s">
        <v>47</v>
      </c>
      <c r="R4245" t="s">
        <v>44</v>
      </c>
      <c r="S4245">
        <v>0</v>
      </c>
      <c r="W4245" s="3">
        <v>4.4745370370370373E-2</v>
      </c>
      <c r="X4245" t="s">
        <v>8744</v>
      </c>
      <c r="Y4245">
        <v>29</v>
      </c>
      <c r="Z4245">
        <v>0</v>
      </c>
      <c r="AA4245" t="s">
        <v>49</v>
      </c>
      <c r="AB4245">
        <v>0</v>
      </c>
      <c r="AC4245" t="s">
        <v>49</v>
      </c>
      <c r="AD4245">
        <v>0</v>
      </c>
      <c r="AE4245">
        <v>10151200</v>
      </c>
      <c r="AF4245" t="s">
        <v>50</v>
      </c>
      <c r="AG4245" t="s">
        <v>7910</v>
      </c>
    </row>
    <row r="4246" spans="1:33" x14ac:dyDescent="0.35">
      <c r="A4246" s="1">
        <v>44613.95</v>
      </c>
      <c r="B4246">
        <v>4755328</v>
      </c>
      <c r="C4246" t="s">
        <v>8206</v>
      </c>
      <c r="D4246" t="s">
        <v>76</v>
      </c>
      <c r="E4246" s="2">
        <v>38014</v>
      </c>
      <c r="F4246" t="str">
        <f>"9781351889551"</f>
        <v>9781351889551</v>
      </c>
      <c r="G4246" t="str">
        <f>"9780860787143"</f>
        <v>9780860787143</v>
      </c>
      <c r="H4246" t="s">
        <v>712</v>
      </c>
      <c r="I4246" t="s">
        <v>1490</v>
      </c>
      <c r="J4246" t="s">
        <v>8207</v>
      </c>
      <c r="K4246" t="s">
        <v>44</v>
      </c>
      <c r="N4246" t="s">
        <v>45</v>
      </c>
      <c r="O4246" t="s">
        <v>46</v>
      </c>
      <c r="P4246" t="s">
        <v>45</v>
      </c>
      <c r="Q4246" t="s">
        <v>47</v>
      </c>
      <c r="R4246" t="s">
        <v>44</v>
      </c>
      <c r="S4246">
        <v>0</v>
      </c>
      <c r="W4246" s="3">
        <v>1.9768518518518515E-2</v>
      </c>
      <c r="X4246" t="s">
        <v>8745</v>
      </c>
      <c r="Y4246">
        <v>15</v>
      </c>
      <c r="Z4246">
        <v>0</v>
      </c>
      <c r="AA4246" t="s">
        <v>49</v>
      </c>
      <c r="AB4246">
        <v>0</v>
      </c>
      <c r="AC4246" t="s">
        <v>49</v>
      </c>
      <c r="AD4246">
        <v>0</v>
      </c>
      <c r="AE4246">
        <v>11309413</v>
      </c>
      <c r="AF4246" t="s">
        <v>50</v>
      </c>
      <c r="AG4246" t="s">
        <v>7910</v>
      </c>
    </row>
    <row r="4247" spans="1:33" x14ac:dyDescent="0.35">
      <c r="A4247" s="1">
        <v>44613.883333333331</v>
      </c>
      <c r="B4247">
        <v>5796941</v>
      </c>
      <c r="C4247" t="s">
        <v>7395</v>
      </c>
      <c r="D4247" t="s">
        <v>844</v>
      </c>
      <c r="E4247" s="2">
        <v>43656</v>
      </c>
      <c r="F4247" t="str">
        <f>"9781787566811"</f>
        <v>9781787566811</v>
      </c>
      <c r="G4247" t="str">
        <f>"9781787566804"</f>
        <v>9781787566804</v>
      </c>
      <c r="H4247" t="s">
        <v>900</v>
      </c>
      <c r="I4247">
        <v>337.51056</v>
      </c>
      <c r="J4247" t="s">
        <v>1794</v>
      </c>
      <c r="K4247" t="s">
        <v>44</v>
      </c>
      <c r="N4247" t="s">
        <v>45</v>
      </c>
      <c r="O4247" t="s">
        <v>46</v>
      </c>
      <c r="P4247" t="s">
        <v>45</v>
      </c>
      <c r="Q4247" t="s">
        <v>47</v>
      </c>
      <c r="R4247" t="s">
        <v>44</v>
      </c>
      <c r="S4247">
        <v>0</v>
      </c>
      <c r="W4247" s="3">
        <v>8.3796296296296292E-3</v>
      </c>
      <c r="X4247" t="s">
        <v>8746</v>
      </c>
      <c r="Y4247">
        <v>9</v>
      </c>
      <c r="Z4247">
        <v>0</v>
      </c>
      <c r="AA4247" t="s">
        <v>49</v>
      </c>
      <c r="AB4247">
        <v>0</v>
      </c>
      <c r="AC4247" t="s">
        <v>5562</v>
      </c>
      <c r="AD4247">
        <v>1</v>
      </c>
      <c r="AE4247">
        <v>-1</v>
      </c>
      <c r="AF4247" t="s">
        <v>50</v>
      </c>
      <c r="AG4247" t="s">
        <v>300</v>
      </c>
    </row>
    <row r="4248" spans="1:33" x14ac:dyDescent="0.35">
      <c r="A4248" s="1">
        <v>44613.84652777778</v>
      </c>
      <c r="B4248">
        <v>536977</v>
      </c>
      <c r="C4248" t="s">
        <v>1900</v>
      </c>
      <c r="D4248" t="s">
        <v>507</v>
      </c>
      <c r="E4248" s="2">
        <v>40043</v>
      </c>
      <c r="F4248" t="str">
        <f>"9780748637942"</f>
        <v>9780748637942</v>
      </c>
      <c r="G4248" t="str">
        <f>"9780748637928"</f>
        <v>9780748637928</v>
      </c>
      <c r="H4248" t="s">
        <v>162</v>
      </c>
      <c r="I4248">
        <v>297</v>
      </c>
      <c r="J4248" t="s">
        <v>1901</v>
      </c>
      <c r="K4248" t="s">
        <v>44</v>
      </c>
      <c r="N4248" t="s">
        <v>45</v>
      </c>
      <c r="O4248" t="s">
        <v>46</v>
      </c>
      <c r="P4248" t="s">
        <v>45</v>
      </c>
      <c r="Q4248" t="s">
        <v>47</v>
      </c>
      <c r="R4248" t="s">
        <v>44</v>
      </c>
      <c r="S4248">
        <v>0</v>
      </c>
      <c r="W4248" s="3">
        <v>1.4398148148148148E-2</v>
      </c>
      <c r="X4248" t="s">
        <v>8747</v>
      </c>
      <c r="Y4248">
        <v>37</v>
      </c>
      <c r="Z4248">
        <v>0</v>
      </c>
      <c r="AA4248" t="s">
        <v>49</v>
      </c>
      <c r="AB4248">
        <v>0</v>
      </c>
      <c r="AC4248" t="s">
        <v>49</v>
      </c>
      <c r="AD4248">
        <v>0</v>
      </c>
      <c r="AE4248">
        <v>10391780</v>
      </c>
      <c r="AF4248" t="s">
        <v>50</v>
      </c>
      <c r="AG4248" t="s">
        <v>8238</v>
      </c>
    </row>
    <row r="4249" spans="1:33" x14ac:dyDescent="0.35">
      <c r="A4249" s="1">
        <v>44613.842361111114</v>
      </c>
      <c r="B4249">
        <v>1895580</v>
      </c>
      <c r="C4249" t="s">
        <v>3561</v>
      </c>
      <c r="D4249" t="s">
        <v>59</v>
      </c>
      <c r="E4249" s="2">
        <v>42010</v>
      </c>
      <c r="F4249" t="str">
        <f>"9781118759035"</f>
        <v>9781118759035</v>
      </c>
      <c r="G4249" t="str">
        <f>"9781118759066"</f>
        <v>9781118759066</v>
      </c>
      <c r="H4249" t="s">
        <v>483</v>
      </c>
      <c r="I4249">
        <v>720.95</v>
      </c>
      <c r="J4249" t="s">
        <v>3562</v>
      </c>
      <c r="K4249" t="s">
        <v>44</v>
      </c>
      <c r="N4249" t="s">
        <v>45</v>
      </c>
      <c r="O4249" t="s">
        <v>46</v>
      </c>
      <c r="P4249" t="s">
        <v>45</v>
      </c>
      <c r="Q4249" t="s">
        <v>47</v>
      </c>
      <c r="R4249" t="s">
        <v>44</v>
      </c>
      <c r="S4249">
        <v>0</v>
      </c>
      <c r="W4249" s="3">
        <v>6.6898148148148142E-3</v>
      </c>
      <c r="X4249" t="s">
        <v>8748</v>
      </c>
      <c r="Y4249">
        <v>23</v>
      </c>
      <c r="Z4249">
        <v>0</v>
      </c>
      <c r="AA4249" t="s">
        <v>49</v>
      </c>
      <c r="AB4249">
        <v>0</v>
      </c>
      <c r="AC4249" t="s">
        <v>49</v>
      </c>
      <c r="AD4249">
        <v>0</v>
      </c>
      <c r="AE4249">
        <v>11055099</v>
      </c>
      <c r="AF4249" t="s">
        <v>50</v>
      </c>
      <c r="AG4249" t="s">
        <v>1216</v>
      </c>
    </row>
    <row r="4250" spans="1:33" x14ac:dyDescent="0.35">
      <c r="A4250" s="1">
        <v>44613.82708333333</v>
      </c>
      <c r="B4250">
        <v>240329</v>
      </c>
      <c r="C4250" t="s">
        <v>8749</v>
      </c>
      <c r="D4250" t="s">
        <v>76</v>
      </c>
      <c r="E4250" s="2">
        <v>35951</v>
      </c>
      <c r="F4250" t="str">
        <f>"9780203980651"</f>
        <v>9780203980651</v>
      </c>
      <c r="G4250" t="str">
        <f>"9780415149389"</f>
        <v>9780415149389</v>
      </c>
      <c r="H4250" t="s">
        <v>525</v>
      </c>
      <c r="I4250">
        <v>306.46100000000001</v>
      </c>
      <c r="J4250" t="s">
        <v>8750</v>
      </c>
      <c r="K4250" t="s">
        <v>44</v>
      </c>
      <c r="N4250" t="s">
        <v>45</v>
      </c>
      <c r="O4250" t="s">
        <v>46</v>
      </c>
      <c r="P4250" t="s">
        <v>45</v>
      </c>
      <c r="Q4250" t="s">
        <v>47</v>
      </c>
      <c r="R4250" t="s">
        <v>44</v>
      </c>
      <c r="S4250">
        <v>0</v>
      </c>
      <c r="W4250" s="3">
        <v>5.9490740740740745E-3</v>
      </c>
      <c r="X4250" t="s">
        <v>8751</v>
      </c>
      <c r="Y4250">
        <v>19</v>
      </c>
      <c r="Z4250">
        <v>0</v>
      </c>
      <c r="AA4250" t="s">
        <v>49</v>
      </c>
      <c r="AB4250">
        <v>0</v>
      </c>
      <c r="AC4250" t="s">
        <v>49</v>
      </c>
      <c r="AD4250">
        <v>0</v>
      </c>
      <c r="AE4250">
        <v>10100588</v>
      </c>
      <c r="AF4250" t="s">
        <v>50</v>
      </c>
      <c r="AG4250" t="s">
        <v>7910</v>
      </c>
    </row>
    <row r="4251" spans="1:33" x14ac:dyDescent="0.35">
      <c r="A4251" s="1">
        <v>44613.823611111111</v>
      </c>
      <c r="B4251">
        <v>880725</v>
      </c>
      <c r="C4251" t="s">
        <v>8726</v>
      </c>
      <c r="D4251" t="s">
        <v>502</v>
      </c>
      <c r="E4251" s="2">
        <v>41029</v>
      </c>
      <c r="F4251" t="str">
        <f>"9781139375573"</f>
        <v>9781139375573</v>
      </c>
      <c r="G4251" t="str">
        <f>"9781107008427"</f>
        <v>9781107008427</v>
      </c>
      <c r="H4251" t="s">
        <v>712</v>
      </c>
      <c r="I4251" t="s">
        <v>8727</v>
      </c>
      <c r="J4251" t="s">
        <v>8728</v>
      </c>
      <c r="K4251" t="s">
        <v>44</v>
      </c>
      <c r="N4251" t="s">
        <v>45</v>
      </c>
      <c r="O4251" t="s">
        <v>46</v>
      </c>
      <c r="P4251" t="s">
        <v>45</v>
      </c>
      <c r="Q4251" t="s">
        <v>47</v>
      </c>
      <c r="R4251" t="s">
        <v>44</v>
      </c>
      <c r="S4251">
        <v>0</v>
      </c>
      <c r="W4251" s="3">
        <v>3.3564814814814812E-4</v>
      </c>
      <c r="X4251" t="s">
        <v>8752</v>
      </c>
      <c r="Y4251">
        <v>2</v>
      </c>
      <c r="Z4251">
        <v>0</v>
      </c>
      <c r="AA4251" t="s">
        <v>49</v>
      </c>
      <c r="AB4251">
        <v>0</v>
      </c>
      <c r="AC4251" t="s">
        <v>49</v>
      </c>
      <c r="AD4251">
        <v>0</v>
      </c>
      <c r="AE4251">
        <v>10565106</v>
      </c>
      <c r="AF4251" t="s">
        <v>50</v>
      </c>
      <c r="AG4251" t="s">
        <v>7910</v>
      </c>
    </row>
    <row r="4252" spans="1:33" x14ac:dyDescent="0.35">
      <c r="A4252" s="1">
        <v>44613.770138888889</v>
      </c>
      <c r="B4252">
        <v>182841</v>
      </c>
      <c r="C4252" t="s">
        <v>8753</v>
      </c>
      <c r="D4252" t="s">
        <v>76</v>
      </c>
      <c r="E4252" s="2">
        <v>37680</v>
      </c>
      <c r="F4252" t="str">
        <f>"9780203504239"</f>
        <v>9780203504239</v>
      </c>
      <c r="G4252" t="str">
        <f>"9780415945295"</f>
        <v>9780415945295</v>
      </c>
      <c r="H4252" t="s">
        <v>712</v>
      </c>
      <c r="I4252" t="s">
        <v>8754</v>
      </c>
      <c r="J4252" t="s">
        <v>8755</v>
      </c>
      <c r="K4252" t="s">
        <v>44</v>
      </c>
      <c r="N4252" t="s">
        <v>45</v>
      </c>
      <c r="O4252" t="s">
        <v>46</v>
      </c>
      <c r="P4252" t="s">
        <v>45</v>
      </c>
      <c r="Q4252" t="s">
        <v>47</v>
      </c>
      <c r="R4252" t="s">
        <v>44</v>
      </c>
      <c r="S4252">
        <v>0</v>
      </c>
      <c r="W4252" s="3">
        <v>3.8043981481481477E-2</v>
      </c>
      <c r="X4252" t="s">
        <v>8756</v>
      </c>
      <c r="Y4252">
        <v>21</v>
      </c>
      <c r="Z4252">
        <v>0</v>
      </c>
      <c r="AA4252" t="s">
        <v>49</v>
      </c>
      <c r="AB4252">
        <v>0</v>
      </c>
      <c r="AC4252" t="s">
        <v>49</v>
      </c>
      <c r="AD4252">
        <v>0</v>
      </c>
      <c r="AE4252">
        <v>10986557</v>
      </c>
      <c r="AF4252" t="s">
        <v>50</v>
      </c>
      <c r="AG4252" t="s">
        <v>7910</v>
      </c>
    </row>
    <row r="4253" spans="1:33" x14ac:dyDescent="0.35">
      <c r="A4253" s="1">
        <v>44613.759027777778</v>
      </c>
      <c r="B4253">
        <v>5796941</v>
      </c>
      <c r="C4253" t="s">
        <v>7395</v>
      </c>
      <c r="D4253" t="s">
        <v>844</v>
      </c>
      <c r="E4253" s="2">
        <v>43656</v>
      </c>
      <c r="F4253" t="str">
        <f>"9781787566811"</f>
        <v>9781787566811</v>
      </c>
      <c r="G4253" t="str">
        <f>"9781787566804"</f>
        <v>9781787566804</v>
      </c>
      <c r="H4253" t="s">
        <v>900</v>
      </c>
      <c r="I4253">
        <v>337.51056</v>
      </c>
      <c r="J4253" t="s">
        <v>1794</v>
      </c>
      <c r="K4253" t="s">
        <v>44</v>
      </c>
      <c r="N4253" t="s">
        <v>45</v>
      </c>
      <c r="O4253" t="s">
        <v>46</v>
      </c>
      <c r="P4253" t="s">
        <v>45</v>
      </c>
      <c r="Q4253" t="s">
        <v>47</v>
      </c>
      <c r="R4253" t="s">
        <v>44</v>
      </c>
      <c r="S4253">
        <v>0</v>
      </c>
      <c r="W4253" s="3">
        <v>8.113425925925925E-3</v>
      </c>
      <c r="X4253" t="s">
        <v>8757</v>
      </c>
      <c r="Y4253">
        <v>12</v>
      </c>
      <c r="Z4253">
        <v>0</v>
      </c>
      <c r="AA4253" t="s">
        <v>49</v>
      </c>
      <c r="AB4253">
        <v>0</v>
      </c>
      <c r="AC4253" t="s">
        <v>8758</v>
      </c>
      <c r="AD4253">
        <v>2</v>
      </c>
      <c r="AE4253">
        <v>-1</v>
      </c>
      <c r="AF4253" t="s">
        <v>50</v>
      </c>
      <c r="AG4253" t="s">
        <v>7910</v>
      </c>
    </row>
    <row r="4254" spans="1:33" x14ac:dyDescent="0.35">
      <c r="A4254" s="1">
        <v>44613.74722222222</v>
      </c>
      <c r="B4254">
        <v>536977</v>
      </c>
      <c r="C4254" t="s">
        <v>1900</v>
      </c>
      <c r="D4254" t="s">
        <v>507</v>
      </c>
      <c r="E4254" s="2">
        <v>40043</v>
      </c>
      <c r="F4254" t="str">
        <f>"9780748637942"</f>
        <v>9780748637942</v>
      </c>
      <c r="G4254" t="str">
        <f>"9780748637928"</f>
        <v>9780748637928</v>
      </c>
      <c r="H4254" t="s">
        <v>162</v>
      </c>
      <c r="I4254">
        <v>297</v>
      </c>
      <c r="J4254" t="s">
        <v>1901</v>
      </c>
      <c r="K4254" t="s">
        <v>44</v>
      </c>
      <c r="N4254" t="s">
        <v>45</v>
      </c>
      <c r="O4254" t="s">
        <v>46</v>
      </c>
      <c r="P4254" t="s">
        <v>45</v>
      </c>
      <c r="Q4254" t="s">
        <v>47</v>
      </c>
      <c r="R4254" t="s">
        <v>44</v>
      </c>
      <c r="S4254">
        <v>0</v>
      </c>
      <c r="W4254" s="3">
        <v>1.2962962962962963E-3</v>
      </c>
      <c r="X4254" t="s">
        <v>8759</v>
      </c>
      <c r="Y4254">
        <v>5</v>
      </c>
      <c r="Z4254">
        <v>0</v>
      </c>
      <c r="AA4254" t="s">
        <v>49</v>
      </c>
      <c r="AB4254">
        <v>0</v>
      </c>
      <c r="AC4254" t="s">
        <v>49</v>
      </c>
      <c r="AD4254">
        <v>0</v>
      </c>
      <c r="AE4254">
        <v>10391780</v>
      </c>
      <c r="AF4254" t="s">
        <v>50</v>
      </c>
      <c r="AG4254" t="s">
        <v>7910</v>
      </c>
    </row>
    <row r="4255" spans="1:33" x14ac:dyDescent="0.35">
      <c r="A4255" s="1">
        <v>44613.694444444445</v>
      </c>
      <c r="B4255">
        <v>536977</v>
      </c>
      <c r="C4255" t="s">
        <v>1900</v>
      </c>
      <c r="D4255" t="s">
        <v>507</v>
      </c>
      <c r="E4255" s="2">
        <v>40043</v>
      </c>
      <c r="F4255" t="str">
        <f>"9780748637942"</f>
        <v>9780748637942</v>
      </c>
      <c r="G4255" t="str">
        <f>"9780748637928"</f>
        <v>9780748637928</v>
      </c>
      <c r="H4255" t="s">
        <v>162</v>
      </c>
      <c r="I4255">
        <v>297</v>
      </c>
      <c r="J4255" t="s">
        <v>1901</v>
      </c>
      <c r="K4255" t="s">
        <v>44</v>
      </c>
      <c r="N4255" t="s">
        <v>45</v>
      </c>
      <c r="O4255" t="s">
        <v>46</v>
      </c>
      <c r="P4255" t="s">
        <v>45</v>
      </c>
      <c r="Q4255" t="s">
        <v>47</v>
      </c>
      <c r="R4255" t="s">
        <v>44</v>
      </c>
      <c r="S4255">
        <v>0</v>
      </c>
      <c r="W4255" s="3">
        <v>3.9236111111111112E-3</v>
      </c>
      <c r="X4255" t="s">
        <v>8760</v>
      </c>
      <c r="Y4255">
        <v>13</v>
      </c>
      <c r="Z4255">
        <v>0</v>
      </c>
      <c r="AA4255" t="s">
        <v>49</v>
      </c>
      <c r="AB4255">
        <v>0</v>
      </c>
      <c r="AC4255" t="s">
        <v>49</v>
      </c>
      <c r="AD4255">
        <v>0</v>
      </c>
      <c r="AE4255">
        <v>10391780</v>
      </c>
      <c r="AF4255" t="s">
        <v>50</v>
      </c>
      <c r="AG4255" t="s">
        <v>7910</v>
      </c>
    </row>
    <row r="4256" spans="1:33" x14ac:dyDescent="0.35">
      <c r="A4256" s="1">
        <v>44613.691666666666</v>
      </c>
      <c r="B4256">
        <v>1895580</v>
      </c>
      <c r="C4256" t="s">
        <v>3561</v>
      </c>
      <c r="D4256" t="s">
        <v>59</v>
      </c>
      <c r="E4256" s="2">
        <v>42010</v>
      </c>
      <c r="F4256" t="str">
        <f>"9781118759035"</f>
        <v>9781118759035</v>
      </c>
      <c r="G4256" t="str">
        <f>"9781118759066"</f>
        <v>9781118759066</v>
      </c>
      <c r="H4256" t="s">
        <v>483</v>
      </c>
      <c r="I4256">
        <v>720.95</v>
      </c>
      <c r="J4256" t="s">
        <v>3562</v>
      </c>
      <c r="K4256" t="s">
        <v>44</v>
      </c>
      <c r="N4256" t="s">
        <v>45</v>
      </c>
      <c r="O4256" t="s">
        <v>46</v>
      </c>
      <c r="P4256" t="s">
        <v>45</v>
      </c>
      <c r="Q4256" t="s">
        <v>47</v>
      </c>
      <c r="R4256" t="s">
        <v>44</v>
      </c>
      <c r="S4256">
        <v>0</v>
      </c>
      <c r="W4256" s="3">
        <v>5.2083333333333333E-4</v>
      </c>
      <c r="X4256" t="s">
        <v>8761</v>
      </c>
      <c r="Y4256">
        <v>3</v>
      </c>
      <c r="Z4256">
        <v>0</v>
      </c>
      <c r="AA4256" t="s">
        <v>49</v>
      </c>
      <c r="AB4256">
        <v>0</v>
      </c>
      <c r="AC4256" t="s">
        <v>49</v>
      </c>
      <c r="AD4256">
        <v>0</v>
      </c>
      <c r="AE4256">
        <v>11055099</v>
      </c>
      <c r="AF4256" t="s">
        <v>50</v>
      </c>
      <c r="AG4256" t="s">
        <v>1216</v>
      </c>
    </row>
    <row r="4257" spans="1:33" x14ac:dyDescent="0.35">
      <c r="A4257" s="1">
        <v>44613.672222222223</v>
      </c>
      <c r="B4257">
        <v>4305980</v>
      </c>
      <c r="C4257" t="s">
        <v>8053</v>
      </c>
      <c r="D4257" t="s">
        <v>1034</v>
      </c>
      <c r="E4257" s="2">
        <v>42339</v>
      </c>
      <c r="F4257" t="str">
        <f>"9780295806341"</f>
        <v>9780295806341</v>
      </c>
      <c r="G4257" t="str">
        <f>"9780295995311"</f>
        <v>9780295995311</v>
      </c>
      <c r="H4257" t="s">
        <v>1046</v>
      </c>
      <c r="I4257">
        <v>305.42095949999998</v>
      </c>
      <c r="J4257" t="s">
        <v>8054</v>
      </c>
      <c r="K4257" t="s">
        <v>44</v>
      </c>
      <c r="N4257" t="s">
        <v>45</v>
      </c>
      <c r="O4257" t="s">
        <v>46</v>
      </c>
      <c r="P4257" t="s">
        <v>45</v>
      </c>
      <c r="Q4257" t="s">
        <v>47</v>
      </c>
      <c r="R4257" t="s">
        <v>44</v>
      </c>
      <c r="S4257">
        <v>0</v>
      </c>
      <c r="W4257" s="3">
        <v>1.082175925925926E-2</v>
      </c>
      <c r="X4257" t="s">
        <v>8762</v>
      </c>
      <c r="Y4257">
        <v>16</v>
      </c>
      <c r="Z4257">
        <v>0</v>
      </c>
      <c r="AA4257" t="s">
        <v>49</v>
      </c>
      <c r="AB4257">
        <v>0</v>
      </c>
      <c r="AC4257" t="s">
        <v>49</v>
      </c>
      <c r="AD4257">
        <v>0</v>
      </c>
      <c r="AE4257">
        <v>11137345</v>
      </c>
      <c r="AF4257" t="s">
        <v>50</v>
      </c>
      <c r="AG4257" t="s">
        <v>7910</v>
      </c>
    </row>
    <row r="4258" spans="1:33" x14ac:dyDescent="0.35">
      <c r="A4258" s="1">
        <v>44613.656944444447</v>
      </c>
      <c r="B4258">
        <v>5796941</v>
      </c>
      <c r="C4258" t="s">
        <v>7395</v>
      </c>
      <c r="D4258" t="s">
        <v>844</v>
      </c>
      <c r="E4258" s="2">
        <v>43656</v>
      </c>
      <c r="F4258" t="str">
        <f>"9781787566811"</f>
        <v>9781787566811</v>
      </c>
      <c r="G4258" t="str">
        <f>"9781787566804"</f>
        <v>9781787566804</v>
      </c>
      <c r="H4258" t="s">
        <v>900</v>
      </c>
      <c r="I4258">
        <v>337.51056</v>
      </c>
      <c r="J4258" t="s">
        <v>1794</v>
      </c>
      <c r="K4258" t="s">
        <v>44</v>
      </c>
      <c r="N4258" t="s">
        <v>45</v>
      </c>
      <c r="O4258" t="s">
        <v>46</v>
      </c>
      <c r="P4258" t="s">
        <v>45</v>
      </c>
      <c r="Q4258" t="s">
        <v>47</v>
      </c>
      <c r="R4258" t="s">
        <v>44</v>
      </c>
      <c r="S4258">
        <v>0</v>
      </c>
      <c r="W4258" s="3">
        <v>1.273148148148148E-4</v>
      </c>
      <c r="X4258" t="s">
        <v>320</v>
      </c>
      <c r="Y4258">
        <v>3</v>
      </c>
      <c r="Z4258">
        <v>0</v>
      </c>
      <c r="AA4258" t="s">
        <v>49</v>
      </c>
      <c r="AB4258">
        <v>0</v>
      </c>
      <c r="AC4258" t="s">
        <v>49</v>
      </c>
      <c r="AD4258">
        <v>0</v>
      </c>
      <c r="AE4258">
        <v>-1</v>
      </c>
      <c r="AF4258" t="s">
        <v>50</v>
      </c>
      <c r="AG4258" t="s">
        <v>1816</v>
      </c>
    </row>
    <row r="4259" spans="1:33" x14ac:dyDescent="0.35">
      <c r="A4259" s="1">
        <v>44613.640972222223</v>
      </c>
      <c r="B4259">
        <v>661781</v>
      </c>
      <c r="C4259" t="s">
        <v>8671</v>
      </c>
      <c r="D4259" t="s">
        <v>59</v>
      </c>
      <c r="E4259" s="2">
        <v>40623</v>
      </c>
      <c r="F4259" t="str">
        <f>"9780470684337"</f>
        <v>9780470684337</v>
      </c>
      <c r="G4259" t="str">
        <f>"9780470741887"</f>
        <v>9780470741887</v>
      </c>
      <c r="H4259" t="s">
        <v>811</v>
      </c>
      <c r="I4259" t="s">
        <v>8672</v>
      </c>
      <c r="J4259" t="s">
        <v>8673</v>
      </c>
      <c r="K4259" t="s">
        <v>44</v>
      </c>
      <c r="N4259" t="s">
        <v>45</v>
      </c>
      <c r="O4259" t="s">
        <v>46</v>
      </c>
      <c r="P4259" t="s">
        <v>45</v>
      </c>
      <c r="Q4259" t="s">
        <v>47</v>
      </c>
      <c r="R4259" t="s">
        <v>44</v>
      </c>
      <c r="S4259">
        <v>0</v>
      </c>
      <c r="W4259" s="3">
        <v>1.5555555555555553E-2</v>
      </c>
      <c r="X4259" t="s">
        <v>8763</v>
      </c>
      <c r="Y4259">
        <v>119</v>
      </c>
      <c r="Z4259">
        <v>0</v>
      </c>
      <c r="AA4259" t="s">
        <v>49</v>
      </c>
      <c r="AB4259">
        <v>0</v>
      </c>
      <c r="AC4259" t="s">
        <v>8764</v>
      </c>
      <c r="AD4259">
        <v>1</v>
      </c>
      <c r="AE4259">
        <v>10510618</v>
      </c>
      <c r="AF4259" t="s">
        <v>50</v>
      </c>
      <c r="AG4259" t="s">
        <v>1476</v>
      </c>
    </row>
    <row r="4260" spans="1:33" x14ac:dyDescent="0.35">
      <c r="A4260" s="1">
        <v>44613.636111111111</v>
      </c>
      <c r="B4260">
        <v>536977</v>
      </c>
      <c r="C4260" t="s">
        <v>1900</v>
      </c>
      <c r="D4260" t="s">
        <v>507</v>
      </c>
      <c r="E4260" s="2">
        <v>40043</v>
      </c>
      <c r="F4260" t="str">
        <f>"9780748637942"</f>
        <v>9780748637942</v>
      </c>
      <c r="G4260" t="str">
        <f>"9780748637928"</f>
        <v>9780748637928</v>
      </c>
      <c r="H4260" t="s">
        <v>162</v>
      </c>
      <c r="I4260">
        <v>297</v>
      </c>
      <c r="J4260" t="s">
        <v>1901</v>
      </c>
      <c r="K4260" t="s">
        <v>44</v>
      </c>
      <c r="N4260" t="s">
        <v>45</v>
      </c>
      <c r="O4260" t="s">
        <v>46</v>
      </c>
      <c r="P4260" t="s">
        <v>45</v>
      </c>
      <c r="Q4260" t="s">
        <v>47</v>
      </c>
      <c r="R4260" t="s">
        <v>44</v>
      </c>
      <c r="S4260">
        <v>0</v>
      </c>
      <c r="W4260" s="3">
        <v>3.6458333333333336E-2</v>
      </c>
      <c r="X4260" t="s">
        <v>8765</v>
      </c>
      <c r="Y4260">
        <v>11</v>
      </c>
      <c r="Z4260">
        <v>0</v>
      </c>
      <c r="AA4260" t="s">
        <v>49</v>
      </c>
      <c r="AB4260">
        <v>0</v>
      </c>
      <c r="AC4260" t="s">
        <v>49</v>
      </c>
      <c r="AD4260">
        <v>0</v>
      </c>
      <c r="AE4260">
        <v>10391780</v>
      </c>
      <c r="AF4260" t="s">
        <v>50</v>
      </c>
      <c r="AG4260" t="s">
        <v>7910</v>
      </c>
    </row>
    <row r="4261" spans="1:33" x14ac:dyDescent="0.35">
      <c r="A4261" s="1">
        <v>44613.620138888888</v>
      </c>
      <c r="B4261">
        <v>415724</v>
      </c>
      <c r="C4261" t="s">
        <v>731</v>
      </c>
      <c r="D4261" t="s">
        <v>125</v>
      </c>
      <c r="E4261" s="2">
        <v>39218</v>
      </c>
      <c r="F4261" t="str">
        <f>"9780195345988"</f>
        <v>9780195345988</v>
      </c>
      <c r="G4261" t="str">
        <f>"9780195187823"</f>
        <v>9780195187823</v>
      </c>
      <c r="H4261" t="s">
        <v>732</v>
      </c>
      <c r="I4261">
        <v>620.19204230000003</v>
      </c>
      <c r="J4261" t="s">
        <v>733</v>
      </c>
      <c r="K4261" t="s">
        <v>55</v>
      </c>
      <c r="N4261" t="s">
        <v>45</v>
      </c>
      <c r="O4261" t="s">
        <v>46</v>
      </c>
      <c r="P4261" t="s">
        <v>45</v>
      </c>
      <c r="Q4261" t="s">
        <v>47</v>
      </c>
      <c r="R4261" t="s">
        <v>44</v>
      </c>
      <c r="S4261">
        <v>0</v>
      </c>
      <c r="W4261" s="3">
        <v>3.0092592592592595E-4</v>
      </c>
      <c r="X4261" t="s">
        <v>8766</v>
      </c>
      <c r="Y4261">
        <v>6</v>
      </c>
      <c r="Z4261">
        <v>0</v>
      </c>
      <c r="AA4261" t="s">
        <v>49</v>
      </c>
      <c r="AB4261">
        <v>0</v>
      </c>
      <c r="AC4261" t="s">
        <v>49</v>
      </c>
      <c r="AD4261">
        <v>0</v>
      </c>
      <c r="AE4261">
        <v>10170127</v>
      </c>
      <c r="AF4261" t="s">
        <v>50</v>
      </c>
      <c r="AG4261" t="s">
        <v>7910</v>
      </c>
    </row>
    <row r="4262" spans="1:33" x14ac:dyDescent="0.35">
      <c r="A4262" s="1">
        <v>44613.605555555558</v>
      </c>
      <c r="B4262">
        <v>1629167</v>
      </c>
      <c r="C4262" t="s">
        <v>8487</v>
      </c>
      <c r="D4262" t="s">
        <v>59</v>
      </c>
      <c r="E4262" s="2">
        <v>41687</v>
      </c>
      <c r="F4262" t="str">
        <f>"9781118740071"</f>
        <v>9781118740071</v>
      </c>
      <c r="G4262" t="str">
        <f>"9781118458341"</f>
        <v>9781118458341</v>
      </c>
      <c r="H4262" t="s">
        <v>84</v>
      </c>
      <c r="I4262">
        <v>690</v>
      </c>
      <c r="J4262" t="s">
        <v>8488</v>
      </c>
      <c r="K4262" t="s">
        <v>44</v>
      </c>
      <c r="N4262" t="s">
        <v>45</v>
      </c>
      <c r="O4262" t="s">
        <v>46</v>
      </c>
      <c r="P4262" t="s">
        <v>45</v>
      </c>
      <c r="Q4262" t="s">
        <v>47</v>
      </c>
      <c r="R4262" t="s">
        <v>44</v>
      </c>
      <c r="S4262">
        <v>0</v>
      </c>
      <c r="W4262" s="3">
        <v>1.7361111111111112E-4</v>
      </c>
      <c r="X4262" t="s">
        <v>8767</v>
      </c>
      <c r="Y4262">
        <v>6</v>
      </c>
      <c r="Z4262">
        <v>0</v>
      </c>
      <c r="AA4262" t="s">
        <v>49</v>
      </c>
      <c r="AB4262">
        <v>0</v>
      </c>
      <c r="AC4262" t="s">
        <v>49</v>
      </c>
      <c r="AD4262">
        <v>0</v>
      </c>
      <c r="AE4262">
        <v>10837572</v>
      </c>
      <c r="AF4262" t="s">
        <v>50</v>
      </c>
      <c r="AG4262" t="s">
        <v>8692</v>
      </c>
    </row>
    <row r="4263" spans="1:33" x14ac:dyDescent="0.35">
      <c r="A4263" s="1">
        <v>44613.601388888892</v>
      </c>
      <c r="B4263">
        <v>1752699</v>
      </c>
      <c r="C4263" t="s">
        <v>8482</v>
      </c>
      <c r="D4263" t="s">
        <v>59</v>
      </c>
      <c r="E4263" s="2">
        <v>41828</v>
      </c>
      <c r="F4263" t="str">
        <f>"9781118648896"</f>
        <v>9781118648896</v>
      </c>
      <c r="G4263" t="str">
        <f>"9781118648889"</f>
        <v>9781118648889</v>
      </c>
      <c r="H4263" t="s">
        <v>8483</v>
      </c>
      <c r="I4263">
        <v>720.2856693</v>
      </c>
      <c r="J4263" t="s">
        <v>8484</v>
      </c>
      <c r="K4263" t="s">
        <v>44</v>
      </c>
      <c r="N4263" t="s">
        <v>45</v>
      </c>
      <c r="O4263" t="s">
        <v>46</v>
      </c>
      <c r="P4263" t="s">
        <v>45</v>
      </c>
      <c r="Q4263" t="s">
        <v>47</v>
      </c>
      <c r="R4263" t="s">
        <v>44</v>
      </c>
      <c r="S4263">
        <v>0</v>
      </c>
      <c r="W4263" s="3">
        <v>1.1458333333333333E-3</v>
      </c>
      <c r="X4263" t="s">
        <v>8768</v>
      </c>
      <c r="Y4263">
        <v>13</v>
      </c>
      <c r="Z4263">
        <v>0</v>
      </c>
      <c r="AA4263" t="s">
        <v>49</v>
      </c>
      <c r="AB4263">
        <v>0</v>
      </c>
      <c r="AC4263" t="s">
        <v>49</v>
      </c>
      <c r="AD4263">
        <v>0</v>
      </c>
      <c r="AE4263">
        <v>10899792</v>
      </c>
      <c r="AF4263" t="s">
        <v>50</v>
      </c>
      <c r="AG4263" t="s">
        <v>8692</v>
      </c>
    </row>
    <row r="4264" spans="1:33" x14ac:dyDescent="0.35">
      <c r="A4264" s="1">
        <v>44613.598611111112</v>
      </c>
      <c r="B4264">
        <v>3571170</v>
      </c>
      <c r="C4264" t="s">
        <v>8698</v>
      </c>
      <c r="D4264" t="s">
        <v>8699</v>
      </c>
      <c r="E4264" s="2">
        <v>40877</v>
      </c>
      <c r="F4264" t="str">
        <f>"9780268081737"</f>
        <v>9780268081737</v>
      </c>
      <c r="G4264" t="str">
        <f>"9780268031107"</f>
        <v>9780268031107</v>
      </c>
      <c r="H4264" t="s">
        <v>811</v>
      </c>
      <c r="I4264" t="s">
        <v>8700</v>
      </c>
      <c r="K4264" t="s">
        <v>44</v>
      </c>
      <c r="N4264" t="s">
        <v>45</v>
      </c>
      <c r="O4264" t="s">
        <v>46</v>
      </c>
      <c r="P4264" t="s">
        <v>45</v>
      </c>
      <c r="Q4264" t="s">
        <v>47</v>
      </c>
      <c r="R4264" t="s">
        <v>44</v>
      </c>
      <c r="S4264">
        <v>0</v>
      </c>
      <c r="W4264" s="3">
        <v>3.2407407407407406E-4</v>
      </c>
      <c r="X4264" t="s">
        <v>8769</v>
      </c>
      <c r="Y4264">
        <v>7</v>
      </c>
      <c r="Z4264">
        <v>0</v>
      </c>
      <c r="AA4264" t="s">
        <v>49</v>
      </c>
      <c r="AB4264">
        <v>0</v>
      </c>
      <c r="AC4264" t="s">
        <v>49</v>
      </c>
      <c r="AD4264">
        <v>0</v>
      </c>
      <c r="AE4264">
        <v>10557712</v>
      </c>
      <c r="AF4264" t="s">
        <v>50</v>
      </c>
      <c r="AG4264" t="s">
        <v>8692</v>
      </c>
    </row>
    <row r="4265" spans="1:33" x14ac:dyDescent="0.35">
      <c r="A4265" s="1">
        <v>44613.59652777778</v>
      </c>
      <c r="B4265">
        <v>661781</v>
      </c>
      <c r="C4265" t="s">
        <v>8671</v>
      </c>
      <c r="D4265" t="s">
        <v>59</v>
      </c>
      <c r="E4265" s="2">
        <v>40623</v>
      </c>
      <c r="F4265" t="str">
        <f>"9780470684337"</f>
        <v>9780470684337</v>
      </c>
      <c r="G4265" t="str">
        <f>"9780470741887"</f>
        <v>9780470741887</v>
      </c>
      <c r="H4265" t="s">
        <v>811</v>
      </c>
      <c r="I4265" t="s">
        <v>8672</v>
      </c>
      <c r="J4265" t="s">
        <v>8673</v>
      </c>
      <c r="K4265" t="s">
        <v>44</v>
      </c>
      <c r="N4265" t="s">
        <v>45</v>
      </c>
      <c r="O4265" t="s">
        <v>46</v>
      </c>
      <c r="P4265" t="s">
        <v>45</v>
      </c>
      <c r="Q4265" t="s">
        <v>47</v>
      </c>
      <c r="R4265" t="s">
        <v>44</v>
      </c>
      <c r="S4265">
        <v>0</v>
      </c>
      <c r="W4265" s="3">
        <v>2.162037037037037E-2</v>
      </c>
      <c r="X4265" t="s">
        <v>8770</v>
      </c>
      <c r="Y4265">
        <v>40</v>
      </c>
      <c r="Z4265">
        <v>0</v>
      </c>
      <c r="AA4265" t="s">
        <v>49</v>
      </c>
      <c r="AB4265">
        <v>0</v>
      </c>
      <c r="AC4265" t="s">
        <v>49</v>
      </c>
      <c r="AD4265">
        <v>0</v>
      </c>
      <c r="AE4265">
        <v>10510618</v>
      </c>
      <c r="AF4265" t="s">
        <v>50</v>
      </c>
      <c r="AG4265" t="s">
        <v>1476</v>
      </c>
    </row>
    <row r="4266" spans="1:33" x14ac:dyDescent="0.35">
      <c r="A4266" s="1">
        <v>44613.581250000003</v>
      </c>
      <c r="B4266">
        <v>1563062</v>
      </c>
      <c r="C4266" t="s">
        <v>8771</v>
      </c>
      <c r="D4266" t="s">
        <v>59</v>
      </c>
      <c r="E4266" s="2">
        <v>41624</v>
      </c>
      <c r="F4266" t="str">
        <f>"9781118721117"</f>
        <v>9781118721117</v>
      </c>
      <c r="G4266" t="str">
        <f>"9781118720929"</f>
        <v>9781118720929</v>
      </c>
      <c r="H4266" t="s">
        <v>8772</v>
      </c>
      <c r="I4266">
        <v>621.31213600000001</v>
      </c>
      <c r="J4266" t="s">
        <v>8773</v>
      </c>
      <c r="K4266" t="s">
        <v>44</v>
      </c>
      <c r="N4266" t="s">
        <v>45</v>
      </c>
      <c r="O4266" t="s">
        <v>46</v>
      </c>
      <c r="P4266" t="s">
        <v>45</v>
      </c>
      <c r="Q4266" t="s">
        <v>47</v>
      </c>
      <c r="R4266" t="s">
        <v>44</v>
      </c>
      <c r="S4266">
        <v>0</v>
      </c>
      <c r="W4266" s="3">
        <v>2.7777777777777778E-4</v>
      </c>
      <c r="X4266" t="s">
        <v>8774</v>
      </c>
      <c r="Y4266">
        <v>5</v>
      </c>
      <c r="Z4266">
        <v>0</v>
      </c>
      <c r="AA4266" t="s">
        <v>49</v>
      </c>
      <c r="AB4266">
        <v>0</v>
      </c>
      <c r="AC4266" t="s">
        <v>49</v>
      </c>
      <c r="AD4266">
        <v>0</v>
      </c>
      <c r="AE4266">
        <v>10805098</v>
      </c>
      <c r="AF4266" t="s">
        <v>50</v>
      </c>
      <c r="AG4266" t="s">
        <v>8588</v>
      </c>
    </row>
    <row r="4267" spans="1:33" x14ac:dyDescent="0.35">
      <c r="A4267" s="1">
        <v>44613.557638888888</v>
      </c>
      <c r="B4267">
        <v>5796941</v>
      </c>
      <c r="C4267" t="s">
        <v>7395</v>
      </c>
      <c r="D4267" t="s">
        <v>844</v>
      </c>
      <c r="E4267" s="2">
        <v>43656</v>
      </c>
      <c r="F4267" t="str">
        <f>"9781787566811"</f>
        <v>9781787566811</v>
      </c>
      <c r="G4267" t="str">
        <f>"9781787566804"</f>
        <v>9781787566804</v>
      </c>
      <c r="H4267" t="s">
        <v>900</v>
      </c>
      <c r="I4267">
        <v>337.51056</v>
      </c>
      <c r="J4267" t="s">
        <v>1794</v>
      </c>
      <c r="K4267" t="s">
        <v>44</v>
      </c>
      <c r="N4267" t="s">
        <v>45</v>
      </c>
      <c r="O4267" t="s">
        <v>46</v>
      </c>
      <c r="P4267" t="s">
        <v>45</v>
      </c>
      <c r="Q4267" t="s">
        <v>47</v>
      </c>
      <c r="R4267" t="s">
        <v>44</v>
      </c>
      <c r="S4267">
        <v>0</v>
      </c>
      <c r="W4267" s="3">
        <v>7.7546296296296304E-4</v>
      </c>
      <c r="X4267" t="s">
        <v>8775</v>
      </c>
      <c r="Y4267">
        <v>4</v>
      </c>
      <c r="Z4267">
        <v>0</v>
      </c>
      <c r="AA4267" t="s">
        <v>49</v>
      </c>
      <c r="AB4267">
        <v>0</v>
      </c>
      <c r="AC4267" t="s">
        <v>49</v>
      </c>
      <c r="AD4267">
        <v>0</v>
      </c>
      <c r="AE4267">
        <v>-1</v>
      </c>
      <c r="AF4267" t="s">
        <v>50</v>
      </c>
      <c r="AG4267" t="s">
        <v>7910</v>
      </c>
    </row>
    <row r="4268" spans="1:33" x14ac:dyDescent="0.35">
      <c r="A4268" s="1">
        <v>44613.525000000001</v>
      </c>
      <c r="B4268">
        <v>5796941</v>
      </c>
      <c r="C4268" t="s">
        <v>7395</v>
      </c>
      <c r="D4268" t="s">
        <v>844</v>
      </c>
      <c r="E4268" s="2">
        <v>43656</v>
      </c>
      <c r="F4268" t="str">
        <f>"9781787566811"</f>
        <v>9781787566811</v>
      </c>
      <c r="G4268" t="str">
        <f>"9781787566804"</f>
        <v>9781787566804</v>
      </c>
      <c r="H4268" t="s">
        <v>900</v>
      </c>
      <c r="I4268">
        <v>337.51056</v>
      </c>
      <c r="J4268" t="s">
        <v>1794</v>
      </c>
      <c r="K4268" t="s">
        <v>44</v>
      </c>
      <c r="N4268" t="s">
        <v>45</v>
      </c>
      <c r="O4268" t="s">
        <v>46</v>
      </c>
      <c r="P4268" t="s">
        <v>45</v>
      </c>
      <c r="Q4268" t="s">
        <v>47</v>
      </c>
      <c r="R4268" t="s">
        <v>44</v>
      </c>
      <c r="S4268">
        <v>0</v>
      </c>
      <c r="W4268" s="3">
        <v>3.2407407407407406E-3</v>
      </c>
      <c r="X4268" t="s">
        <v>8776</v>
      </c>
      <c r="Y4268">
        <v>8</v>
      </c>
      <c r="Z4268">
        <v>0</v>
      </c>
      <c r="AA4268" t="s">
        <v>49</v>
      </c>
      <c r="AB4268">
        <v>0</v>
      </c>
      <c r="AC4268" t="s">
        <v>49</v>
      </c>
      <c r="AD4268">
        <v>0</v>
      </c>
      <c r="AE4268">
        <v>-1</v>
      </c>
      <c r="AF4268" t="s">
        <v>50</v>
      </c>
      <c r="AG4268" t="s">
        <v>7910</v>
      </c>
    </row>
    <row r="4269" spans="1:33" x14ac:dyDescent="0.35">
      <c r="A4269" s="1">
        <v>44613.506249999999</v>
      </c>
      <c r="B4269">
        <v>286669</v>
      </c>
      <c r="C4269" t="s">
        <v>1361</v>
      </c>
      <c r="D4269" t="s">
        <v>213</v>
      </c>
      <c r="E4269" s="2">
        <v>37869</v>
      </c>
      <c r="F4269" t="str">
        <f>"9780080469959"</f>
        <v>9780080469959</v>
      </c>
      <c r="G4269" t="str">
        <f>"9780750647090"</f>
        <v>9780750647090</v>
      </c>
      <c r="H4269" t="s">
        <v>1362</v>
      </c>
      <c r="I4269">
        <v>670.72</v>
      </c>
      <c r="J4269" t="s">
        <v>1363</v>
      </c>
      <c r="K4269" t="s">
        <v>44</v>
      </c>
      <c r="N4269" t="s">
        <v>45</v>
      </c>
      <c r="O4269" t="s">
        <v>46</v>
      </c>
      <c r="P4269" t="s">
        <v>45</v>
      </c>
      <c r="Q4269" t="s">
        <v>47</v>
      </c>
      <c r="R4269" t="s">
        <v>44</v>
      </c>
      <c r="S4269">
        <v>0</v>
      </c>
      <c r="W4269" s="3">
        <v>5.2083333333333333E-4</v>
      </c>
      <c r="X4269" t="s">
        <v>8777</v>
      </c>
      <c r="Y4269">
        <v>7</v>
      </c>
      <c r="Z4269">
        <v>0</v>
      </c>
      <c r="AA4269" t="s">
        <v>49</v>
      </c>
      <c r="AB4269">
        <v>0</v>
      </c>
      <c r="AC4269" t="s">
        <v>49</v>
      </c>
      <c r="AD4269">
        <v>0</v>
      </c>
      <c r="AE4269">
        <v>10166962</v>
      </c>
      <c r="AF4269" t="s">
        <v>50</v>
      </c>
      <c r="AG4269" t="s">
        <v>7910</v>
      </c>
    </row>
    <row r="4270" spans="1:33" x14ac:dyDescent="0.35">
      <c r="A4270" s="1">
        <v>44613.424305555556</v>
      </c>
      <c r="B4270">
        <v>1137538</v>
      </c>
      <c r="C4270" t="s">
        <v>8778</v>
      </c>
      <c r="D4270" t="s">
        <v>7974</v>
      </c>
      <c r="E4270" s="2">
        <v>39479</v>
      </c>
      <c r="F4270" t="str">
        <f>"9781593273385"</f>
        <v>9781593273385</v>
      </c>
      <c r="G4270" t="str">
        <f>"9781593271442"</f>
        <v>9781593271442</v>
      </c>
      <c r="H4270" t="s">
        <v>138</v>
      </c>
      <c r="I4270">
        <v>5.8</v>
      </c>
      <c r="J4270" t="s">
        <v>8779</v>
      </c>
      <c r="K4270" t="s">
        <v>44</v>
      </c>
      <c r="N4270" t="s">
        <v>45</v>
      </c>
      <c r="O4270" t="s">
        <v>46</v>
      </c>
      <c r="P4270" t="s">
        <v>45</v>
      </c>
      <c r="Q4270" t="s">
        <v>47</v>
      </c>
      <c r="R4270" t="s">
        <v>44</v>
      </c>
      <c r="S4270">
        <v>0</v>
      </c>
      <c r="W4270" s="3">
        <v>4.3981481481481481E-4</v>
      </c>
      <c r="X4270" t="s">
        <v>8780</v>
      </c>
      <c r="Y4270">
        <v>7</v>
      </c>
      <c r="Z4270">
        <v>0</v>
      </c>
      <c r="AA4270" t="s">
        <v>49</v>
      </c>
      <c r="AB4270">
        <v>0</v>
      </c>
      <c r="AC4270" t="s">
        <v>49</v>
      </c>
      <c r="AD4270">
        <v>0</v>
      </c>
      <c r="AE4270">
        <v>10218383</v>
      </c>
      <c r="AF4270" t="s">
        <v>50</v>
      </c>
      <c r="AG4270" t="s">
        <v>5698</v>
      </c>
    </row>
    <row r="4271" spans="1:33" x14ac:dyDescent="0.35">
      <c r="A4271" s="1">
        <v>44613.413888888892</v>
      </c>
      <c r="B4271">
        <v>5796941</v>
      </c>
      <c r="C4271" t="s">
        <v>7395</v>
      </c>
      <c r="D4271" t="s">
        <v>844</v>
      </c>
      <c r="E4271" s="2">
        <v>43656</v>
      </c>
      <c r="F4271" t="str">
        <f>"9781787566811"</f>
        <v>9781787566811</v>
      </c>
      <c r="G4271" t="str">
        <f>"9781787566804"</f>
        <v>9781787566804</v>
      </c>
      <c r="H4271" t="s">
        <v>900</v>
      </c>
      <c r="I4271">
        <v>337.51056</v>
      </c>
      <c r="J4271" t="s">
        <v>1794</v>
      </c>
      <c r="K4271" t="s">
        <v>44</v>
      </c>
      <c r="N4271" t="s">
        <v>45</v>
      </c>
      <c r="O4271" t="s">
        <v>46</v>
      </c>
      <c r="P4271" t="s">
        <v>45</v>
      </c>
      <c r="Q4271" t="s">
        <v>47</v>
      </c>
      <c r="R4271" t="s">
        <v>44</v>
      </c>
      <c r="S4271">
        <v>0</v>
      </c>
      <c r="W4271" s="3">
        <v>3.9351851851851852E-4</v>
      </c>
      <c r="X4271" t="s">
        <v>8781</v>
      </c>
      <c r="Y4271">
        <v>5</v>
      </c>
      <c r="Z4271">
        <v>0</v>
      </c>
      <c r="AA4271" t="s">
        <v>49</v>
      </c>
      <c r="AB4271">
        <v>0</v>
      </c>
      <c r="AC4271" t="s">
        <v>49</v>
      </c>
      <c r="AD4271">
        <v>0</v>
      </c>
      <c r="AE4271">
        <v>-1</v>
      </c>
      <c r="AF4271" t="s">
        <v>50</v>
      </c>
      <c r="AG4271" t="s">
        <v>8782</v>
      </c>
    </row>
    <row r="4272" spans="1:33" x14ac:dyDescent="0.35">
      <c r="A4272" s="1">
        <v>44613.402777777781</v>
      </c>
      <c r="B4272">
        <v>5092478</v>
      </c>
      <c r="C4272" t="s">
        <v>8783</v>
      </c>
      <c r="D4272" t="s">
        <v>8784</v>
      </c>
      <c r="E4272" s="2">
        <v>41513</v>
      </c>
      <c r="F4272" t="str">
        <f>"9781780843407"</f>
        <v>9781780843407</v>
      </c>
      <c r="G4272" t="str">
        <f>"9781780843414"</f>
        <v>9781780843414</v>
      </c>
      <c r="H4272" t="s">
        <v>77</v>
      </c>
      <c r="I4272">
        <v>616.83299999999895</v>
      </c>
      <c r="J4272" t="s">
        <v>8785</v>
      </c>
      <c r="K4272" t="s">
        <v>44</v>
      </c>
      <c r="N4272" t="s">
        <v>45</v>
      </c>
      <c r="O4272" t="s">
        <v>46</v>
      </c>
      <c r="P4272" t="s">
        <v>45</v>
      </c>
      <c r="Q4272" t="s">
        <v>47</v>
      </c>
      <c r="R4272" t="s">
        <v>44</v>
      </c>
      <c r="S4272">
        <v>0</v>
      </c>
      <c r="W4272" s="3">
        <v>5.7870370370370366E-5</v>
      </c>
      <c r="X4272" t="s">
        <v>121</v>
      </c>
      <c r="Y4272">
        <v>1</v>
      </c>
      <c r="Z4272">
        <v>0</v>
      </c>
      <c r="AA4272" t="s">
        <v>49</v>
      </c>
      <c r="AB4272">
        <v>0</v>
      </c>
      <c r="AC4272" t="s">
        <v>49</v>
      </c>
      <c r="AD4272">
        <v>0</v>
      </c>
      <c r="AE4272">
        <v>11451926</v>
      </c>
      <c r="AF4272" t="s">
        <v>50</v>
      </c>
      <c r="AG4272" t="s">
        <v>7910</v>
      </c>
    </row>
    <row r="4273" spans="1:33" x14ac:dyDescent="0.35">
      <c r="A4273" s="1">
        <v>44613.301388888889</v>
      </c>
      <c r="B4273">
        <v>3420994</v>
      </c>
      <c r="C4273" t="s">
        <v>6874</v>
      </c>
      <c r="D4273" t="s">
        <v>347</v>
      </c>
      <c r="E4273" s="2">
        <v>40316</v>
      </c>
      <c r="F4273" t="str">
        <f>"9780300159141"</f>
        <v>9780300159141</v>
      </c>
      <c r="G4273" t="str">
        <f>"9780300159110"</f>
        <v>9780300159110</v>
      </c>
      <c r="H4273" t="s">
        <v>162</v>
      </c>
      <c r="I4273" t="s">
        <v>6875</v>
      </c>
      <c r="J4273" t="s">
        <v>6876</v>
      </c>
      <c r="K4273" t="s">
        <v>44</v>
      </c>
      <c r="N4273" t="s">
        <v>45</v>
      </c>
      <c r="O4273" t="s">
        <v>46</v>
      </c>
      <c r="P4273" t="s">
        <v>45</v>
      </c>
      <c r="Q4273" t="s">
        <v>47</v>
      </c>
      <c r="R4273" t="s">
        <v>44</v>
      </c>
      <c r="S4273">
        <v>0</v>
      </c>
      <c r="W4273" s="3">
        <v>2.7083333333333334E-3</v>
      </c>
      <c r="X4273" t="s">
        <v>8786</v>
      </c>
      <c r="Y4273">
        <v>39</v>
      </c>
      <c r="Z4273">
        <v>0</v>
      </c>
      <c r="AA4273" t="s">
        <v>49</v>
      </c>
      <c r="AB4273">
        <v>0</v>
      </c>
      <c r="AC4273" t="s">
        <v>49</v>
      </c>
      <c r="AD4273">
        <v>0</v>
      </c>
      <c r="AE4273">
        <v>10579393</v>
      </c>
      <c r="AF4273" t="s">
        <v>50</v>
      </c>
      <c r="AG4273" t="s">
        <v>7910</v>
      </c>
    </row>
    <row r="4274" spans="1:33" x14ac:dyDescent="0.35">
      <c r="A4274" s="1">
        <v>44613.027777777781</v>
      </c>
      <c r="B4274">
        <v>4043002</v>
      </c>
      <c r="C4274" t="s">
        <v>7814</v>
      </c>
      <c r="D4274" t="s">
        <v>59</v>
      </c>
      <c r="E4274" s="2">
        <v>42388</v>
      </c>
      <c r="F4274" t="str">
        <f>"9781119045076"</f>
        <v>9781119045076</v>
      </c>
      <c r="G4274" t="str">
        <f>"9781119045069"</f>
        <v>9781119045069</v>
      </c>
      <c r="H4274" t="s">
        <v>1046</v>
      </c>
      <c r="I4274" t="s">
        <v>3427</v>
      </c>
      <c r="J4274" t="s">
        <v>7815</v>
      </c>
      <c r="K4274" t="s">
        <v>44</v>
      </c>
      <c r="N4274" t="s">
        <v>45</v>
      </c>
      <c r="O4274" t="s">
        <v>46</v>
      </c>
      <c r="P4274" t="s">
        <v>45</v>
      </c>
      <c r="Q4274" t="s">
        <v>47</v>
      </c>
      <c r="R4274" t="s">
        <v>44</v>
      </c>
      <c r="S4274">
        <v>0</v>
      </c>
      <c r="W4274" s="3">
        <v>6.8287037037037025E-4</v>
      </c>
      <c r="X4274" t="s">
        <v>8787</v>
      </c>
      <c r="Y4274">
        <v>4</v>
      </c>
      <c r="Z4274">
        <v>0</v>
      </c>
      <c r="AA4274" t="s">
        <v>49</v>
      </c>
      <c r="AB4274">
        <v>0</v>
      </c>
      <c r="AC4274" t="s">
        <v>49</v>
      </c>
      <c r="AD4274">
        <v>0</v>
      </c>
      <c r="AE4274">
        <v>11115179</v>
      </c>
      <c r="AF4274" t="s">
        <v>50</v>
      </c>
      <c r="AG4274" t="s">
        <v>8588</v>
      </c>
    </row>
    <row r="4275" spans="1:33" x14ac:dyDescent="0.35">
      <c r="A4275" s="1">
        <v>44613.013194444444</v>
      </c>
      <c r="B4275">
        <v>4353531</v>
      </c>
      <c r="C4275" t="s">
        <v>8788</v>
      </c>
      <c r="D4275" t="s">
        <v>773</v>
      </c>
      <c r="E4275" s="2">
        <v>35370</v>
      </c>
      <c r="F4275" t="str">
        <f>"9781504033244"</f>
        <v>9781504033244</v>
      </c>
      <c r="G4275" t="str">
        <f>""</f>
        <v/>
      </c>
      <c r="H4275" t="s">
        <v>1046</v>
      </c>
      <c r="I4275">
        <v>305.42</v>
      </c>
      <c r="J4275" t="s">
        <v>8789</v>
      </c>
      <c r="K4275" t="s">
        <v>44</v>
      </c>
      <c r="N4275" t="s">
        <v>45</v>
      </c>
      <c r="O4275" t="s">
        <v>46</v>
      </c>
      <c r="P4275" t="s">
        <v>45</v>
      </c>
      <c r="Q4275" t="s">
        <v>47</v>
      </c>
      <c r="R4275" t="s">
        <v>44</v>
      </c>
      <c r="S4275">
        <v>0</v>
      </c>
      <c r="W4275" s="3">
        <v>5.3240740740740744E-4</v>
      </c>
      <c r="X4275" t="s">
        <v>8790</v>
      </c>
      <c r="Y4275">
        <v>11</v>
      </c>
      <c r="Z4275">
        <v>0</v>
      </c>
      <c r="AA4275" t="s">
        <v>49</v>
      </c>
      <c r="AB4275">
        <v>0</v>
      </c>
      <c r="AC4275" t="s">
        <v>49</v>
      </c>
      <c r="AD4275">
        <v>0</v>
      </c>
      <c r="AE4275">
        <v>11150389</v>
      </c>
      <c r="AF4275" t="s">
        <v>50</v>
      </c>
      <c r="AG4275" t="s">
        <v>7910</v>
      </c>
    </row>
    <row r="4276" spans="1:33" x14ac:dyDescent="0.35">
      <c r="A4276" s="1">
        <v>44612.984722222223</v>
      </c>
      <c r="B4276">
        <v>4353531</v>
      </c>
      <c r="C4276" t="s">
        <v>8788</v>
      </c>
      <c r="D4276" t="s">
        <v>773</v>
      </c>
      <c r="E4276" s="2">
        <v>35370</v>
      </c>
      <c r="F4276" t="str">
        <f>"9781504033244"</f>
        <v>9781504033244</v>
      </c>
      <c r="G4276" t="str">
        <f>""</f>
        <v/>
      </c>
      <c r="H4276" t="s">
        <v>1046</v>
      </c>
      <c r="I4276">
        <v>305.42</v>
      </c>
      <c r="J4276" t="s">
        <v>8789</v>
      </c>
      <c r="K4276" t="s">
        <v>44</v>
      </c>
      <c r="N4276" t="s">
        <v>45</v>
      </c>
      <c r="O4276" t="s">
        <v>46</v>
      </c>
      <c r="P4276" t="s">
        <v>45</v>
      </c>
      <c r="Q4276" t="s">
        <v>47</v>
      </c>
      <c r="R4276" t="s">
        <v>44</v>
      </c>
      <c r="S4276">
        <v>0</v>
      </c>
      <c r="W4276" s="3">
        <v>7.0601851851851847E-4</v>
      </c>
      <c r="X4276" t="s">
        <v>8791</v>
      </c>
      <c r="Y4276">
        <v>5</v>
      </c>
      <c r="Z4276">
        <v>0</v>
      </c>
      <c r="AA4276" t="s">
        <v>49</v>
      </c>
      <c r="AB4276">
        <v>0</v>
      </c>
      <c r="AC4276" t="s">
        <v>49</v>
      </c>
      <c r="AD4276">
        <v>0</v>
      </c>
      <c r="AE4276">
        <v>11150389</v>
      </c>
      <c r="AF4276" t="s">
        <v>50</v>
      </c>
      <c r="AG4276" t="s">
        <v>7910</v>
      </c>
    </row>
    <row r="4277" spans="1:33" x14ac:dyDescent="0.35">
      <c r="A4277" s="1">
        <v>44612.964583333334</v>
      </c>
      <c r="B4277">
        <v>4043002</v>
      </c>
      <c r="C4277" t="s">
        <v>7814</v>
      </c>
      <c r="D4277" t="s">
        <v>59</v>
      </c>
      <c r="E4277" s="2">
        <v>42388</v>
      </c>
      <c r="F4277" t="str">
        <f>"9781119045076"</f>
        <v>9781119045076</v>
      </c>
      <c r="G4277" t="str">
        <f>"9781119045069"</f>
        <v>9781119045069</v>
      </c>
      <c r="H4277" t="s">
        <v>1046</v>
      </c>
      <c r="I4277" t="s">
        <v>3427</v>
      </c>
      <c r="J4277" t="s">
        <v>7815</v>
      </c>
      <c r="K4277" t="s">
        <v>44</v>
      </c>
      <c r="N4277" t="s">
        <v>45</v>
      </c>
      <c r="O4277" t="s">
        <v>46</v>
      </c>
      <c r="P4277" t="s">
        <v>45</v>
      </c>
      <c r="Q4277" t="s">
        <v>47</v>
      </c>
      <c r="R4277" t="s">
        <v>44</v>
      </c>
      <c r="S4277">
        <v>0</v>
      </c>
      <c r="W4277" s="3">
        <v>3.9699074074074072E-3</v>
      </c>
      <c r="X4277" t="s">
        <v>8792</v>
      </c>
      <c r="Y4277">
        <v>8</v>
      </c>
      <c r="Z4277">
        <v>0</v>
      </c>
      <c r="AA4277" t="s">
        <v>49</v>
      </c>
      <c r="AB4277">
        <v>0</v>
      </c>
      <c r="AC4277" t="s">
        <v>49</v>
      </c>
      <c r="AD4277">
        <v>0</v>
      </c>
      <c r="AE4277">
        <v>11115179</v>
      </c>
      <c r="AF4277" t="s">
        <v>50</v>
      </c>
      <c r="AG4277" t="s">
        <v>8588</v>
      </c>
    </row>
    <row r="4278" spans="1:33" x14ac:dyDescent="0.35">
      <c r="A4278" s="1">
        <v>44612.772222222222</v>
      </c>
      <c r="B4278">
        <v>4698010</v>
      </c>
      <c r="C4278" t="s">
        <v>8793</v>
      </c>
      <c r="D4278" t="s">
        <v>59</v>
      </c>
      <c r="E4278" s="2">
        <v>42688</v>
      </c>
      <c r="F4278" t="str">
        <f>"9781119069416"</f>
        <v>9781119069416</v>
      </c>
      <c r="G4278" t="str">
        <f>"9781119069409"</f>
        <v>9781119069409</v>
      </c>
      <c r="H4278" t="s">
        <v>2103</v>
      </c>
      <c r="I4278">
        <v>662.9</v>
      </c>
      <c r="J4278" t="s">
        <v>8794</v>
      </c>
      <c r="K4278" t="s">
        <v>44</v>
      </c>
      <c r="N4278" t="s">
        <v>45</v>
      </c>
      <c r="O4278" t="s">
        <v>46</v>
      </c>
      <c r="P4278" t="s">
        <v>45</v>
      </c>
      <c r="Q4278" t="s">
        <v>47</v>
      </c>
      <c r="R4278" t="s">
        <v>44</v>
      </c>
      <c r="S4278">
        <v>0</v>
      </c>
      <c r="W4278" s="3">
        <v>2.1874999999999998E-3</v>
      </c>
      <c r="X4278" t="s">
        <v>8795</v>
      </c>
      <c r="Y4278">
        <v>9</v>
      </c>
      <c r="Z4278">
        <v>0</v>
      </c>
      <c r="AA4278" t="s">
        <v>49</v>
      </c>
      <c r="AB4278">
        <v>0</v>
      </c>
      <c r="AC4278" t="s">
        <v>49</v>
      </c>
      <c r="AD4278">
        <v>0</v>
      </c>
      <c r="AE4278">
        <v>11271940</v>
      </c>
      <c r="AF4278" t="s">
        <v>50</v>
      </c>
      <c r="AG4278" t="s">
        <v>7910</v>
      </c>
    </row>
    <row r="4279" spans="1:33" x14ac:dyDescent="0.35">
      <c r="A4279" s="1">
        <v>44612.769444444442</v>
      </c>
      <c r="B4279">
        <v>5228120</v>
      </c>
      <c r="C4279" t="s">
        <v>8796</v>
      </c>
      <c r="D4279" t="s">
        <v>76</v>
      </c>
      <c r="E4279" s="2">
        <v>38534</v>
      </c>
      <c r="F4279" t="str">
        <f>"9781351147873"</f>
        <v>9781351147873</v>
      </c>
      <c r="G4279" t="str">
        <f>"9780815397427"</f>
        <v>9780815397427</v>
      </c>
      <c r="H4279" t="s">
        <v>525</v>
      </c>
      <c r="I4279">
        <v>362.19697920096002</v>
      </c>
      <c r="J4279" t="s">
        <v>8797</v>
      </c>
      <c r="K4279" t="s">
        <v>55</v>
      </c>
      <c r="Q4279" t="s">
        <v>47</v>
      </c>
      <c r="R4279" t="s">
        <v>44</v>
      </c>
      <c r="S4279">
        <v>0</v>
      </c>
      <c r="W4279" s="3">
        <v>1.6666666666666668E-3</v>
      </c>
      <c r="X4279" t="s">
        <v>8798</v>
      </c>
      <c r="Y4279">
        <v>19</v>
      </c>
      <c r="Z4279">
        <v>0</v>
      </c>
      <c r="AA4279" t="s">
        <v>49</v>
      </c>
      <c r="AB4279">
        <v>0</v>
      </c>
      <c r="AC4279" t="s">
        <v>49</v>
      </c>
      <c r="AD4279">
        <v>0</v>
      </c>
      <c r="AE4279">
        <v>11500489</v>
      </c>
      <c r="AF4279" t="s">
        <v>63</v>
      </c>
      <c r="AG4279" t="s">
        <v>8799</v>
      </c>
    </row>
    <row r="4280" spans="1:33" x14ac:dyDescent="0.35">
      <c r="A4280" s="1">
        <v>44612.768750000003</v>
      </c>
      <c r="B4280">
        <v>4039170</v>
      </c>
      <c r="C4280" t="s">
        <v>8800</v>
      </c>
      <c r="D4280" t="s">
        <v>59</v>
      </c>
      <c r="E4280" s="2">
        <v>42219</v>
      </c>
      <c r="F4280" t="str">
        <f>"9781118842553"</f>
        <v>9781118842553</v>
      </c>
      <c r="G4280" t="str">
        <f>"9781118842560"</f>
        <v>9781118842560</v>
      </c>
      <c r="H4280" t="s">
        <v>8801</v>
      </c>
      <c r="I4280" t="s">
        <v>8802</v>
      </c>
      <c r="J4280" t="s">
        <v>8803</v>
      </c>
      <c r="K4280" t="s">
        <v>44</v>
      </c>
      <c r="N4280" t="s">
        <v>45</v>
      </c>
      <c r="O4280" t="s">
        <v>46</v>
      </c>
      <c r="P4280" t="s">
        <v>45</v>
      </c>
      <c r="Q4280" t="s">
        <v>47</v>
      </c>
      <c r="R4280" t="s">
        <v>44</v>
      </c>
      <c r="S4280">
        <v>0</v>
      </c>
      <c r="W4280" s="3">
        <v>6.2500000000000001E-4</v>
      </c>
      <c r="X4280" t="s">
        <v>8804</v>
      </c>
      <c r="Y4280">
        <v>10</v>
      </c>
      <c r="Z4280">
        <v>0</v>
      </c>
      <c r="AA4280" t="s">
        <v>49</v>
      </c>
      <c r="AB4280">
        <v>0</v>
      </c>
      <c r="AC4280" t="s">
        <v>49</v>
      </c>
      <c r="AD4280">
        <v>0</v>
      </c>
      <c r="AE4280">
        <v>11112814</v>
      </c>
      <c r="AF4280" t="s">
        <v>50</v>
      </c>
      <c r="AG4280" t="s">
        <v>7910</v>
      </c>
    </row>
    <row r="4281" spans="1:33" x14ac:dyDescent="0.35">
      <c r="A4281" s="1">
        <v>44612.768055555556</v>
      </c>
      <c r="B4281">
        <v>5796941</v>
      </c>
      <c r="C4281" t="s">
        <v>7395</v>
      </c>
      <c r="D4281" t="s">
        <v>844</v>
      </c>
      <c r="E4281" s="2">
        <v>43656</v>
      </c>
      <c r="F4281" t="str">
        <f>"9781787566811"</f>
        <v>9781787566811</v>
      </c>
      <c r="G4281" t="str">
        <f>"9781787566804"</f>
        <v>9781787566804</v>
      </c>
      <c r="H4281" t="s">
        <v>900</v>
      </c>
      <c r="I4281">
        <v>337.51056</v>
      </c>
      <c r="J4281" t="s">
        <v>1794</v>
      </c>
      <c r="K4281" t="s">
        <v>44</v>
      </c>
      <c r="N4281" t="s">
        <v>45</v>
      </c>
      <c r="O4281" t="s">
        <v>46</v>
      </c>
      <c r="P4281" t="s">
        <v>45</v>
      </c>
      <c r="Q4281" t="s">
        <v>47</v>
      </c>
      <c r="R4281" t="s">
        <v>44</v>
      </c>
      <c r="S4281">
        <v>0</v>
      </c>
      <c r="W4281" s="3">
        <v>3.3912037037037039E-2</v>
      </c>
      <c r="X4281" t="s">
        <v>8805</v>
      </c>
      <c r="Y4281">
        <v>7</v>
      </c>
      <c r="Z4281">
        <v>0</v>
      </c>
      <c r="AA4281" t="s">
        <v>49</v>
      </c>
      <c r="AB4281">
        <v>0</v>
      </c>
      <c r="AC4281" t="s">
        <v>49</v>
      </c>
      <c r="AD4281">
        <v>0</v>
      </c>
      <c r="AE4281">
        <v>-1</v>
      </c>
      <c r="AF4281" t="s">
        <v>50</v>
      </c>
      <c r="AG4281" t="s">
        <v>1816</v>
      </c>
    </row>
    <row r="4282" spans="1:33" x14ac:dyDescent="0.35">
      <c r="A4282" s="1">
        <v>44612.752083333333</v>
      </c>
      <c r="B4282">
        <v>5796941</v>
      </c>
      <c r="C4282" t="s">
        <v>7395</v>
      </c>
      <c r="D4282" t="s">
        <v>844</v>
      </c>
      <c r="E4282" s="2">
        <v>43656</v>
      </c>
      <c r="F4282" t="str">
        <f>"9781787566811"</f>
        <v>9781787566811</v>
      </c>
      <c r="G4282" t="str">
        <f>"9781787566804"</f>
        <v>9781787566804</v>
      </c>
      <c r="H4282" t="s">
        <v>900</v>
      </c>
      <c r="I4282">
        <v>337.51056</v>
      </c>
      <c r="J4282" t="s">
        <v>1794</v>
      </c>
      <c r="K4282" t="s">
        <v>44</v>
      </c>
      <c r="N4282" t="s">
        <v>45</v>
      </c>
      <c r="O4282" t="s">
        <v>46</v>
      </c>
      <c r="P4282" t="s">
        <v>45</v>
      </c>
      <c r="Q4282" t="s">
        <v>47</v>
      </c>
      <c r="R4282" t="s">
        <v>44</v>
      </c>
      <c r="S4282">
        <v>0</v>
      </c>
      <c r="W4282" s="3">
        <v>2.4687499999999998E-2</v>
      </c>
      <c r="X4282" t="s">
        <v>8806</v>
      </c>
      <c r="Y4282">
        <v>10</v>
      </c>
      <c r="Z4282">
        <v>0</v>
      </c>
      <c r="AA4282" t="s">
        <v>49</v>
      </c>
      <c r="AB4282">
        <v>0</v>
      </c>
      <c r="AC4282" t="s">
        <v>49</v>
      </c>
      <c r="AD4282">
        <v>0</v>
      </c>
      <c r="AE4282">
        <v>-1</v>
      </c>
      <c r="AF4282" t="s">
        <v>50</v>
      </c>
      <c r="AG4282" t="s">
        <v>8782</v>
      </c>
    </row>
    <row r="4283" spans="1:33" x14ac:dyDescent="0.35">
      <c r="A4283" s="1">
        <v>44612.752083333333</v>
      </c>
      <c r="B4283">
        <v>3443288</v>
      </c>
      <c r="C4283" t="s">
        <v>8807</v>
      </c>
      <c r="D4283" t="s">
        <v>2871</v>
      </c>
      <c r="E4283" s="2">
        <v>39387</v>
      </c>
      <c r="F4283" t="str">
        <f>"9780292794498"</f>
        <v>9780292794498</v>
      </c>
      <c r="G4283" t="str">
        <f>"9780292716780"</f>
        <v>9780292716780</v>
      </c>
      <c r="H4283" t="s">
        <v>3234</v>
      </c>
      <c r="I4283" t="s">
        <v>8808</v>
      </c>
      <c r="J4283" t="s">
        <v>8809</v>
      </c>
      <c r="K4283" t="s">
        <v>44</v>
      </c>
      <c r="N4283" t="s">
        <v>45</v>
      </c>
      <c r="O4283" t="s">
        <v>46</v>
      </c>
      <c r="P4283" t="s">
        <v>45</v>
      </c>
      <c r="Q4283" t="s">
        <v>47</v>
      </c>
      <c r="R4283" t="s">
        <v>44</v>
      </c>
      <c r="S4283">
        <v>0</v>
      </c>
      <c r="W4283" s="3">
        <v>1.1226851851851851E-3</v>
      </c>
      <c r="X4283" t="s">
        <v>8810</v>
      </c>
      <c r="Y4283">
        <v>8</v>
      </c>
      <c r="Z4283">
        <v>0</v>
      </c>
      <c r="AA4283" t="s">
        <v>49</v>
      </c>
      <c r="AB4283">
        <v>0</v>
      </c>
      <c r="AC4283" t="s">
        <v>49</v>
      </c>
      <c r="AD4283">
        <v>0</v>
      </c>
      <c r="AE4283">
        <v>10245774</v>
      </c>
      <c r="AF4283" t="s">
        <v>50</v>
      </c>
      <c r="AG4283" t="s">
        <v>7910</v>
      </c>
    </row>
    <row r="4284" spans="1:33" x14ac:dyDescent="0.35">
      <c r="A4284" s="1">
        <v>44612.746527777781</v>
      </c>
      <c r="B4284">
        <v>313592</v>
      </c>
      <c r="C4284" t="s">
        <v>8605</v>
      </c>
      <c r="D4284" t="s">
        <v>65</v>
      </c>
      <c r="E4284" s="2">
        <v>39336</v>
      </c>
      <c r="F4284" t="str">
        <f>"9780080551913"</f>
        <v>9780080551913</v>
      </c>
      <c r="G4284" t="str">
        <f>"9780444528377"</f>
        <v>9780444528377</v>
      </c>
      <c r="H4284" t="s">
        <v>214</v>
      </c>
      <c r="I4284">
        <v>541.2242</v>
      </c>
      <c r="J4284" t="s">
        <v>8606</v>
      </c>
      <c r="K4284" t="s">
        <v>44</v>
      </c>
      <c r="N4284" t="s">
        <v>45</v>
      </c>
      <c r="O4284" t="s">
        <v>46</v>
      </c>
      <c r="P4284" t="s">
        <v>45</v>
      </c>
      <c r="Q4284" t="s">
        <v>47</v>
      </c>
      <c r="R4284" t="s">
        <v>44</v>
      </c>
      <c r="S4284">
        <v>0</v>
      </c>
      <c r="W4284" s="3">
        <v>4.5138888888888892E-4</v>
      </c>
      <c r="X4284" t="s">
        <v>8811</v>
      </c>
      <c r="Y4284">
        <v>7</v>
      </c>
      <c r="Z4284">
        <v>0</v>
      </c>
      <c r="AA4284" t="s">
        <v>49</v>
      </c>
      <c r="AB4284">
        <v>0</v>
      </c>
      <c r="AC4284" t="s">
        <v>49</v>
      </c>
      <c r="AD4284">
        <v>0</v>
      </c>
      <c r="AE4284">
        <v>10190879</v>
      </c>
      <c r="AF4284" t="s">
        <v>63</v>
      </c>
      <c r="AG4284" t="s">
        <v>7910</v>
      </c>
    </row>
    <row r="4285" spans="1:33" x14ac:dyDescent="0.35">
      <c r="A4285" s="1">
        <v>44612.73541666667</v>
      </c>
      <c r="B4285">
        <v>5796941</v>
      </c>
      <c r="C4285" t="s">
        <v>7395</v>
      </c>
      <c r="D4285" t="s">
        <v>844</v>
      </c>
      <c r="E4285" s="2">
        <v>43656</v>
      </c>
      <c r="F4285" t="str">
        <f>"9781787566811"</f>
        <v>9781787566811</v>
      </c>
      <c r="G4285" t="str">
        <f>"9781787566804"</f>
        <v>9781787566804</v>
      </c>
      <c r="H4285" t="s">
        <v>900</v>
      </c>
      <c r="I4285">
        <v>337.51056</v>
      </c>
      <c r="J4285" t="s">
        <v>1794</v>
      </c>
      <c r="K4285" t="s">
        <v>44</v>
      </c>
      <c r="N4285" t="s">
        <v>45</v>
      </c>
      <c r="O4285" t="s">
        <v>46</v>
      </c>
      <c r="P4285" t="s">
        <v>45</v>
      </c>
      <c r="Q4285" t="s">
        <v>47</v>
      </c>
      <c r="R4285" t="s">
        <v>44</v>
      </c>
      <c r="S4285">
        <v>0</v>
      </c>
      <c r="W4285" s="3">
        <v>7.6273148148148151E-3</v>
      </c>
      <c r="X4285" t="s">
        <v>8812</v>
      </c>
      <c r="Y4285">
        <v>5</v>
      </c>
      <c r="Z4285">
        <v>0</v>
      </c>
      <c r="AA4285" t="s">
        <v>49</v>
      </c>
      <c r="AB4285">
        <v>0</v>
      </c>
      <c r="AC4285" t="s">
        <v>49</v>
      </c>
      <c r="AD4285">
        <v>0</v>
      </c>
      <c r="AE4285">
        <v>-1</v>
      </c>
      <c r="AF4285" t="s">
        <v>50</v>
      </c>
      <c r="AG4285" t="s">
        <v>1816</v>
      </c>
    </row>
    <row r="4286" spans="1:33" x14ac:dyDescent="0.35">
      <c r="A4286" s="1">
        <v>44612.728472222225</v>
      </c>
      <c r="B4286">
        <v>635071</v>
      </c>
      <c r="C4286" t="s">
        <v>8813</v>
      </c>
      <c r="D4286" t="s">
        <v>473</v>
      </c>
      <c r="E4286" s="2">
        <v>40329</v>
      </c>
      <c r="F4286" t="str">
        <f>"9789004185692"</f>
        <v>9789004185692</v>
      </c>
      <c r="G4286" t="str">
        <f>"9789004184169"</f>
        <v>9789004184169</v>
      </c>
      <c r="H4286" t="s">
        <v>712</v>
      </c>
      <c r="I4286">
        <v>340.59</v>
      </c>
      <c r="J4286" t="s">
        <v>8814</v>
      </c>
      <c r="K4286" t="s">
        <v>44</v>
      </c>
      <c r="N4286" t="s">
        <v>45</v>
      </c>
      <c r="O4286" t="s">
        <v>46</v>
      </c>
      <c r="P4286" t="s">
        <v>45</v>
      </c>
      <c r="Q4286" t="s">
        <v>47</v>
      </c>
      <c r="R4286" t="s">
        <v>44</v>
      </c>
      <c r="S4286">
        <v>0</v>
      </c>
      <c r="W4286" s="3">
        <v>3.6203703703703703E-2</v>
      </c>
      <c r="X4286" t="s">
        <v>8815</v>
      </c>
      <c r="Y4286">
        <v>23</v>
      </c>
      <c r="Z4286">
        <v>0</v>
      </c>
      <c r="AA4286" t="s">
        <v>49</v>
      </c>
      <c r="AB4286">
        <v>0</v>
      </c>
      <c r="AC4286" t="s">
        <v>49</v>
      </c>
      <c r="AD4286">
        <v>0</v>
      </c>
      <c r="AE4286">
        <v>10439278</v>
      </c>
      <c r="AF4286" t="s">
        <v>50</v>
      </c>
      <c r="AG4286" t="s">
        <v>7910</v>
      </c>
    </row>
    <row r="4287" spans="1:33" x14ac:dyDescent="0.35">
      <c r="A4287" s="1">
        <v>44612.698611111111</v>
      </c>
      <c r="B4287">
        <v>5796941</v>
      </c>
      <c r="C4287" t="s">
        <v>7395</v>
      </c>
      <c r="D4287" t="s">
        <v>844</v>
      </c>
      <c r="E4287" s="2">
        <v>43656</v>
      </c>
      <c r="F4287" t="str">
        <f>"9781787566811"</f>
        <v>9781787566811</v>
      </c>
      <c r="G4287" t="str">
        <f>"9781787566804"</f>
        <v>9781787566804</v>
      </c>
      <c r="H4287" t="s">
        <v>900</v>
      </c>
      <c r="I4287">
        <v>337.51056</v>
      </c>
      <c r="J4287" t="s">
        <v>1794</v>
      </c>
      <c r="K4287" t="s">
        <v>44</v>
      </c>
      <c r="N4287" t="s">
        <v>45</v>
      </c>
      <c r="O4287" t="s">
        <v>46</v>
      </c>
      <c r="P4287" t="s">
        <v>45</v>
      </c>
      <c r="Q4287" t="s">
        <v>47</v>
      </c>
      <c r="R4287" t="s">
        <v>44</v>
      </c>
      <c r="S4287">
        <v>0</v>
      </c>
      <c r="W4287" s="3">
        <v>2.1122685185185185E-2</v>
      </c>
      <c r="X4287" t="s">
        <v>8816</v>
      </c>
      <c r="Y4287">
        <v>30</v>
      </c>
      <c r="Z4287">
        <v>0</v>
      </c>
      <c r="AA4287" t="s">
        <v>49</v>
      </c>
      <c r="AB4287">
        <v>0</v>
      </c>
      <c r="AC4287" t="s">
        <v>49</v>
      </c>
      <c r="AD4287">
        <v>0</v>
      </c>
      <c r="AE4287">
        <v>-1</v>
      </c>
      <c r="AF4287" t="s">
        <v>50</v>
      </c>
      <c r="AG4287" t="s">
        <v>8782</v>
      </c>
    </row>
    <row r="4288" spans="1:33" x14ac:dyDescent="0.35">
      <c r="A4288" s="1">
        <v>44612.679861111108</v>
      </c>
      <c r="B4288">
        <v>4043002</v>
      </c>
      <c r="C4288" t="s">
        <v>7814</v>
      </c>
      <c r="D4288" t="s">
        <v>59</v>
      </c>
      <c r="E4288" s="2">
        <v>42388</v>
      </c>
      <c r="F4288" t="str">
        <f>"9781119045076"</f>
        <v>9781119045076</v>
      </c>
      <c r="G4288" t="str">
        <f>"9781119045069"</f>
        <v>9781119045069</v>
      </c>
      <c r="H4288" t="s">
        <v>1046</v>
      </c>
      <c r="I4288" t="s">
        <v>3427</v>
      </c>
      <c r="J4288" t="s">
        <v>7815</v>
      </c>
      <c r="K4288" t="s">
        <v>44</v>
      </c>
      <c r="N4288" t="s">
        <v>45</v>
      </c>
      <c r="O4288" t="s">
        <v>46</v>
      </c>
      <c r="P4288" t="s">
        <v>45</v>
      </c>
      <c r="Q4288" t="s">
        <v>47</v>
      </c>
      <c r="R4288" t="s">
        <v>44</v>
      </c>
      <c r="S4288">
        <v>0</v>
      </c>
      <c r="W4288" s="3">
        <v>7.3495370370370372E-3</v>
      </c>
      <c r="X4288" t="s">
        <v>8817</v>
      </c>
      <c r="Y4288">
        <v>18</v>
      </c>
      <c r="Z4288">
        <v>2</v>
      </c>
      <c r="AA4288" t="s">
        <v>8818</v>
      </c>
      <c r="AB4288">
        <v>116</v>
      </c>
      <c r="AC4288" t="s">
        <v>49</v>
      </c>
      <c r="AD4288">
        <v>0</v>
      </c>
      <c r="AE4288">
        <v>11115179</v>
      </c>
      <c r="AF4288" t="s">
        <v>50</v>
      </c>
      <c r="AG4288" t="s">
        <v>8588</v>
      </c>
    </row>
    <row r="4289" spans="1:33" x14ac:dyDescent="0.35">
      <c r="A4289" s="1">
        <v>44612.600694444445</v>
      </c>
      <c r="B4289">
        <v>5796941</v>
      </c>
      <c r="C4289" t="s">
        <v>7395</v>
      </c>
      <c r="D4289" t="s">
        <v>844</v>
      </c>
      <c r="E4289" s="2">
        <v>43656</v>
      </c>
      <c r="F4289" t="str">
        <f>"9781787566811"</f>
        <v>9781787566811</v>
      </c>
      <c r="G4289" t="str">
        <f>"9781787566804"</f>
        <v>9781787566804</v>
      </c>
      <c r="H4289" t="s">
        <v>900</v>
      </c>
      <c r="I4289">
        <v>337.51056</v>
      </c>
      <c r="J4289" t="s">
        <v>1794</v>
      </c>
      <c r="K4289" t="s">
        <v>44</v>
      </c>
      <c r="N4289" t="s">
        <v>45</v>
      </c>
      <c r="O4289" t="s">
        <v>46</v>
      </c>
      <c r="P4289" t="s">
        <v>45</v>
      </c>
      <c r="Q4289" t="s">
        <v>47</v>
      </c>
      <c r="R4289" t="s">
        <v>44</v>
      </c>
      <c r="S4289">
        <v>0</v>
      </c>
      <c r="W4289" s="3">
        <v>3.5416666666666665E-3</v>
      </c>
      <c r="X4289" t="s">
        <v>8819</v>
      </c>
      <c r="Y4289">
        <v>13</v>
      </c>
      <c r="Z4289">
        <v>0</v>
      </c>
      <c r="AA4289" t="s">
        <v>49</v>
      </c>
      <c r="AB4289">
        <v>0</v>
      </c>
      <c r="AC4289" t="s">
        <v>49</v>
      </c>
      <c r="AD4289">
        <v>0</v>
      </c>
      <c r="AE4289">
        <v>-1</v>
      </c>
      <c r="AF4289" t="s">
        <v>50</v>
      </c>
      <c r="AG4289" t="s">
        <v>7910</v>
      </c>
    </row>
    <row r="4290" spans="1:33" x14ac:dyDescent="0.35">
      <c r="A4290" s="1">
        <v>44612.579861111109</v>
      </c>
      <c r="B4290">
        <v>5796941</v>
      </c>
      <c r="C4290" t="s">
        <v>7395</v>
      </c>
      <c r="D4290" t="s">
        <v>844</v>
      </c>
      <c r="E4290" s="2">
        <v>43656</v>
      </c>
      <c r="F4290" t="str">
        <f>"9781787566811"</f>
        <v>9781787566811</v>
      </c>
      <c r="G4290" t="str">
        <f>"9781787566804"</f>
        <v>9781787566804</v>
      </c>
      <c r="H4290" t="s">
        <v>900</v>
      </c>
      <c r="I4290">
        <v>337.51056</v>
      </c>
      <c r="J4290" t="s">
        <v>1794</v>
      </c>
      <c r="K4290" t="s">
        <v>44</v>
      </c>
      <c r="N4290" t="s">
        <v>45</v>
      </c>
      <c r="O4290" t="s">
        <v>46</v>
      </c>
      <c r="P4290" t="s">
        <v>45</v>
      </c>
      <c r="Q4290" t="s">
        <v>47</v>
      </c>
      <c r="R4290" t="s">
        <v>44</v>
      </c>
      <c r="S4290">
        <v>0</v>
      </c>
      <c r="W4290" s="3">
        <v>4.9768518518518521E-4</v>
      </c>
      <c r="X4290" t="s">
        <v>8805</v>
      </c>
      <c r="Y4290">
        <v>7</v>
      </c>
      <c r="Z4290">
        <v>0</v>
      </c>
      <c r="AA4290" t="s">
        <v>49</v>
      </c>
      <c r="AB4290">
        <v>0</v>
      </c>
      <c r="AC4290" t="s">
        <v>49</v>
      </c>
      <c r="AD4290">
        <v>0</v>
      </c>
      <c r="AE4290">
        <v>-1</v>
      </c>
      <c r="AF4290" t="s">
        <v>50</v>
      </c>
      <c r="AG4290" t="s">
        <v>8782</v>
      </c>
    </row>
    <row r="4291" spans="1:33" x14ac:dyDescent="0.35">
      <c r="A4291" s="1">
        <v>44612.56527777778</v>
      </c>
      <c r="B4291">
        <v>3570102</v>
      </c>
      <c r="C4291" t="s">
        <v>8820</v>
      </c>
      <c r="D4291" t="s">
        <v>76</v>
      </c>
      <c r="E4291" s="2">
        <v>42046</v>
      </c>
      <c r="F4291" t="str">
        <f>"9781315697574"</f>
        <v>9781315697574</v>
      </c>
      <c r="G4291" t="str">
        <f>"9781138902008"</f>
        <v>9781138902008</v>
      </c>
      <c r="H4291" t="s">
        <v>8821</v>
      </c>
      <c r="I4291">
        <v>962</v>
      </c>
      <c r="J4291" t="s">
        <v>8822</v>
      </c>
      <c r="K4291" t="s">
        <v>44</v>
      </c>
      <c r="N4291" t="s">
        <v>45</v>
      </c>
      <c r="O4291" t="s">
        <v>46</v>
      </c>
      <c r="P4291" t="s">
        <v>45</v>
      </c>
      <c r="Q4291" t="s">
        <v>47</v>
      </c>
      <c r="R4291" t="s">
        <v>44</v>
      </c>
      <c r="S4291">
        <v>0</v>
      </c>
      <c r="W4291" s="3">
        <v>9.8379629629629642E-4</v>
      </c>
      <c r="X4291" t="s">
        <v>8823</v>
      </c>
      <c r="Y4291">
        <v>7</v>
      </c>
      <c r="Z4291">
        <v>0</v>
      </c>
      <c r="AA4291" t="s">
        <v>49</v>
      </c>
      <c r="AB4291">
        <v>0</v>
      </c>
      <c r="AC4291" t="s">
        <v>49</v>
      </c>
      <c r="AD4291">
        <v>0</v>
      </c>
      <c r="AE4291">
        <v>11081930</v>
      </c>
      <c r="AF4291" t="s">
        <v>63</v>
      </c>
      <c r="AG4291" t="s">
        <v>8824</v>
      </c>
    </row>
    <row r="4292" spans="1:33" x14ac:dyDescent="0.35">
      <c r="A4292" s="1">
        <v>44612.563194444447</v>
      </c>
      <c r="B4292">
        <v>3570102</v>
      </c>
      <c r="C4292" t="s">
        <v>8820</v>
      </c>
      <c r="D4292" t="s">
        <v>76</v>
      </c>
      <c r="E4292" s="2">
        <v>42046</v>
      </c>
      <c r="F4292" t="str">
        <f>"9781315697574"</f>
        <v>9781315697574</v>
      </c>
      <c r="G4292" t="str">
        <f>"9781138902008"</f>
        <v>9781138902008</v>
      </c>
      <c r="H4292" t="s">
        <v>8821</v>
      </c>
      <c r="I4292">
        <v>962</v>
      </c>
      <c r="J4292" t="s">
        <v>8822</v>
      </c>
      <c r="K4292" t="s">
        <v>44</v>
      </c>
      <c r="N4292" t="s">
        <v>45</v>
      </c>
      <c r="O4292" t="s">
        <v>46</v>
      </c>
      <c r="P4292" t="s">
        <v>45</v>
      </c>
      <c r="Q4292" t="s">
        <v>47</v>
      </c>
      <c r="R4292" t="s">
        <v>44</v>
      </c>
      <c r="S4292">
        <v>0</v>
      </c>
      <c r="W4292" s="3">
        <v>3.5879629629629635E-4</v>
      </c>
      <c r="X4292" t="s">
        <v>8825</v>
      </c>
      <c r="Y4292">
        <v>4</v>
      </c>
      <c r="Z4292">
        <v>1</v>
      </c>
      <c r="AA4292" t="s">
        <v>6681</v>
      </c>
      <c r="AB4292">
        <v>8</v>
      </c>
      <c r="AC4292" t="s">
        <v>49</v>
      </c>
      <c r="AD4292">
        <v>0</v>
      </c>
      <c r="AE4292">
        <v>11081930</v>
      </c>
      <c r="AF4292" t="s">
        <v>50</v>
      </c>
      <c r="AG4292" t="s">
        <v>8824</v>
      </c>
    </row>
    <row r="4293" spans="1:33" x14ac:dyDescent="0.35">
      <c r="A4293" s="1">
        <v>44612.555555555555</v>
      </c>
      <c r="B4293">
        <v>877027</v>
      </c>
      <c r="C4293" t="s">
        <v>8826</v>
      </c>
      <c r="D4293" t="s">
        <v>940</v>
      </c>
      <c r="E4293" s="2">
        <v>40942</v>
      </c>
      <c r="F4293" t="str">
        <f>"9781608051311"</f>
        <v>9781608051311</v>
      </c>
      <c r="G4293" t="str">
        <f>"9781608055357"</f>
        <v>9781608055357</v>
      </c>
      <c r="H4293" t="s">
        <v>77</v>
      </c>
      <c r="I4293">
        <v>610.28</v>
      </c>
      <c r="J4293" t="s">
        <v>8827</v>
      </c>
      <c r="K4293" t="s">
        <v>44</v>
      </c>
      <c r="N4293" t="s">
        <v>45</v>
      </c>
      <c r="O4293" t="s">
        <v>46</v>
      </c>
      <c r="P4293" t="s">
        <v>45</v>
      </c>
      <c r="Q4293" t="s">
        <v>47</v>
      </c>
      <c r="R4293" t="s">
        <v>44</v>
      </c>
      <c r="S4293">
        <v>0</v>
      </c>
      <c r="W4293" s="3">
        <v>1.5277777777777779E-3</v>
      </c>
      <c r="X4293" t="s">
        <v>8828</v>
      </c>
      <c r="Y4293">
        <v>20</v>
      </c>
      <c r="Z4293">
        <v>0</v>
      </c>
      <c r="AA4293" t="s">
        <v>49</v>
      </c>
      <c r="AB4293">
        <v>0</v>
      </c>
      <c r="AC4293" t="s">
        <v>49</v>
      </c>
      <c r="AD4293">
        <v>0</v>
      </c>
      <c r="AE4293">
        <v>10540816</v>
      </c>
      <c r="AF4293" t="s">
        <v>50</v>
      </c>
      <c r="AG4293" t="s">
        <v>7910</v>
      </c>
    </row>
    <row r="4294" spans="1:33" x14ac:dyDescent="0.35">
      <c r="A4294" s="1">
        <v>44612.539583333331</v>
      </c>
      <c r="B4294">
        <v>1099367</v>
      </c>
      <c r="C4294" t="s">
        <v>8829</v>
      </c>
      <c r="D4294" t="s">
        <v>76</v>
      </c>
      <c r="E4294" s="2">
        <v>41018</v>
      </c>
      <c r="F4294" t="str">
        <f>"9781136310270"</f>
        <v>9781136310270</v>
      </c>
      <c r="G4294" t="str">
        <f>"9780415682411"</f>
        <v>9780415682411</v>
      </c>
      <c r="H4294" t="s">
        <v>900</v>
      </c>
      <c r="I4294">
        <v>330</v>
      </c>
      <c r="J4294" t="s">
        <v>8830</v>
      </c>
      <c r="K4294" t="s">
        <v>44</v>
      </c>
      <c r="N4294" t="s">
        <v>45</v>
      </c>
      <c r="O4294" t="s">
        <v>46</v>
      </c>
      <c r="P4294" t="s">
        <v>45</v>
      </c>
      <c r="Q4294" t="s">
        <v>47</v>
      </c>
      <c r="R4294" t="s">
        <v>44</v>
      </c>
      <c r="S4294">
        <v>1</v>
      </c>
      <c r="W4294" s="3">
        <v>8.1018518518518516E-5</v>
      </c>
      <c r="X4294" t="s">
        <v>196</v>
      </c>
      <c r="Y4294">
        <v>2</v>
      </c>
      <c r="Z4294">
        <v>0</v>
      </c>
      <c r="AA4294" t="s">
        <v>49</v>
      </c>
      <c r="AB4294">
        <v>0</v>
      </c>
      <c r="AC4294" t="s">
        <v>49</v>
      </c>
      <c r="AD4294">
        <v>0</v>
      </c>
      <c r="AE4294">
        <v>10638917</v>
      </c>
      <c r="AF4294" t="s">
        <v>63</v>
      </c>
      <c r="AG4294" t="s">
        <v>8824</v>
      </c>
    </row>
    <row r="4295" spans="1:33" x14ac:dyDescent="0.35">
      <c r="A4295" s="1">
        <v>44612.53402777778</v>
      </c>
      <c r="B4295">
        <v>3570102</v>
      </c>
      <c r="C4295" t="s">
        <v>8820</v>
      </c>
      <c r="D4295" t="s">
        <v>76</v>
      </c>
      <c r="E4295" s="2">
        <v>42046</v>
      </c>
      <c r="F4295" t="str">
        <f>"9781315697574"</f>
        <v>9781315697574</v>
      </c>
      <c r="G4295" t="str">
        <f>"9781138902008"</f>
        <v>9781138902008</v>
      </c>
      <c r="H4295" t="s">
        <v>8821</v>
      </c>
      <c r="I4295">
        <v>962</v>
      </c>
      <c r="J4295" t="s">
        <v>8822</v>
      </c>
      <c r="K4295" t="s">
        <v>44</v>
      </c>
      <c r="N4295" t="s">
        <v>45</v>
      </c>
      <c r="O4295" t="s">
        <v>46</v>
      </c>
      <c r="P4295" t="s">
        <v>45</v>
      </c>
      <c r="Q4295" t="s">
        <v>47</v>
      </c>
      <c r="R4295" t="s">
        <v>44</v>
      </c>
      <c r="S4295">
        <v>3</v>
      </c>
      <c r="W4295" s="3">
        <v>0</v>
      </c>
      <c r="X4295" t="s">
        <v>49</v>
      </c>
      <c r="Y4295">
        <v>0</v>
      </c>
      <c r="Z4295">
        <v>0</v>
      </c>
      <c r="AA4295" t="s">
        <v>49</v>
      </c>
      <c r="AB4295">
        <v>0</v>
      </c>
      <c r="AC4295" t="s">
        <v>49</v>
      </c>
      <c r="AD4295">
        <v>0</v>
      </c>
      <c r="AE4295">
        <v>11081930</v>
      </c>
      <c r="AF4295" t="s">
        <v>63</v>
      </c>
      <c r="AG4295" t="s">
        <v>8824</v>
      </c>
    </row>
    <row r="4296" spans="1:33" x14ac:dyDescent="0.35">
      <c r="A4296" s="1">
        <v>44612.527083333334</v>
      </c>
      <c r="B4296">
        <v>661781</v>
      </c>
      <c r="C4296" t="s">
        <v>8671</v>
      </c>
      <c r="D4296" t="s">
        <v>59</v>
      </c>
      <c r="E4296" s="2">
        <v>40623</v>
      </c>
      <c r="F4296" t="str">
        <f>"9780470684337"</f>
        <v>9780470684337</v>
      </c>
      <c r="G4296" t="str">
        <f>"9780470741887"</f>
        <v>9780470741887</v>
      </c>
      <c r="H4296" t="s">
        <v>811</v>
      </c>
      <c r="I4296" t="s">
        <v>8672</v>
      </c>
      <c r="J4296" t="s">
        <v>8673</v>
      </c>
      <c r="K4296" t="s">
        <v>44</v>
      </c>
      <c r="N4296" t="s">
        <v>45</v>
      </c>
      <c r="O4296" t="s">
        <v>46</v>
      </c>
      <c r="P4296" t="s">
        <v>45</v>
      </c>
      <c r="Q4296" t="s">
        <v>47</v>
      </c>
      <c r="R4296" t="s">
        <v>44</v>
      </c>
      <c r="S4296">
        <v>0</v>
      </c>
      <c r="W4296" s="3">
        <v>2.3148148148148146E-4</v>
      </c>
      <c r="X4296" t="s">
        <v>8831</v>
      </c>
      <c r="Y4296">
        <v>2</v>
      </c>
      <c r="Z4296">
        <v>0</v>
      </c>
      <c r="AA4296" t="s">
        <v>49</v>
      </c>
      <c r="AB4296">
        <v>0</v>
      </c>
      <c r="AC4296" t="s">
        <v>49</v>
      </c>
      <c r="AD4296">
        <v>0</v>
      </c>
      <c r="AE4296">
        <v>10510618</v>
      </c>
      <c r="AF4296" t="s">
        <v>50</v>
      </c>
      <c r="AG4296" t="s">
        <v>1476</v>
      </c>
    </row>
    <row r="4297" spans="1:33" x14ac:dyDescent="0.35">
      <c r="A4297" s="1">
        <v>44612.490972222222</v>
      </c>
      <c r="B4297">
        <v>5796941</v>
      </c>
      <c r="C4297" t="s">
        <v>7395</v>
      </c>
      <c r="D4297" t="s">
        <v>844</v>
      </c>
      <c r="E4297" s="2">
        <v>43656</v>
      </c>
      <c r="F4297" t="str">
        <f>"9781787566811"</f>
        <v>9781787566811</v>
      </c>
      <c r="G4297" t="str">
        <f>"9781787566804"</f>
        <v>9781787566804</v>
      </c>
      <c r="H4297" t="s">
        <v>900</v>
      </c>
      <c r="I4297">
        <v>337.51056</v>
      </c>
      <c r="J4297" t="s">
        <v>1794</v>
      </c>
      <c r="K4297" t="s">
        <v>44</v>
      </c>
      <c r="N4297" t="s">
        <v>45</v>
      </c>
      <c r="O4297" t="s">
        <v>46</v>
      </c>
      <c r="P4297" t="s">
        <v>45</v>
      </c>
      <c r="Q4297" t="s">
        <v>47</v>
      </c>
      <c r="R4297" t="s">
        <v>44</v>
      </c>
      <c r="S4297">
        <v>0</v>
      </c>
      <c r="W4297" s="3">
        <v>5.0925925925925921E-4</v>
      </c>
      <c r="X4297" t="s">
        <v>8832</v>
      </c>
      <c r="Y4297">
        <v>10</v>
      </c>
      <c r="Z4297">
        <v>0</v>
      </c>
      <c r="AA4297" t="s">
        <v>49</v>
      </c>
      <c r="AB4297">
        <v>0</v>
      </c>
      <c r="AC4297" t="s">
        <v>49</v>
      </c>
      <c r="AD4297">
        <v>0</v>
      </c>
      <c r="AE4297">
        <v>-1</v>
      </c>
      <c r="AF4297" t="s">
        <v>50</v>
      </c>
      <c r="AG4297" t="s">
        <v>8332</v>
      </c>
    </row>
    <row r="4298" spans="1:33" x14ac:dyDescent="0.35">
      <c r="A4298" s="1">
        <v>44612.4375</v>
      </c>
      <c r="B4298">
        <v>661781</v>
      </c>
      <c r="C4298" t="s">
        <v>8671</v>
      </c>
      <c r="D4298" t="s">
        <v>59</v>
      </c>
      <c r="E4298" s="2">
        <v>40623</v>
      </c>
      <c r="F4298" t="str">
        <f>"9780470684337"</f>
        <v>9780470684337</v>
      </c>
      <c r="G4298" t="str">
        <f>"9780470741887"</f>
        <v>9780470741887</v>
      </c>
      <c r="H4298" t="s">
        <v>811</v>
      </c>
      <c r="I4298" t="s">
        <v>8672</v>
      </c>
      <c r="J4298" t="s">
        <v>8673</v>
      </c>
      <c r="K4298" t="s">
        <v>44</v>
      </c>
      <c r="N4298" t="s">
        <v>45</v>
      </c>
      <c r="O4298" t="s">
        <v>46</v>
      </c>
      <c r="P4298" t="s">
        <v>45</v>
      </c>
      <c r="Q4298" t="s">
        <v>47</v>
      </c>
      <c r="R4298" t="s">
        <v>44</v>
      </c>
      <c r="S4298">
        <v>0</v>
      </c>
      <c r="W4298" s="3">
        <v>3.7754629629629631E-2</v>
      </c>
      <c r="X4298" t="s">
        <v>8833</v>
      </c>
      <c r="Y4298">
        <v>15</v>
      </c>
      <c r="Z4298">
        <v>0</v>
      </c>
      <c r="AA4298" t="s">
        <v>49</v>
      </c>
      <c r="AB4298">
        <v>0</v>
      </c>
      <c r="AC4298" t="s">
        <v>49</v>
      </c>
      <c r="AD4298">
        <v>0</v>
      </c>
      <c r="AE4298">
        <v>10510618</v>
      </c>
      <c r="AF4298" t="s">
        <v>50</v>
      </c>
      <c r="AG4298" t="s">
        <v>1476</v>
      </c>
    </row>
    <row r="4299" spans="1:33" x14ac:dyDescent="0.35">
      <c r="A4299" s="1">
        <v>44612.390277777777</v>
      </c>
      <c r="B4299">
        <v>5796941</v>
      </c>
      <c r="C4299" t="s">
        <v>7395</v>
      </c>
      <c r="D4299" t="s">
        <v>844</v>
      </c>
      <c r="E4299" s="2">
        <v>43656</v>
      </c>
      <c r="F4299" t="str">
        <f>"9781787566811"</f>
        <v>9781787566811</v>
      </c>
      <c r="G4299" t="str">
        <f>"9781787566804"</f>
        <v>9781787566804</v>
      </c>
      <c r="H4299" t="s">
        <v>900</v>
      </c>
      <c r="I4299">
        <v>337.51056</v>
      </c>
      <c r="J4299" t="s">
        <v>1794</v>
      </c>
      <c r="K4299" t="s">
        <v>44</v>
      </c>
      <c r="N4299" t="s">
        <v>45</v>
      </c>
      <c r="O4299" t="s">
        <v>46</v>
      </c>
      <c r="P4299" t="s">
        <v>45</v>
      </c>
      <c r="Q4299" t="s">
        <v>47</v>
      </c>
      <c r="R4299" t="s">
        <v>44</v>
      </c>
      <c r="S4299">
        <v>0</v>
      </c>
      <c r="W4299" s="3">
        <v>1.695601851851852E-2</v>
      </c>
      <c r="X4299" t="s">
        <v>8834</v>
      </c>
      <c r="Y4299">
        <v>20</v>
      </c>
      <c r="Z4299">
        <v>1</v>
      </c>
      <c r="AA4299" t="s">
        <v>8835</v>
      </c>
      <c r="AB4299">
        <v>28</v>
      </c>
      <c r="AC4299" t="s">
        <v>49</v>
      </c>
      <c r="AD4299">
        <v>0</v>
      </c>
      <c r="AE4299">
        <v>-1</v>
      </c>
      <c r="AF4299" t="s">
        <v>50</v>
      </c>
      <c r="AG4299" t="s">
        <v>8332</v>
      </c>
    </row>
    <row r="4300" spans="1:33" x14ac:dyDescent="0.35">
      <c r="A4300" s="1">
        <v>44612.34097222222</v>
      </c>
      <c r="B4300">
        <v>877027</v>
      </c>
      <c r="C4300" t="s">
        <v>8826</v>
      </c>
      <c r="D4300" t="s">
        <v>940</v>
      </c>
      <c r="E4300" s="2">
        <v>40942</v>
      </c>
      <c r="F4300" t="str">
        <f>"9781608051311"</f>
        <v>9781608051311</v>
      </c>
      <c r="G4300" t="str">
        <f>"9781608055357"</f>
        <v>9781608055357</v>
      </c>
      <c r="H4300" t="s">
        <v>77</v>
      </c>
      <c r="I4300">
        <v>610.28</v>
      </c>
      <c r="J4300" t="s">
        <v>8827</v>
      </c>
      <c r="K4300" t="s">
        <v>44</v>
      </c>
      <c r="N4300" t="s">
        <v>45</v>
      </c>
      <c r="O4300" t="s">
        <v>46</v>
      </c>
      <c r="P4300" t="s">
        <v>45</v>
      </c>
      <c r="Q4300" t="s">
        <v>47</v>
      </c>
      <c r="R4300" t="s">
        <v>44</v>
      </c>
      <c r="S4300">
        <v>0</v>
      </c>
      <c r="W4300" s="3">
        <v>3.0011574074074076E-2</v>
      </c>
      <c r="X4300" t="s">
        <v>8836</v>
      </c>
      <c r="Y4300">
        <v>23</v>
      </c>
      <c r="Z4300">
        <v>0</v>
      </c>
      <c r="AA4300" t="s">
        <v>49</v>
      </c>
      <c r="AB4300">
        <v>0</v>
      </c>
      <c r="AC4300" t="s">
        <v>8837</v>
      </c>
      <c r="AD4300">
        <v>10</v>
      </c>
      <c r="AE4300">
        <v>10540816</v>
      </c>
      <c r="AF4300" t="s">
        <v>50</v>
      </c>
      <c r="AG4300" t="s">
        <v>7910</v>
      </c>
    </row>
    <row r="4301" spans="1:33" x14ac:dyDescent="0.35">
      <c r="A4301" s="1">
        <v>44611.695138888892</v>
      </c>
      <c r="B4301">
        <v>5796941</v>
      </c>
      <c r="C4301" t="s">
        <v>7395</v>
      </c>
      <c r="D4301" t="s">
        <v>844</v>
      </c>
      <c r="E4301" s="2">
        <v>43656</v>
      </c>
      <c r="F4301" t="str">
        <f>"9781787566811"</f>
        <v>9781787566811</v>
      </c>
      <c r="G4301" t="str">
        <f>"9781787566804"</f>
        <v>9781787566804</v>
      </c>
      <c r="H4301" t="s">
        <v>900</v>
      </c>
      <c r="I4301">
        <v>337.51056</v>
      </c>
      <c r="J4301" t="s">
        <v>1794</v>
      </c>
      <c r="K4301" t="s">
        <v>44</v>
      </c>
      <c r="N4301" t="s">
        <v>45</v>
      </c>
      <c r="O4301" t="s">
        <v>46</v>
      </c>
      <c r="P4301" t="s">
        <v>45</v>
      </c>
      <c r="Q4301" t="s">
        <v>47</v>
      </c>
      <c r="R4301" t="s">
        <v>44</v>
      </c>
      <c r="S4301">
        <v>0</v>
      </c>
      <c r="W4301" s="3">
        <v>2.2581018518518518E-2</v>
      </c>
      <c r="X4301" t="s">
        <v>8805</v>
      </c>
      <c r="Y4301">
        <v>7</v>
      </c>
      <c r="Z4301">
        <v>0</v>
      </c>
      <c r="AA4301" t="s">
        <v>49</v>
      </c>
      <c r="AB4301">
        <v>0</v>
      </c>
      <c r="AC4301" t="s">
        <v>49</v>
      </c>
      <c r="AD4301">
        <v>0</v>
      </c>
      <c r="AE4301">
        <v>-1</v>
      </c>
      <c r="AF4301" t="s">
        <v>50</v>
      </c>
      <c r="AG4301" t="s">
        <v>7910</v>
      </c>
    </row>
    <row r="4302" spans="1:33" x14ac:dyDescent="0.35">
      <c r="A4302" s="1">
        <v>44611.65347222222</v>
      </c>
      <c r="B4302">
        <v>284778</v>
      </c>
      <c r="C4302" t="s">
        <v>7807</v>
      </c>
      <c r="D4302" t="s">
        <v>7808</v>
      </c>
      <c r="E4302" s="2">
        <v>38353</v>
      </c>
      <c r="F4302" t="str">
        <f>"9781280268670"</f>
        <v>9781280268670</v>
      </c>
      <c r="G4302" t="str">
        <f>"9789289013772"</f>
        <v>9789289013772</v>
      </c>
      <c r="H4302" t="s">
        <v>525</v>
      </c>
      <c r="I4302">
        <v>362.20940000000002</v>
      </c>
      <c r="J4302" t="s">
        <v>7809</v>
      </c>
      <c r="K4302" t="s">
        <v>44</v>
      </c>
      <c r="N4302" t="s">
        <v>45</v>
      </c>
      <c r="O4302" t="s">
        <v>46</v>
      </c>
      <c r="P4302" t="s">
        <v>45</v>
      </c>
      <c r="Q4302" t="s">
        <v>47</v>
      </c>
      <c r="R4302" t="s">
        <v>44</v>
      </c>
      <c r="S4302">
        <v>0</v>
      </c>
      <c r="W4302" s="3">
        <v>4.3981481481481481E-4</v>
      </c>
      <c r="X4302" t="s">
        <v>8582</v>
      </c>
      <c r="Y4302">
        <v>3</v>
      </c>
      <c r="Z4302">
        <v>0</v>
      </c>
      <c r="AA4302" t="s">
        <v>49</v>
      </c>
      <c r="AB4302">
        <v>0</v>
      </c>
      <c r="AC4302" t="s">
        <v>49</v>
      </c>
      <c r="AD4302">
        <v>0</v>
      </c>
      <c r="AE4302">
        <v>10104339</v>
      </c>
      <c r="AF4302" t="s">
        <v>50</v>
      </c>
      <c r="AG4302" t="s">
        <v>835</v>
      </c>
    </row>
    <row r="4303" spans="1:33" x14ac:dyDescent="0.35">
      <c r="A4303" s="1">
        <v>44611.470833333333</v>
      </c>
      <c r="B4303">
        <v>4038362</v>
      </c>
      <c r="C4303" t="s">
        <v>1870</v>
      </c>
      <c r="D4303" t="s">
        <v>59</v>
      </c>
      <c r="E4303" s="2">
        <v>42310</v>
      </c>
      <c r="F4303" t="str">
        <f>"9781118754351"</f>
        <v>9781118754351</v>
      </c>
      <c r="G4303" t="str">
        <f>"9781118753538"</f>
        <v>9781118753538</v>
      </c>
      <c r="H4303" t="s">
        <v>233</v>
      </c>
      <c r="I4303" t="s">
        <v>1874</v>
      </c>
      <c r="J4303" t="s">
        <v>8838</v>
      </c>
      <c r="K4303" t="s">
        <v>44</v>
      </c>
      <c r="N4303" t="s">
        <v>45</v>
      </c>
      <c r="O4303" t="s">
        <v>46</v>
      </c>
      <c r="P4303" t="s">
        <v>45</v>
      </c>
      <c r="Q4303" t="s">
        <v>47</v>
      </c>
      <c r="R4303" t="s">
        <v>44</v>
      </c>
      <c r="S4303">
        <v>0</v>
      </c>
      <c r="W4303" s="3">
        <v>1.6550925925925926E-3</v>
      </c>
      <c r="X4303" t="s">
        <v>8839</v>
      </c>
      <c r="Y4303">
        <v>17</v>
      </c>
      <c r="Z4303">
        <v>0</v>
      </c>
      <c r="AA4303" t="s">
        <v>49</v>
      </c>
      <c r="AB4303">
        <v>0</v>
      </c>
      <c r="AC4303" t="s">
        <v>49</v>
      </c>
      <c r="AD4303">
        <v>0</v>
      </c>
      <c r="AE4303">
        <v>11112308</v>
      </c>
      <c r="AF4303" t="s">
        <v>50</v>
      </c>
      <c r="AG4303" t="s">
        <v>8546</v>
      </c>
    </row>
    <row r="4304" spans="1:33" x14ac:dyDescent="0.35">
      <c r="A4304" s="1">
        <v>44611.46875</v>
      </c>
      <c r="B4304">
        <v>1120857</v>
      </c>
      <c r="C4304" t="s">
        <v>1873</v>
      </c>
      <c r="D4304" t="s">
        <v>59</v>
      </c>
      <c r="E4304" s="2">
        <v>41303</v>
      </c>
      <c r="F4304" t="str">
        <f>"9781118403327"</f>
        <v>9781118403327</v>
      </c>
      <c r="G4304" t="str">
        <f>"9781118342367"</f>
        <v>9781118342367</v>
      </c>
      <c r="H4304" t="s">
        <v>579</v>
      </c>
      <c r="I4304" t="s">
        <v>1874</v>
      </c>
      <c r="J4304" t="s">
        <v>8840</v>
      </c>
      <c r="K4304" t="s">
        <v>44</v>
      </c>
      <c r="N4304" t="s">
        <v>45</v>
      </c>
      <c r="O4304" t="s">
        <v>46</v>
      </c>
      <c r="P4304" t="s">
        <v>45</v>
      </c>
      <c r="Q4304" t="s">
        <v>47</v>
      </c>
      <c r="R4304" t="s">
        <v>44</v>
      </c>
      <c r="S4304">
        <v>0</v>
      </c>
      <c r="W4304" s="3">
        <v>1.9791666666666668E-3</v>
      </c>
      <c r="X4304" t="s">
        <v>8841</v>
      </c>
      <c r="Y4304">
        <v>18</v>
      </c>
      <c r="Z4304">
        <v>0</v>
      </c>
      <c r="AA4304" t="s">
        <v>49</v>
      </c>
      <c r="AB4304">
        <v>0</v>
      </c>
      <c r="AC4304" t="s">
        <v>49</v>
      </c>
      <c r="AD4304">
        <v>0</v>
      </c>
      <c r="AE4304">
        <v>10657971</v>
      </c>
      <c r="AF4304" t="s">
        <v>50</v>
      </c>
      <c r="AG4304" t="s">
        <v>8546</v>
      </c>
    </row>
    <row r="4305" spans="1:33" x14ac:dyDescent="0.35">
      <c r="A4305" s="1">
        <v>44611.064583333333</v>
      </c>
      <c r="B4305">
        <v>5796941</v>
      </c>
      <c r="C4305" t="s">
        <v>7395</v>
      </c>
      <c r="D4305" t="s">
        <v>844</v>
      </c>
      <c r="E4305" s="2">
        <v>43656</v>
      </c>
      <c r="F4305" t="str">
        <f>"9781787566811"</f>
        <v>9781787566811</v>
      </c>
      <c r="G4305" t="str">
        <f>"9781787566804"</f>
        <v>9781787566804</v>
      </c>
      <c r="H4305" t="s">
        <v>900</v>
      </c>
      <c r="I4305">
        <v>337.51056</v>
      </c>
      <c r="J4305" t="s">
        <v>1794</v>
      </c>
      <c r="K4305" t="s">
        <v>44</v>
      </c>
      <c r="N4305" t="s">
        <v>45</v>
      </c>
      <c r="O4305" t="s">
        <v>46</v>
      </c>
      <c r="P4305" t="s">
        <v>45</v>
      </c>
      <c r="Q4305" t="s">
        <v>47</v>
      </c>
      <c r="R4305" t="s">
        <v>44</v>
      </c>
      <c r="S4305">
        <v>0</v>
      </c>
      <c r="W4305" s="3">
        <v>5.4398148148148144E-4</v>
      </c>
      <c r="X4305" t="s">
        <v>8842</v>
      </c>
      <c r="Y4305">
        <v>8</v>
      </c>
      <c r="Z4305">
        <v>0</v>
      </c>
      <c r="AA4305" t="s">
        <v>49</v>
      </c>
      <c r="AB4305">
        <v>0</v>
      </c>
      <c r="AC4305" t="s">
        <v>49</v>
      </c>
      <c r="AD4305">
        <v>0</v>
      </c>
      <c r="AE4305">
        <v>-1</v>
      </c>
      <c r="AF4305" t="s">
        <v>50</v>
      </c>
      <c r="AG4305" t="s">
        <v>8624</v>
      </c>
    </row>
    <row r="4306" spans="1:33" x14ac:dyDescent="0.35">
      <c r="A4306" s="1">
        <v>44611.061805555553</v>
      </c>
      <c r="B4306">
        <v>4657977</v>
      </c>
      <c r="C4306" t="s">
        <v>8843</v>
      </c>
      <c r="D4306" t="s">
        <v>8844</v>
      </c>
      <c r="E4306" s="2">
        <v>38273</v>
      </c>
      <c r="F4306" t="str">
        <f>"9780071505734"</f>
        <v>9780071505734</v>
      </c>
      <c r="G4306" t="str">
        <f>"9780071441193"</f>
        <v>9780071441193</v>
      </c>
      <c r="H4306" t="s">
        <v>60</v>
      </c>
      <c r="I4306">
        <v>658.40129999999897</v>
      </c>
      <c r="J4306" t="s">
        <v>8845</v>
      </c>
      <c r="K4306" t="s">
        <v>55</v>
      </c>
      <c r="P4306" t="s">
        <v>97</v>
      </c>
      <c r="Q4306" t="s">
        <v>47</v>
      </c>
      <c r="R4306" t="s">
        <v>44</v>
      </c>
      <c r="S4306">
        <v>1</v>
      </c>
      <c r="T4306">
        <v>1</v>
      </c>
      <c r="U4306" s="1">
        <v>44611.061805555553</v>
      </c>
      <c r="V4306" s="1">
        <v>44612.061805555553</v>
      </c>
      <c r="W4306" s="3">
        <v>0</v>
      </c>
      <c r="X4306" t="s">
        <v>49</v>
      </c>
      <c r="Y4306">
        <v>0</v>
      </c>
      <c r="Z4306">
        <v>0</v>
      </c>
      <c r="AA4306" t="s">
        <v>49</v>
      </c>
      <c r="AB4306">
        <v>0</v>
      </c>
      <c r="AC4306" t="s">
        <v>49</v>
      </c>
      <c r="AD4306">
        <v>0</v>
      </c>
      <c r="AE4306">
        <v>10393197</v>
      </c>
      <c r="AF4306" t="s">
        <v>63</v>
      </c>
      <c r="AG4306" t="s">
        <v>8846</v>
      </c>
    </row>
    <row r="4307" spans="1:33" x14ac:dyDescent="0.35">
      <c r="A4307" s="1">
        <v>44611.058333333334</v>
      </c>
      <c r="B4307">
        <v>4655575</v>
      </c>
      <c r="C4307" t="s">
        <v>8847</v>
      </c>
      <c r="D4307" t="s">
        <v>8844</v>
      </c>
      <c r="E4307" s="2">
        <v>37392</v>
      </c>
      <c r="F4307" t="str">
        <f>"9780071501903"</f>
        <v>9780071501903</v>
      </c>
      <c r="G4307" t="str">
        <f>"9780071385213"</f>
        <v>9780071385213</v>
      </c>
      <c r="H4307" t="s">
        <v>60</v>
      </c>
      <c r="I4307" t="s">
        <v>4881</v>
      </c>
      <c r="J4307" t="s">
        <v>8848</v>
      </c>
      <c r="K4307" t="s">
        <v>55</v>
      </c>
      <c r="P4307" t="s">
        <v>97</v>
      </c>
      <c r="Q4307" t="s">
        <v>47</v>
      </c>
      <c r="R4307" t="s">
        <v>44</v>
      </c>
      <c r="S4307">
        <v>1</v>
      </c>
      <c r="T4307">
        <v>1</v>
      </c>
      <c r="U4307" s="1">
        <v>44611.052777777775</v>
      </c>
      <c r="V4307" s="1">
        <v>44612.052777777775</v>
      </c>
      <c r="W4307" s="3">
        <v>0</v>
      </c>
      <c r="X4307" t="s">
        <v>49</v>
      </c>
      <c r="Y4307">
        <v>0</v>
      </c>
      <c r="Z4307">
        <v>0</v>
      </c>
      <c r="AA4307" t="s">
        <v>49</v>
      </c>
      <c r="AB4307">
        <v>0</v>
      </c>
      <c r="AC4307" t="s">
        <v>49</v>
      </c>
      <c r="AD4307">
        <v>0</v>
      </c>
      <c r="AE4307">
        <v>10089203</v>
      </c>
      <c r="AF4307" t="s">
        <v>63</v>
      </c>
      <c r="AG4307" t="s">
        <v>8846</v>
      </c>
    </row>
    <row r="4308" spans="1:33" x14ac:dyDescent="0.35">
      <c r="A4308" s="1">
        <v>44611.052777777775</v>
      </c>
      <c r="B4308">
        <v>4655575</v>
      </c>
      <c r="C4308" t="s">
        <v>8847</v>
      </c>
      <c r="D4308" t="s">
        <v>8844</v>
      </c>
      <c r="E4308" s="2">
        <v>37392</v>
      </c>
      <c r="F4308" t="str">
        <f>"9780071501903"</f>
        <v>9780071501903</v>
      </c>
      <c r="G4308" t="str">
        <f>"9780071385213"</f>
        <v>9780071385213</v>
      </c>
      <c r="H4308" t="s">
        <v>60</v>
      </c>
      <c r="I4308" t="s">
        <v>4881</v>
      </c>
      <c r="J4308" t="s">
        <v>8848</v>
      </c>
      <c r="K4308" t="s">
        <v>55</v>
      </c>
      <c r="P4308" t="s">
        <v>97</v>
      </c>
      <c r="Q4308" t="s">
        <v>47</v>
      </c>
      <c r="R4308" t="s">
        <v>44</v>
      </c>
      <c r="S4308">
        <v>1</v>
      </c>
      <c r="T4308">
        <v>1</v>
      </c>
      <c r="U4308" s="1">
        <v>44611.052777777775</v>
      </c>
      <c r="V4308" s="1">
        <v>44612.052777777775</v>
      </c>
      <c r="W4308" s="3">
        <v>3.5416666666666665E-3</v>
      </c>
      <c r="X4308" t="s">
        <v>1014</v>
      </c>
      <c r="Y4308">
        <v>2</v>
      </c>
      <c r="Z4308">
        <v>0</v>
      </c>
      <c r="AA4308" t="s">
        <v>49</v>
      </c>
      <c r="AB4308">
        <v>0</v>
      </c>
      <c r="AC4308" t="s">
        <v>49</v>
      </c>
      <c r="AD4308">
        <v>0</v>
      </c>
      <c r="AE4308">
        <v>10089203</v>
      </c>
      <c r="AF4308" t="s">
        <v>63</v>
      </c>
      <c r="AG4308" t="s">
        <v>8332</v>
      </c>
    </row>
    <row r="4309" spans="1:33" x14ac:dyDescent="0.35">
      <c r="A4309" s="1">
        <v>44611.05</v>
      </c>
      <c r="B4309">
        <v>4655575</v>
      </c>
      <c r="C4309" t="s">
        <v>8847</v>
      </c>
      <c r="D4309" t="s">
        <v>8844</v>
      </c>
      <c r="E4309" s="2">
        <v>37392</v>
      </c>
      <c r="F4309" t="str">
        <f>"9780071501903"</f>
        <v>9780071501903</v>
      </c>
      <c r="G4309" t="str">
        <f>"9780071385213"</f>
        <v>9780071385213</v>
      </c>
      <c r="H4309" t="s">
        <v>60</v>
      </c>
      <c r="I4309" t="s">
        <v>4881</v>
      </c>
      <c r="J4309" t="s">
        <v>8848</v>
      </c>
      <c r="K4309" t="s">
        <v>55</v>
      </c>
      <c r="P4309" t="s">
        <v>97</v>
      </c>
      <c r="Q4309" t="s">
        <v>47</v>
      </c>
      <c r="R4309" t="s">
        <v>44</v>
      </c>
      <c r="S4309">
        <v>0</v>
      </c>
      <c r="W4309" s="3">
        <v>3.0092592592592588E-3</v>
      </c>
      <c r="X4309" t="s">
        <v>8849</v>
      </c>
      <c r="Y4309">
        <v>30</v>
      </c>
      <c r="Z4309">
        <v>0</v>
      </c>
      <c r="AA4309" t="s">
        <v>49</v>
      </c>
      <c r="AB4309">
        <v>0</v>
      </c>
      <c r="AC4309" t="s">
        <v>49</v>
      </c>
      <c r="AD4309">
        <v>0</v>
      </c>
      <c r="AE4309">
        <v>10089203</v>
      </c>
      <c r="AF4309" t="s">
        <v>63</v>
      </c>
      <c r="AG4309" t="s">
        <v>8332</v>
      </c>
    </row>
    <row r="4310" spans="1:33" x14ac:dyDescent="0.35">
      <c r="A4310" s="1">
        <v>44610.998611111114</v>
      </c>
      <c r="B4310">
        <v>5796941</v>
      </c>
      <c r="C4310" t="s">
        <v>7395</v>
      </c>
      <c r="D4310" t="s">
        <v>844</v>
      </c>
      <c r="E4310" s="2">
        <v>43656</v>
      </c>
      <c r="F4310" t="str">
        <f>"9781787566811"</f>
        <v>9781787566811</v>
      </c>
      <c r="G4310" t="str">
        <f>"9781787566804"</f>
        <v>9781787566804</v>
      </c>
      <c r="H4310" t="s">
        <v>900</v>
      </c>
      <c r="I4310">
        <v>337.51056</v>
      </c>
      <c r="J4310" t="s">
        <v>1794</v>
      </c>
      <c r="K4310" t="s">
        <v>44</v>
      </c>
      <c r="N4310" t="s">
        <v>45</v>
      </c>
      <c r="O4310" t="s">
        <v>46</v>
      </c>
      <c r="P4310" t="s">
        <v>45</v>
      </c>
      <c r="Q4310" t="s">
        <v>47</v>
      </c>
      <c r="R4310" t="s">
        <v>44</v>
      </c>
      <c r="S4310">
        <v>0</v>
      </c>
      <c r="W4310" s="3">
        <v>1.6643518518518519E-2</v>
      </c>
      <c r="X4310" t="s">
        <v>8850</v>
      </c>
      <c r="Y4310">
        <v>18</v>
      </c>
      <c r="Z4310">
        <v>0</v>
      </c>
      <c r="AA4310" t="s">
        <v>49</v>
      </c>
      <c r="AB4310">
        <v>0</v>
      </c>
      <c r="AC4310" t="s">
        <v>49</v>
      </c>
      <c r="AD4310">
        <v>0</v>
      </c>
      <c r="AE4310">
        <v>-1</v>
      </c>
      <c r="AF4310" t="s">
        <v>50</v>
      </c>
      <c r="AG4310" t="s">
        <v>8624</v>
      </c>
    </row>
    <row r="4311" spans="1:33" x14ac:dyDescent="0.35">
      <c r="A4311" s="1">
        <v>44610.961111111108</v>
      </c>
      <c r="B4311">
        <v>4876969</v>
      </c>
      <c r="C4311" t="s">
        <v>202</v>
      </c>
      <c r="D4311" t="s">
        <v>199</v>
      </c>
      <c r="E4311" s="2">
        <v>41790</v>
      </c>
      <c r="F4311" t="str">
        <f>"9781423223375"</f>
        <v>9781423223375</v>
      </c>
      <c r="G4311" t="str">
        <f>"9781423222958"</f>
        <v>9781423222958</v>
      </c>
      <c r="H4311" t="s">
        <v>43</v>
      </c>
      <c r="I4311">
        <v>512.07119999999998</v>
      </c>
      <c r="J4311" t="s">
        <v>203</v>
      </c>
      <c r="K4311" t="s">
        <v>44</v>
      </c>
      <c r="N4311" t="s">
        <v>45</v>
      </c>
      <c r="O4311" t="s">
        <v>46</v>
      </c>
      <c r="P4311" t="s">
        <v>45</v>
      </c>
      <c r="Q4311" t="s">
        <v>47</v>
      </c>
      <c r="R4311" t="s">
        <v>44</v>
      </c>
      <c r="S4311">
        <v>0</v>
      </c>
      <c r="W4311" s="3">
        <v>4.2824074074074075E-4</v>
      </c>
      <c r="X4311" t="s">
        <v>1346</v>
      </c>
      <c r="Y4311">
        <v>4</v>
      </c>
      <c r="Z4311">
        <v>0</v>
      </c>
      <c r="AA4311" t="s">
        <v>49</v>
      </c>
      <c r="AB4311">
        <v>0</v>
      </c>
      <c r="AC4311" t="s">
        <v>49</v>
      </c>
      <c r="AD4311">
        <v>0</v>
      </c>
      <c r="AE4311">
        <v>11397670</v>
      </c>
      <c r="AF4311" t="s">
        <v>50</v>
      </c>
      <c r="AG4311" t="s">
        <v>7910</v>
      </c>
    </row>
    <row r="4312" spans="1:33" x14ac:dyDescent="0.35">
      <c r="A4312" s="1">
        <v>44610.941666666666</v>
      </c>
      <c r="B4312">
        <v>5796941</v>
      </c>
      <c r="C4312" t="s">
        <v>7395</v>
      </c>
      <c r="D4312" t="s">
        <v>844</v>
      </c>
      <c r="E4312" s="2">
        <v>43656</v>
      </c>
      <c r="F4312" t="str">
        <f>"9781787566811"</f>
        <v>9781787566811</v>
      </c>
      <c r="G4312" t="str">
        <f>"9781787566804"</f>
        <v>9781787566804</v>
      </c>
      <c r="H4312" t="s">
        <v>900</v>
      </c>
      <c r="I4312">
        <v>337.51056</v>
      </c>
      <c r="J4312" t="s">
        <v>1794</v>
      </c>
      <c r="K4312" t="s">
        <v>44</v>
      </c>
      <c r="N4312" t="s">
        <v>45</v>
      </c>
      <c r="O4312" t="s">
        <v>46</v>
      </c>
      <c r="P4312" t="s">
        <v>45</v>
      </c>
      <c r="Q4312" t="s">
        <v>47</v>
      </c>
      <c r="R4312" t="s">
        <v>44</v>
      </c>
      <c r="S4312">
        <v>0</v>
      </c>
      <c r="W4312" s="3">
        <v>1.0219907407407408E-2</v>
      </c>
      <c r="X4312" t="s">
        <v>8851</v>
      </c>
      <c r="Y4312">
        <v>9</v>
      </c>
      <c r="Z4312">
        <v>0</v>
      </c>
      <c r="AA4312" t="s">
        <v>49</v>
      </c>
      <c r="AB4312">
        <v>0</v>
      </c>
      <c r="AC4312" t="s">
        <v>49</v>
      </c>
      <c r="AD4312">
        <v>0</v>
      </c>
      <c r="AE4312">
        <v>-1</v>
      </c>
      <c r="AF4312" t="s">
        <v>50</v>
      </c>
      <c r="AG4312" t="s">
        <v>8624</v>
      </c>
    </row>
    <row r="4313" spans="1:33" x14ac:dyDescent="0.35">
      <c r="A4313" s="1">
        <v>44610.85833333333</v>
      </c>
      <c r="B4313">
        <v>5796941</v>
      </c>
      <c r="C4313" t="s">
        <v>7395</v>
      </c>
      <c r="D4313" t="s">
        <v>844</v>
      </c>
      <c r="E4313" s="2">
        <v>43656</v>
      </c>
      <c r="F4313" t="str">
        <f>"9781787566811"</f>
        <v>9781787566811</v>
      </c>
      <c r="G4313" t="str">
        <f>"9781787566804"</f>
        <v>9781787566804</v>
      </c>
      <c r="H4313" t="s">
        <v>900</v>
      </c>
      <c r="I4313">
        <v>337.51056</v>
      </c>
      <c r="J4313" t="s">
        <v>1794</v>
      </c>
      <c r="K4313" t="s">
        <v>44</v>
      </c>
      <c r="N4313" t="s">
        <v>45</v>
      </c>
      <c r="O4313" t="s">
        <v>46</v>
      </c>
      <c r="P4313" t="s">
        <v>45</v>
      </c>
      <c r="Q4313" t="s">
        <v>47</v>
      </c>
      <c r="R4313" t="s">
        <v>44</v>
      </c>
      <c r="S4313">
        <v>0</v>
      </c>
      <c r="W4313" s="3">
        <v>1.6481481481481482E-2</v>
      </c>
      <c r="X4313" t="s">
        <v>8852</v>
      </c>
      <c r="Y4313">
        <v>9</v>
      </c>
      <c r="Z4313">
        <v>0</v>
      </c>
      <c r="AA4313" t="s">
        <v>49</v>
      </c>
      <c r="AB4313">
        <v>0</v>
      </c>
      <c r="AC4313" t="s">
        <v>8853</v>
      </c>
      <c r="AD4313">
        <v>2</v>
      </c>
      <c r="AE4313">
        <v>-1</v>
      </c>
      <c r="AF4313" t="s">
        <v>50</v>
      </c>
      <c r="AG4313" t="s">
        <v>1816</v>
      </c>
    </row>
    <row r="4314" spans="1:33" x14ac:dyDescent="0.35">
      <c r="A4314" s="1">
        <v>44610.821527777778</v>
      </c>
      <c r="B4314">
        <v>1699226</v>
      </c>
      <c r="C4314" t="s">
        <v>6670</v>
      </c>
      <c r="D4314" t="s">
        <v>6671</v>
      </c>
      <c r="E4314" s="2">
        <v>41780</v>
      </c>
      <c r="F4314" t="str">
        <f>"9780739179079"</f>
        <v>9780739179079</v>
      </c>
      <c r="G4314" t="str">
        <f>"9780739179062"</f>
        <v>9780739179062</v>
      </c>
      <c r="H4314" t="s">
        <v>162</v>
      </c>
      <c r="I4314">
        <v>297.08199999999999</v>
      </c>
      <c r="J4314" t="s">
        <v>6672</v>
      </c>
      <c r="K4314" t="s">
        <v>44</v>
      </c>
      <c r="N4314" t="s">
        <v>45</v>
      </c>
      <c r="O4314" t="s">
        <v>46</v>
      </c>
      <c r="P4314" t="s">
        <v>45</v>
      </c>
      <c r="Q4314" t="s">
        <v>47</v>
      </c>
      <c r="R4314" t="s">
        <v>44</v>
      </c>
      <c r="S4314">
        <v>0</v>
      </c>
      <c r="W4314" s="3">
        <v>1.2268518518518518E-3</v>
      </c>
      <c r="X4314" t="s">
        <v>8854</v>
      </c>
      <c r="Y4314">
        <v>13</v>
      </c>
      <c r="Z4314">
        <v>0</v>
      </c>
      <c r="AA4314" t="s">
        <v>49</v>
      </c>
      <c r="AB4314">
        <v>0</v>
      </c>
      <c r="AC4314" t="s">
        <v>49</v>
      </c>
      <c r="AD4314">
        <v>0</v>
      </c>
      <c r="AE4314">
        <v>10878893</v>
      </c>
      <c r="AF4314" t="s">
        <v>50</v>
      </c>
      <c r="AG4314" t="s">
        <v>7910</v>
      </c>
    </row>
    <row r="4315" spans="1:33" x14ac:dyDescent="0.35">
      <c r="A4315" s="1">
        <v>44610.820138888892</v>
      </c>
      <c r="B4315">
        <v>4396580</v>
      </c>
      <c r="C4315" t="s">
        <v>8855</v>
      </c>
      <c r="D4315" t="s">
        <v>645</v>
      </c>
      <c r="E4315" s="2">
        <v>42278</v>
      </c>
      <c r="F4315" t="str">
        <f>"9781438457949"</f>
        <v>9781438457949</v>
      </c>
      <c r="G4315" t="str">
        <f>"9781438457932"</f>
        <v>9781438457932</v>
      </c>
      <c r="H4315" t="s">
        <v>1046</v>
      </c>
      <c r="I4315" t="s">
        <v>8856</v>
      </c>
      <c r="K4315" t="s">
        <v>44</v>
      </c>
      <c r="N4315" t="s">
        <v>45</v>
      </c>
      <c r="O4315" t="s">
        <v>46</v>
      </c>
      <c r="P4315" t="s">
        <v>45</v>
      </c>
      <c r="Q4315" t="s">
        <v>47</v>
      </c>
      <c r="R4315" t="s">
        <v>44</v>
      </c>
      <c r="S4315">
        <v>0</v>
      </c>
      <c r="W4315" s="3">
        <v>4.2824074074074075E-4</v>
      </c>
      <c r="X4315" t="s">
        <v>8857</v>
      </c>
      <c r="Y4315">
        <v>3</v>
      </c>
      <c r="Z4315">
        <v>0</v>
      </c>
      <c r="AA4315" t="s">
        <v>49</v>
      </c>
      <c r="AB4315">
        <v>0</v>
      </c>
      <c r="AC4315" t="s">
        <v>49</v>
      </c>
      <c r="AD4315">
        <v>0</v>
      </c>
      <c r="AE4315">
        <v>11155585</v>
      </c>
      <c r="AF4315" t="s">
        <v>50</v>
      </c>
      <c r="AG4315" t="s">
        <v>7910</v>
      </c>
    </row>
    <row r="4316" spans="1:33" x14ac:dyDescent="0.35">
      <c r="A4316" s="1">
        <v>44610.818749999999</v>
      </c>
      <c r="B4316">
        <v>776553</v>
      </c>
      <c r="C4316" t="s">
        <v>6652</v>
      </c>
      <c r="D4316" t="s">
        <v>2754</v>
      </c>
      <c r="E4316" s="2">
        <v>40729</v>
      </c>
      <c r="F4316" t="str">
        <f>"9780816678327"</f>
        <v>9780816678327</v>
      </c>
      <c r="G4316" t="str">
        <f>"9780816651344"</f>
        <v>9780816651344</v>
      </c>
      <c r="H4316" t="s">
        <v>1046</v>
      </c>
      <c r="I4316">
        <v>305.42096400000003</v>
      </c>
      <c r="J4316" t="s">
        <v>6653</v>
      </c>
      <c r="K4316" t="s">
        <v>44</v>
      </c>
      <c r="N4316" t="s">
        <v>45</v>
      </c>
      <c r="O4316" t="s">
        <v>46</v>
      </c>
      <c r="P4316" t="s">
        <v>45</v>
      </c>
      <c r="Q4316" t="s">
        <v>47</v>
      </c>
      <c r="R4316" t="s">
        <v>44</v>
      </c>
      <c r="S4316">
        <v>0</v>
      </c>
      <c r="W4316" s="3">
        <v>8.3333333333333339E-4</v>
      </c>
      <c r="X4316" t="s">
        <v>8858</v>
      </c>
      <c r="Y4316">
        <v>3</v>
      </c>
      <c r="Z4316">
        <v>0</v>
      </c>
      <c r="AA4316" t="s">
        <v>49</v>
      </c>
      <c r="AB4316">
        <v>0</v>
      </c>
      <c r="AC4316" t="s">
        <v>49</v>
      </c>
      <c r="AD4316">
        <v>0</v>
      </c>
      <c r="AE4316">
        <v>10500268</v>
      </c>
      <c r="AF4316" t="s">
        <v>50</v>
      </c>
      <c r="AG4316" t="s">
        <v>7910</v>
      </c>
    </row>
    <row r="4317" spans="1:33" x14ac:dyDescent="0.35">
      <c r="A4317" s="1">
        <v>44610.8125</v>
      </c>
      <c r="B4317">
        <v>1710962</v>
      </c>
      <c r="C4317" t="s">
        <v>8859</v>
      </c>
      <c r="D4317" t="s">
        <v>59</v>
      </c>
      <c r="E4317" s="2">
        <v>41813</v>
      </c>
      <c r="F4317" t="str">
        <f>"9781118939291"</f>
        <v>9781118939291</v>
      </c>
      <c r="G4317" t="str">
        <f>"9781118496305"</f>
        <v>9781118496305</v>
      </c>
      <c r="H4317" t="s">
        <v>290</v>
      </c>
      <c r="I4317">
        <v>628.16399999999999</v>
      </c>
      <c r="J4317" t="s">
        <v>8860</v>
      </c>
      <c r="K4317" t="s">
        <v>44</v>
      </c>
      <c r="N4317" t="s">
        <v>45</v>
      </c>
      <c r="O4317" t="s">
        <v>46</v>
      </c>
      <c r="P4317" t="s">
        <v>45</v>
      </c>
      <c r="Q4317" t="s">
        <v>47</v>
      </c>
      <c r="R4317" t="s">
        <v>44</v>
      </c>
      <c r="S4317">
        <v>0</v>
      </c>
      <c r="W4317" s="3">
        <v>1.4571759259259258E-2</v>
      </c>
      <c r="X4317" t="s">
        <v>8861</v>
      </c>
      <c r="Y4317">
        <v>25</v>
      </c>
      <c r="Z4317">
        <v>0</v>
      </c>
      <c r="AA4317" t="s">
        <v>49</v>
      </c>
      <c r="AB4317">
        <v>0</v>
      </c>
      <c r="AC4317" t="s">
        <v>49</v>
      </c>
      <c r="AD4317">
        <v>0</v>
      </c>
      <c r="AE4317">
        <v>10882756</v>
      </c>
      <c r="AF4317" t="s">
        <v>50</v>
      </c>
      <c r="AG4317" t="s">
        <v>1816</v>
      </c>
    </row>
    <row r="4318" spans="1:33" x14ac:dyDescent="0.35">
      <c r="A4318" s="1">
        <v>44610.782638888886</v>
      </c>
      <c r="B4318">
        <v>5796941</v>
      </c>
      <c r="C4318" t="s">
        <v>7395</v>
      </c>
      <c r="D4318" t="s">
        <v>844</v>
      </c>
      <c r="E4318" s="2">
        <v>43656</v>
      </c>
      <c r="F4318" t="str">
        <f>"9781787566811"</f>
        <v>9781787566811</v>
      </c>
      <c r="G4318" t="str">
        <f>"9781787566804"</f>
        <v>9781787566804</v>
      </c>
      <c r="H4318" t="s">
        <v>900</v>
      </c>
      <c r="I4318">
        <v>337.51056</v>
      </c>
      <c r="J4318" t="s">
        <v>1794</v>
      </c>
      <c r="K4318" t="s">
        <v>44</v>
      </c>
      <c r="N4318" t="s">
        <v>45</v>
      </c>
      <c r="O4318" t="s">
        <v>46</v>
      </c>
      <c r="P4318" t="s">
        <v>45</v>
      </c>
      <c r="Q4318" t="s">
        <v>47</v>
      </c>
      <c r="R4318" t="s">
        <v>44</v>
      </c>
      <c r="S4318">
        <v>0</v>
      </c>
      <c r="W4318" s="3">
        <v>1.0115740740740741E-2</v>
      </c>
      <c r="X4318" t="s">
        <v>8862</v>
      </c>
      <c r="Y4318">
        <v>8</v>
      </c>
      <c r="Z4318">
        <v>0</v>
      </c>
      <c r="AA4318" t="s">
        <v>49</v>
      </c>
      <c r="AB4318">
        <v>0</v>
      </c>
      <c r="AC4318" t="s">
        <v>1841</v>
      </c>
      <c r="AD4318">
        <v>1</v>
      </c>
      <c r="AE4318">
        <v>-1</v>
      </c>
      <c r="AF4318" t="s">
        <v>50</v>
      </c>
      <c r="AG4318" t="s">
        <v>7910</v>
      </c>
    </row>
    <row r="4319" spans="1:33" x14ac:dyDescent="0.35">
      <c r="A4319" s="1">
        <v>44610.758333333331</v>
      </c>
      <c r="B4319">
        <v>5796941</v>
      </c>
      <c r="C4319" t="s">
        <v>7395</v>
      </c>
      <c r="D4319" t="s">
        <v>844</v>
      </c>
      <c r="E4319" s="2">
        <v>43656</v>
      </c>
      <c r="F4319" t="str">
        <f>"9781787566811"</f>
        <v>9781787566811</v>
      </c>
      <c r="G4319" t="str">
        <f>"9781787566804"</f>
        <v>9781787566804</v>
      </c>
      <c r="H4319" t="s">
        <v>900</v>
      </c>
      <c r="I4319">
        <v>337.51056</v>
      </c>
      <c r="J4319" t="s">
        <v>1794</v>
      </c>
      <c r="K4319" t="s">
        <v>44</v>
      </c>
      <c r="N4319" t="s">
        <v>45</v>
      </c>
      <c r="O4319" t="s">
        <v>46</v>
      </c>
      <c r="P4319" t="s">
        <v>45</v>
      </c>
      <c r="Q4319" t="s">
        <v>47</v>
      </c>
      <c r="R4319" t="s">
        <v>44</v>
      </c>
      <c r="S4319">
        <v>0</v>
      </c>
      <c r="W4319" s="3">
        <v>3.577546296296296E-2</v>
      </c>
      <c r="X4319" t="s">
        <v>8863</v>
      </c>
      <c r="Y4319">
        <v>20</v>
      </c>
      <c r="Z4319">
        <v>0</v>
      </c>
      <c r="AA4319" t="s">
        <v>49</v>
      </c>
      <c r="AB4319">
        <v>0</v>
      </c>
      <c r="AC4319" t="s">
        <v>8864</v>
      </c>
      <c r="AD4319">
        <v>3</v>
      </c>
      <c r="AE4319">
        <v>-1</v>
      </c>
      <c r="AF4319" t="s">
        <v>50</v>
      </c>
      <c r="AG4319" t="s">
        <v>1816</v>
      </c>
    </row>
    <row r="4320" spans="1:33" x14ac:dyDescent="0.35">
      <c r="A4320" s="1">
        <v>44610.697916666664</v>
      </c>
      <c r="B4320">
        <v>5796941</v>
      </c>
      <c r="C4320" t="s">
        <v>7395</v>
      </c>
      <c r="D4320" t="s">
        <v>844</v>
      </c>
      <c r="E4320" s="2">
        <v>43656</v>
      </c>
      <c r="F4320" t="str">
        <f>"9781787566811"</f>
        <v>9781787566811</v>
      </c>
      <c r="G4320" t="str">
        <f>"9781787566804"</f>
        <v>9781787566804</v>
      </c>
      <c r="H4320" t="s">
        <v>900</v>
      </c>
      <c r="I4320">
        <v>337.51056</v>
      </c>
      <c r="J4320" t="s">
        <v>1794</v>
      </c>
      <c r="K4320" t="s">
        <v>44</v>
      </c>
      <c r="N4320" t="s">
        <v>45</v>
      </c>
      <c r="O4320" t="s">
        <v>46</v>
      </c>
      <c r="P4320" t="s">
        <v>45</v>
      </c>
      <c r="Q4320" t="s">
        <v>47</v>
      </c>
      <c r="R4320" t="s">
        <v>44</v>
      </c>
      <c r="S4320">
        <v>0</v>
      </c>
      <c r="W4320" s="3">
        <v>1.9872685185185184E-2</v>
      </c>
      <c r="X4320" t="s">
        <v>8865</v>
      </c>
      <c r="Y4320">
        <v>11</v>
      </c>
      <c r="Z4320">
        <v>0</v>
      </c>
      <c r="AA4320" t="s">
        <v>49</v>
      </c>
      <c r="AB4320">
        <v>0</v>
      </c>
      <c r="AC4320" t="s">
        <v>49</v>
      </c>
      <c r="AD4320">
        <v>0</v>
      </c>
      <c r="AE4320">
        <v>-1</v>
      </c>
      <c r="AF4320" t="s">
        <v>50</v>
      </c>
      <c r="AG4320" t="s">
        <v>300</v>
      </c>
    </row>
    <row r="4321" spans="1:33" x14ac:dyDescent="0.35">
      <c r="A4321" s="1">
        <v>44610.691666666666</v>
      </c>
      <c r="B4321">
        <v>5796941</v>
      </c>
      <c r="C4321" t="s">
        <v>7395</v>
      </c>
      <c r="D4321" t="s">
        <v>844</v>
      </c>
      <c r="E4321" s="2">
        <v>43656</v>
      </c>
      <c r="F4321" t="str">
        <f>"9781787566811"</f>
        <v>9781787566811</v>
      </c>
      <c r="G4321" t="str">
        <f>"9781787566804"</f>
        <v>9781787566804</v>
      </c>
      <c r="H4321" t="s">
        <v>900</v>
      </c>
      <c r="I4321">
        <v>337.51056</v>
      </c>
      <c r="J4321" t="s">
        <v>1794</v>
      </c>
      <c r="K4321" t="s">
        <v>44</v>
      </c>
      <c r="N4321" t="s">
        <v>45</v>
      </c>
      <c r="O4321" t="s">
        <v>46</v>
      </c>
      <c r="P4321" t="s">
        <v>45</v>
      </c>
      <c r="Q4321" t="s">
        <v>47</v>
      </c>
      <c r="R4321" t="s">
        <v>44</v>
      </c>
      <c r="S4321">
        <v>0</v>
      </c>
      <c r="W4321" s="3">
        <v>2.3379629629629631E-3</v>
      </c>
      <c r="X4321" t="s">
        <v>8862</v>
      </c>
      <c r="Y4321">
        <v>8</v>
      </c>
      <c r="Z4321">
        <v>0</v>
      </c>
      <c r="AA4321" t="s">
        <v>49</v>
      </c>
      <c r="AB4321">
        <v>0</v>
      </c>
      <c r="AC4321" t="s">
        <v>49</v>
      </c>
      <c r="AD4321">
        <v>0</v>
      </c>
      <c r="AE4321">
        <v>-1</v>
      </c>
      <c r="AF4321" t="s">
        <v>50</v>
      </c>
      <c r="AG4321" t="s">
        <v>7910</v>
      </c>
    </row>
    <row r="4322" spans="1:33" x14ac:dyDescent="0.35">
      <c r="A4322" s="1">
        <v>44610.680555555555</v>
      </c>
      <c r="B4322">
        <v>5356823</v>
      </c>
      <c r="C4322" t="s">
        <v>8866</v>
      </c>
      <c r="D4322" t="s">
        <v>614</v>
      </c>
      <c r="E4322" s="2">
        <v>43217</v>
      </c>
      <c r="F4322" t="str">
        <f>"9789811069130"</f>
        <v>9789811069130</v>
      </c>
      <c r="G4322" t="str">
        <f>"9789811069123"</f>
        <v>9789811069123</v>
      </c>
      <c r="H4322" t="s">
        <v>811</v>
      </c>
      <c r="I4322">
        <v>620.11500000000001</v>
      </c>
      <c r="J4322" t="s">
        <v>755</v>
      </c>
      <c r="K4322" t="s">
        <v>55</v>
      </c>
      <c r="N4322" t="s">
        <v>79</v>
      </c>
      <c r="P4322" t="s">
        <v>97</v>
      </c>
      <c r="Q4322" t="s">
        <v>47</v>
      </c>
      <c r="R4322" t="s">
        <v>44</v>
      </c>
      <c r="S4322">
        <v>0</v>
      </c>
      <c r="W4322" s="3">
        <v>8.1018518518518516E-5</v>
      </c>
      <c r="X4322" t="s">
        <v>121</v>
      </c>
      <c r="Y4322">
        <v>1</v>
      </c>
      <c r="Z4322">
        <v>0</v>
      </c>
      <c r="AA4322" t="s">
        <v>49</v>
      </c>
      <c r="AB4322">
        <v>0</v>
      </c>
      <c r="AC4322" t="s">
        <v>49</v>
      </c>
      <c r="AD4322">
        <v>0</v>
      </c>
      <c r="AE4322">
        <v>11549957</v>
      </c>
      <c r="AF4322" t="s">
        <v>50</v>
      </c>
      <c r="AG4322" t="s">
        <v>1816</v>
      </c>
    </row>
    <row r="4323" spans="1:33" x14ac:dyDescent="0.35">
      <c r="A4323" s="1">
        <v>44610.665972222225</v>
      </c>
      <c r="B4323">
        <v>5796941</v>
      </c>
      <c r="C4323" t="s">
        <v>7395</v>
      </c>
      <c r="D4323" t="s">
        <v>844</v>
      </c>
      <c r="E4323" s="2">
        <v>43656</v>
      </c>
      <c r="F4323" t="str">
        <f>"9781787566811"</f>
        <v>9781787566811</v>
      </c>
      <c r="G4323" t="str">
        <f>"9781787566804"</f>
        <v>9781787566804</v>
      </c>
      <c r="H4323" t="s">
        <v>900</v>
      </c>
      <c r="I4323">
        <v>337.51056</v>
      </c>
      <c r="J4323" t="s">
        <v>1794</v>
      </c>
      <c r="K4323" t="s">
        <v>44</v>
      </c>
      <c r="N4323" t="s">
        <v>45</v>
      </c>
      <c r="O4323" t="s">
        <v>46</v>
      </c>
      <c r="P4323" t="s">
        <v>45</v>
      </c>
      <c r="Q4323" t="s">
        <v>47</v>
      </c>
      <c r="R4323" t="s">
        <v>44</v>
      </c>
      <c r="S4323">
        <v>0</v>
      </c>
      <c r="W4323" s="3">
        <v>2.2962962962962966E-2</v>
      </c>
      <c r="X4323" t="s">
        <v>8867</v>
      </c>
      <c r="Y4323">
        <v>12</v>
      </c>
      <c r="Z4323">
        <v>0</v>
      </c>
      <c r="AA4323" t="s">
        <v>49</v>
      </c>
      <c r="AB4323">
        <v>0</v>
      </c>
      <c r="AC4323" t="s">
        <v>1841</v>
      </c>
      <c r="AD4323">
        <v>1</v>
      </c>
      <c r="AE4323">
        <v>-1</v>
      </c>
      <c r="AF4323" t="s">
        <v>50</v>
      </c>
      <c r="AG4323" t="s">
        <v>1816</v>
      </c>
    </row>
    <row r="4324" spans="1:33" x14ac:dyDescent="0.35">
      <c r="A4324" s="1">
        <v>44610.665972222225</v>
      </c>
      <c r="B4324">
        <v>1710962</v>
      </c>
      <c r="C4324" t="s">
        <v>8859</v>
      </c>
      <c r="D4324" t="s">
        <v>59</v>
      </c>
      <c r="E4324" s="2">
        <v>41813</v>
      </c>
      <c r="F4324" t="str">
        <f>"9781118939291"</f>
        <v>9781118939291</v>
      </c>
      <c r="G4324" t="str">
        <f>"9781118496305"</f>
        <v>9781118496305</v>
      </c>
      <c r="H4324" t="s">
        <v>290</v>
      </c>
      <c r="I4324">
        <v>628.16399999999999</v>
      </c>
      <c r="J4324" t="s">
        <v>8860</v>
      </c>
      <c r="K4324" t="s">
        <v>44</v>
      </c>
      <c r="N4324" t="s">
        <v>45</v>
      </c>
      <c r="O4324" t="s">
        <v>46</v>
      </c>
      <c r="P4324" t="s">
        <v>45</v>
      </c>
      <c r="Q4324" t="s">
        <v>47</v>
      </c>
      <c r="R4324" t="s">
        <v>44</v>
      </c>
      <c r="S4324">
        <v>0</v>
      </c>
      <c r="W4324" s="3">
        <v>4.0509259259259258E-4</v>
      </c>
      <c r="X4324" t="s">
        <v>8868</v>
      </c>
      <c r="Y4324">
        <v>3</v>
      </c>
      <c r="Z4324">
        <v>1</v>
      </c>
      <c r="AA4324" t="s">
        <v>8869</v>
      </c>
      <c r="AB4324">
        <v>106</v>
      </c>
      <c r="AC4324" t="s">
        <v>49</v>
      </c>
      <c r="AD4324">
        <v>0</v>
      </c>
      <c r="AE4324">
        <v>10882756</v>
      </c>
      <c r="AF4324" t="s">
        <v>50</v>
      </c>
      <c r="AG4324" t="s">
        <v>1816</v>
      </c>
    </row>
    <row r="4325" spans="1:33" x14ac:dyDescent="0.35">
      <c r="A4325" s="1">
        <v>44610.636805555558</v>
      </c>
      <c r="B4325">
        <v>3339142</v>
      </c>
      <c r="C4325" t="s">
        <v>7658</v>
      </c>
      <c r="D4325" t="s">
        <v>303</v>
      </c>
      <c r="E4325" s="2">
        <v>40025</v>
      </c>
      <c r="F4325" t="str">
        <f>"9780262270830"</f>
        <v>9780262270830</v>
      </c>
      <c r="G4325" t="str">
        <f>"9780262033848"</f>
        <v>9780262033848</v>
      </c>
      <c r="H4325" t="s">
        <v>138</v>
      </c>
      <c r="I4325">
        <v>5.0999999999999996</v>
      </c>
      <c r="J4325" t="s">
        <v>7659</v>
      </c>
      <c r="K4325" t="s">
        <v>44</v>
      </c>
      <c r="N4325" t="s">
        <v>45</v>
      </c>
      <c r="O4325" t="s">
        <v>46</v>
      </c>
      <c r="P4325" t="s">
        <v>45</v>
      </c>
      <c r="Q4325" t="s">
        <v>47</v>
      </c>
      <c r="R4325" t="s">
        <v>44</v>
      </c>
      <c r="S4325">
        <v>0</v>
      </c>
      <c r="W4325" s="3">
        <v>3.1342592592592596E-2</v>
      </c>
      <c r="X4325" t="s">
        <v>8870</v>
      </c>
      <c r="Y4325">
        <v>34</v>
      </c>
      <c r="Z4325">
        <v>0</v>
      </c>
      <c r="AA4325" t="s">
        <v>49</v>
      </c>
      <c r="AB4325">
        <v>0</v>
      </c>
      <c r="AC4325" t="s">
        <v>49</v>
      </c>
      <c r="AD4325">
        <v>0</v>
      </c>
      <c r="AE4325">
        <v>10397652</v>
      </c>
      <c r="AF4325" t="s">
        <v>63</v>
      </c>
      <c r="AG4325" t="s">
        <v>8238</v>
      </c>
    </row>
    <row r="4326" spans="1:33" x14ac:dyDescent="0.35">
      <c r="A4326" s="1">
        <v>44610.568055555559</v>
      </c>
      <c r="B4326">
        <v>3011280</v>
      </c>
      <c r="C4326" t="s">
        <v>8871</v>
      </c>
      <c r="D4326" t="s">
        <v>3677</v>
      </c>
      <c r="E4326" s="2">
        <v>39783</v>
      </c>
      <c r="F4326" t="str">
        <f>"9789350434116"</f>
        <v>9789350434116</v>
      </c>
      <c r="G4326" t="str">
        <f>"9788183188098"</f>
        <v>9788183188098</v>
      </c>
      <c r="H4326" t="s">
        <v>585</v>
      </c>
      <c r="J4326" t="s">
        <v>8872</v>
      </c>
      <c r="K4326" t="s">
        <v>44</v>
      </c>
      <c r="N4326" t="s">
        <v>45</v>
      </c>
      <c r="O4326" t="s">
        <v>46</v>
      </c>
      <c r="P4326" t="s">
        <v>45</v>
      </c>
      <c r="Q4326" t="s">
        <v>47</v>
      </c>
      <c r="R4326" t="s">
        <v>44</v>
      </c>
      <c r="S4326">
        <v>0</v>
      </c>
      <c r="W4326" s="3">
        <v>1.2037037037037038E-3</v>
      </c>
      <c r="X4326" t="s">
        <v>8873</v>
      </c>
      <c r="Y4326">
        <v>11</v>
      </c>
      <c r="Z4326">
        <v>0</v>
      </c>
      <c r="AA4326" t="s">
        <v>49</v>
      </c>
      <c r="AB4326">
        <v>0</v>
      </c>
      <c r="AC4326" t="s">
        <v>49</v>
      </c>
      <c r="AD4326">
        <v>0</v>
      </c>
      <c r="AE4326">
        <v>10415627</v>
      </c>
      <c r="AF4326" t="s">
        <v>50</v>
      </c>
      <c r="AG4326" t="s">
        <v>8874</v>
      </c>
    </row>
    <row r="4327" spans="1:33" x14ac:dyDescent="0.35">
      <c r="A4327" s="1">
        <v>44610.472916666666</v>
      </c>
      <c r="B4327">
        <v>5796941</v>
      </c>
      <c r="C4327" t="s">
        <v>7395</v>
      </c>
      <c r="D4327" t="s">
        <v>844</v>
      </c>
      <c r="E4327" s="2">
        <v>43656</v>
      </c>
      <c r="F4327" t="str">
        <f>"9781787566811"</f>
        <v>9781787566811</v>
      </c>
      <c r="G4327" t="str">
        <f>"9781787566804"</f>
        <v>9781787566804</v>
      </c>
      <c r="H4327" t="s">
        <v>900</v>
      </c>
      <c r="I4327">
        <v>337.51056</v>
      </c>
      <c r="J4327" t="s">
        <v>1794</v>
      </c>
      <c r="K4327" t="s">
        <v>44</v>
      </c>
      <c r="N4327" t="s">
        <v>45</v>
      </c>
      <c r="O4327" t="s">
        <v>46</v>
      </c>
      <c r="P4327" t="s">
        <v>45</v>
      </c>
      <c r="Q4327" t="s">
        <v>47</v>
      </c>
      <c r="R4327" t="s">
        <v>44</v>
      </c>
      <c r="S4327">
        <v>0</v>
      </c>
      <c r="W4327" s="3">
        <v>2.4768518518518516E-3</v>
      </c>
      <c r="X4327" t="s">
        <v>8875</v>
      </c>
      <c r="Y4327">
        <v>4</v>
      </c>
      <c r="Z4327">
        <v>0</v>
      </c>
      <c r="AA4327" t="s">
        <v>49</v>
      </c>
      <c r="AB4327">
        <v>0</v>
      </c>
      <c r="AC4327" t="s">
        <v>49</v>
      </c>
      <c r="AD4327">
        <v>0</v>
      </c>
      <c r="AE4327">
        <v>-1</v>
      </c>
      <c r="AF4327" t="s">
        <v>50</v>
      </c>
      <c r="AG4327" t="s">
        <v>1816</v>
      </c>
    </row>
    <row r="4328" spans="1:33" x14ac:dyDescent="0.35">
      <c r="A4328" s="1">
        <v>44610.440972222219</v>
      </c>
      <c r="B4328">
        <v>294338</v>
      </c>
      <c r="C4328" t="s">
        <v>7595</v>
      </c>
      <c r="D4328" t="s">
        <v>65</v>
      </c>
      <c r="E4328" s="2">
        <v>38999</v>
      </c>
      <c r="F4328" t="str">
        <f>"9780080480589"</f>
        <v>9780080480589</v>
      </c>
      <c r="G4328" t="str">
        <f>"9781493300723"</f>
        <v>9781493300723</v>
      </c>
      <c r="H4328" t="s">
        <v>6985</v>
      </c>
      <c r="I4328">
        <v>621.36779999999999</v>
      </c>
      <c r="J4328" t="s">
        <v>7596</v>
      </c>
      <c r="K4328" t="s">
        <v>44</v>
      </c>
      <c r="N4328" t="s">
        <v>45</v>
      </c>
      <c r="O4328" t="s">
        <v>46</v>
      </c>
      <c r="P4328" t="s">
        <v>45</v>
      </c>
      <c r="Q4328" t="s">
        <v>47</v>
      </c>
      <c r="R4328" t="s">
        <v>44</v>
      </c>
      <c r="S4328">
        <v>0</v>
      </c>
      <c r="W4328" s="3">
        <v>9.2592592592592588E-5</v>
      </c>
      <c r="X4328" t="s">
        <v>4680</v>
      </c>
      <c r="Y4328">
        <v>1</v>
      </c>
      <c r="Z4328">
        <v>2</v>
      </c>
      <c r="AA4328" t="s">
        <v>8876</v>
      </c>
      <c r="AB4328">
        <v>108</v>
      </c>
      <c r="AC4328" t="s">
        <v>49</v>
      </c>
      <c r="AD4328">
        <v>0</v>
      </c>
      <c r="AE4328">
        <v>10186058</v>
      </c>
      <c r="AF4328" t="s">
        <v>50</v>
      </c>
      <c r="AG4328" t="s">
        <v>7910</v>
      </c>
    </row>
    <row r="4329" spans="1:33" x14ac:dyDescent="0.35">
      <c r="A4329" s="1">
        <v>44609.990277777775</v>
      </c>
      <c r="B4329">
        <v>274698</v>
      </c>
      <c r="C4329" t="s">
        <v>8877</v>
      </c>
      <c r="D4329" t="s">
        <v>65</v>
      </c>
      <c r="E4329" s="2">
        <v>38954</v>
      </c>
      <c r="F4329" t="str">
        <f>"9780080464947"</f>
        <v>9780080464947</v>
      </c>
      <c r="G4329" t="str">
        <f>"9780121335700"</f>
        <v>9780121335700</v>
      </c>
      <c r="H4329" t="s">
        <v>8878</v>
      </c>
      <c r="I4329" t="s">
        <v>1419</v>
      </c>
      <c r="J4329" t="s">
        <v>8879</v>
      </c>
      <c r="K4329" t="s">
        <v>44</v>
      </c>
      <c r="N4329" t="s">
        <v>45</v>
      </c>
      <c r="O4329" t="s">
        <v>46</v>
      </c>
      <c r="P4329" t="s">
        <v>45</v>
      </c>
      <c r="Q4329" t="s">
        <v>47</v>
      </c>
      <c r="R4329" t="s">
        <v>44</v>
      </c>
      <c r="S4329">
        <v>0</v>
      </c>
      <c r="W4329" s="3">
        <v>1.273148148148148E-4</v>
      </c>
      <c r="X4329" t="s">
        <v>121</v>
      </c>
      <c r="Y4329">
        <v>1</v>
      </c>
      <c r="Z4329">
        <v>0</v>
      </c>
      <c r="AA4329" t="s">
        <v>49</v>
      </c>
      <c r="AB4329">
        <v>0</v>
      </c>
      <c r="AC4329" t="s">
        <v>49</v>
      </c>
      <c r="AD4329">
        <v>0</v>
      </c>
      <c r="AE4329">
        <v>10254604</v>
      </c>
      <c r="AF4329" t="s">
        <v>50</v>
      </c>
      <c r="AG4329" t="s">
        <v>8332</v>
      </c>
    </row>
    <row r="4330" spans="1:33" x14ac:dyDescent="0.35">
      <c r="A4330" s="1">
        <v>44609.887499999997</v>
      </c>
      <c r="B4330">
        <v>5796941</v>
      </c>
      <c r="C4330" t="s">
        <v>7395</v>
      </c>
      <c r="D4330" t="s">
        <v>844</v>
      </c>
      <c r="E4330" s="2">
        <v>43656</v>
      </c>
      <c r="F4330" t="str">
        <f>"9781787566811"</f>
        <v>9781787566811</v>
      </c>
      <c r="G4330" t="str">
        <f>"9781787566804"</f>
        <v>9781787566804</v>
      </c>
      <c r="H4330" t="s">
        <v>900</v>
      </c>
      <c r="I4330">
        <v>337.51056</v>
      </c>
      <c r="J4330" t="s">
        <v>1794</v>
      </c>
      <c r="K4330" t="s">
        <v>44</v>
      </c>
      <c r="N4330" t="s">
        <v>45</v>
      </c>
      <c r="O4330" t="s">
        <v>46</v>
      </c>
      <c r="P4330" t="s">
        <v>45</v>
      </c>
      <c r="Q4330" t="s">
        <v>47</v>
      </c>
      <c r="R4330" t="s">
        <v>44</v>
      </c>
      <c r="S4330">
        <v>0</v>
      </c>
      <c r="W4330" s="3">
        <v>0</v>
      </c>
      <c r="X4330" t="s">
        <v>49</v>
      </c>
      <c r="Y4330">
        <v>0</v>
      </c>
      <c r="Z4330">
        <v>1</v>
      </c>
      <c r="AA4330" t="s">
        <v>8835</v>
      </c>
      <c r="AB4330">
        <v>28</v>
      </c>
      <c r="AC4330" t="s">
        <v>49</v>
      </c>
      <c r="AD4330">
        <v>0</v>
      </c>
      <c r="AE4330">
        <v>-1</v>
      </c>
      <c r="AF4330" t="s">
        <v>50</v>
      </c>
      <c r="AG4330" t="s">
        <v>8332</v>
      </c>
    </row>
    <row r="4331" spans="1:33" x14ac:dyDescent="0.35">
      <c r="A4331" s="1">
        <v>44609.719444444447</v>
      </c>
      <c r="B4331">
        <v>6579871</v>
      </c>
      <c r="C4331" t="s">
        <v>8880</v>
      </c>
      <c r="D4331" t="s">
        <v>5790</v>
      </c>
      <c r="E4331" s="2">
        <v>44327</v>
      </c>
      <c r="F4331" t="str">
        <f>"9781982132637"</f>
        <v>9781982132637</v>
      </c>
      <c r="G4331" t="str">
        <f>"9781982132613"</f>
        <v>9781982132613</v>
      </c>
      <c r="H4331" t="s">
        <v>60</v>
      </c>
      <c r="I4331">
        <v>381.142</v>
      </c>
      <c r="J4331" t="s">
        <v>8881</v>
      </c>
      <c r="K4331" t="s">
        <v>55</v>
      </c>
      <c r="Q4331" t="s">
        <v>47</v>
      </c>
      <c r="R4331" t="s">
        <v>44</v>
      </c>
      <c r="S4331">
        <v>0</v>
      </c>
      <c r="W4331" s="3">
        <v>4.3749999999999995E-3</v>
      </c>
      <c r="X4331" t="s">
        <v>4546</v>
      </c>
      <c r="Y4331">
        <v>5</v>
      </c>
      <c r="Z4331">
        <v>0</v>
      </c>
      <c r="AA4331" t="s">
        <v>49</v>
      </c>
      <c r="AB4331">
        <v>0</v>
      </c>
      <c r="AC4331" t="s">
        <v>49</v>
      </c>
      <c r="AD4331">
        <v>0</v>
      </c>
      <c r="AE4331">
        <v>-1</v>
      </c>
      <c r="AF4331" t="s">
        <v>50</v>
      </c>
      <c r="AG4331" t="s">
        <v>7910</v>
      </c>
    </row>
    <row r="4332" spans="1:33" x14ac:dyDescent="0.35">
      <c r="A4332" s="1">
        <v>44609.711111111108</v>
      </c>
      <c r="B4332">
        <v>585479</v>
      </c>
      <c r="C4332" t="s">
        <v>8882</v>
      </c>
      <c r="D4332" t="s">
        <v>76</v>
      </c>
      <c r="E4332" s="2">
        <v>40387</v>
      </c>
      <c r="F4332" t="str">
        <f>"9781849776462"</f>
        <v>9781849776462</v>
      </c>
      <c r="G4332" t="str">
        <f>"9781844078226"</f>
        <v>9781844078226</v>
      </c>
      <c r="H4332" t="s">
        <v>8883</v>
      </c>
      <c r="I4332" t="s">
        <v>8884</v>
      </c>
      <c r="J4332" t="s">
        <v>8885</v>
      </c>
      <c r="K4332" t="s">
        <v>44</v>
      </c>
      <c r="N4332" t="s">
        <v>45</v>
      </c>
      <c r="O4332" t="s">
        <v>46</v>
      </c>
      <c r="P4332" t="s">
        <v>45</v>
      </c>
      <c r="Q4332" t="s">
        <v>47</v>
      </c>
      <c r="R4332" t="s">
        <v>44</v>
      </c>
      <c r="S4332">
        <v>0</v>
      </c>
      <c r="W4332" s="3">
        <v>8.1018518518518516E-4</v>
      </c>
      <c r="X4332" t="s">
        <v>8886</v>
      </c>
      <c r="Y4332">
        <v>9</v>
      </c>
      <c r="Z4332">
        <v>0</v>
      </c>
      <c r="AA4332" t="s">
        <v>49</v>
      </c>
      <c r="AB4332">
        <v>0</v>
      </c>
      <c r="AC4332" t="s">
        <v>49</v>
      </c>
      <c r="AD4332">
        <v>0</v>
      </c>
      <c r="AE4332">
        <v>10420052</v>
      </c>
      <c r="AF4332" t="s">
        <v>50</v>
      </c>
      <c r="AG4332" t="s">
        <v>8332</v>
      </c>
    </row>
    <row r="4333" spans="1:33" x14ac:dyDescent="0.35">
      <c r="A4333" s="1">
        <v>44609.697916666664</v>
      </c>
      <c r="B4333">
        <v>4353531</v>
      </c>
      <c r="C4333" t="s">
        <v>8788</v>
      </c>
      <c r="D4333" t="s">
        <v>773</v>
      </c>
      <c r="E4333" s="2">
        <v>35370</v>
      </c>
      <c r="F4333" t="str">
        <f>"9781504033244"</f>
        <v>9781504033244</v>
      </c>
      <c r="G4333" t="str">
        <f>""</f>
        <v/>
      </c>
      <c r="H4333" t="s">
        <v>1046</v>
      </c>
      <c r="I4333">
        <v>305.42</v>
      </c>
      <c r="J4333" t="s">
        <v>8789</v>
      </c>
      <c r="K4333" t="s">
        <v>44</v>
      </c>
      <c r="N4333" t="s">
        <v>45</v>
      </c>
      <c r="O4333" t="s">
        <v>46</v>
      </c>
      <c r="P4333" t="s">
        <v>45</v>
      </c>
      <c r="Q4333" t="s">
        <v>47</v>
      </c>
      <c r="R4333" t="s">
        <v>44</v>
      </c>
      <c r="S4333">
        <v>0</v>
      </c>
      <c r="W4333" s="3">
        <v>4.5138888888888892E-4</v>
      </c>
      <c r="X4333" t="s">
        <v>8887</v>
      </c>
      <c r="Y4333">
        <v>5</v>
      </c>
      <c r="Z4333">
        <v>0</v>
      </c>
      <c r="AA4333" t="s">
        <v>49</v>
      </c>
      <c r="AB4333">
        <v>0</v>
      </c>
      <c r="AC4333" t="s">
        <v>49</v>
      </c>
      <c r="AD4333">
        <v>0</v>
      </c>
      <c r="AE4333">
        <v>11150389</v>
      </c>
      <c r="AF4333" t="s">
        <v>50</v>
      </c>
      <c r="AG4333" t="s">
        <v>7910</v>
      </c>
    </row>
    <row r="4334" spans="1:33" x14ac:dyDescent="0.35">
      <c r="A4334" s="1">
        <v>44609.479861111111</v>
      </c>
      <c r="B4334">
        <v>6847415</v>
      </c>
      <c r="C4334" t="s">
        <v>8888</v>
      </c>
      <c r="D4334" t="s">
        <v>76</v>
      </c>
      <c r="E4334" s="2">
        <v>44585</v>
      </c>
      <c r="F4334" t="str">
        <f>"9781000532722"</f>
        <v>9781000532722</v>
      </c>
      <c r="G4334" t="str">
        <f>"9780367458218"</f>
        <v>9780367458218</v>
      </c>
      <c r="H4334" t="s">
        <v>531</v>
      </c>
      <c r="I4334">
        <v>355.03305356999999</v>
      </c>
      <c r="J4334" t="s">
        <v>8889</v>
      </c>
      <c r="K4334" t="s">
        <v>55</v>
      </c>
      <c r="N4334" t="s">
        <v>79</v>
      </c>
      <c r="P4334" t="s">
        <v>80</v>
      </c>
      <c r="Q4334" t="s">
        <v>47</v>
      </c>
      <c r="R4334" t="s">
        <v>44</v>
      </c>
      <c r="S4334">
        <v>0</v>
      </c>
      <c r="W4334" s="3">
        <v>1.1111111111111111E-3</v>
      </c>
      <c r="X4334" t="s">
        <v>8890</v>
      </c>
      <c r="Y4334">
        <v>9</v>
      </c>
      <c r="Z4334">
        <v>2</v>
      </c>
      <c r="AA4334" t="s">
        <v>8891</v>
      </c>
      <c r="AB4334">
        <v>20</v>
      </c>
      <c r="AC4334" t="s">
        <v>49</v>
      </c>
      <c r="AD4334">
        <v>0</v>
      </c>
      <c r="AE4334">
        <v>-1</v>
      </c>
      <c r="AF4334" t="s">
        <v>50</v>
      </c>
      <c r="AG4334" t="s">
        <v>8332</v>
      </c>
    </row>
    <row r="4335" spans="1:33" x14ac:dyDescent="0.35">
      <c r="A4335" s="1">
        <v>44609.451388888891</v>
      </c>
      <c r="B4335">
        <v>6847415</v>
      </c>
      <c r="C4335" t="s">
        <v>8888</v>
      </c>
      <c r="D4335" t="s">
        <v>76</v>
      </c>
      <c r="E4335" s="2">
        <v>44585</v>
      </c>
      <c r="F4335" t="str">
        <f>"9781000532722"</f>
        <v>9781000532722</v>
      </c>
      <c r="G4335" t="str">
        <f>"9780367458218"</f>
        <v>9780367458218</v>
      </c>
      <c r="H4335" t="s">
        <v>531</v>
      </c>
      <c r="I4335">
        <v>355.03305356999999</v>
      </c>
      <c r="J4335" t="s">
        <v>8889</v>
      </c>
      <c r="K4335" t="s">
        <v>55</v>
      </c>
      <c r="N4335" t="s">
        <v>79</v>
      </c>
      <c r="P4335" t="s">
        <v>80</v>
      </c>
      <c r="Q4335" t="s">
        <v>47</v>
      </c>
      <c r="R4335" t="s">
        <v>44</v>
      </c>
      <c r="S4335">
        <v>1</v>
      </c>
      <c r="T4335">
        <v>36</v>
      </c>
      <c r="U4335" s="1">
        <v>44609.451388888891</v>
      </c>
      <c r="V4335" s="1">
        <v>44645.451388888891</v>
      </c>
      <c r="W4335" s="3">
        <v>9.2592592592592585E-4</v>
      </c>
      <c r="X4335" t="s">
        <v>8892</v>
      </c>
      <c r="Y4335">
        <v>12</v>
      </c>
      <c r="Z4335">
        <v>1</v>
      </c>
      <c r="AA4335" t="s">
        <v>8893</v>
      </c>
      <c r="AB4335">
        <v>12</v>
      </c>
      <c r="AC4335" t="s">
        <v>49</v>
      </c>
      <c r="AD4335">
        <v>0</v>
      </c>
      <c r="AE4335">
        <v>-1</v>
      </c>
      <c r="AF4335" t="s">
        <v>63</v>
      </c>
      <c r="AG4335" t="s">
        <v>7910</v>
      </c>
    </row>
    <row r="4336" spans="1:33" x14ac:dyDescent="0.35">
      <c r="A4336" s="1">
        <v>44609.448611111111</v>
      </c>
      <c r="B4336">
        <v>5426440</v>
      </c>
      <c r="C4336" t="s">
        <v>8894</v>
      </c>
      <c r="D4336" t="s">
        <v>8895</v>
      </c>
      <c r="E4336" s="2">
        <v>43101</v>
      </c>
      <c r="F4336" t="str">
        <f>"9781456262242"</f>
        <v>9781456262242</v>
      </c>
      <c r="G4336" t="str">
        <f>"9781456263133"</f>
        <v>9781456263133</v>
      </c>
      <c r="H4336" t="s">
        <v>77</v>
      </c>
      <c r="I4336">
        <v>616025</v>
      </c>
      <c r="J4336" t="s">
        <v>8896</v>
      </c>
      <c r="K4336" t="s">
        <v>44</v>
      </c>
      <c r="P4336" t="s">
        <v>80</v>
      </c>
      <c r="Q4336" t="s">
        <v>47</v>
      </c>
      <c r="R4336" t="s">
        <v>44</v>
      </c>
      <c r="S4336">
        <v>0</v>
      </c>
      <c r="W4336" s="3">
        <v>1.6203703703703703E-4</v>
      </c>
      <c r="X4336" t="s">
        <v>8897</v>
      </c>
      <c r="Y4336">
        <v>3</v>
      </c>
      <c r="Z4336">
        <v>0</v>
      </c>
      <c r="AA4336" t="s">
        <v>49</v>
      </c>
      <c r="AB4336">
        <v>0</v>
      </c>
      <c r="AC4336" t="s">
        <v>49</v>
      </c>
      <c r="AD4336">
        <v>0</v>
      </c>
      <c r="AE4336">
        <v>-1</v>
      </c>
      <c r="AF4336" t="s">
        <v>50</v>
      </c>
      <c r="AG4336" t="s">
        <v>7910</v>
      </c>
    </row>
    <row r="4337" spans="1:33" x14ac:dyDescent="0.35">
      <c r="A4337" s="1">
        <v>44609.442361111112</v>
      </c>
      <c r="B4337">
        <v>1389064</v>
      </c>
      <c r="C4337" t="s">
        <v>8898</v>
      </c>
      <c r="D4337" t="s">
        <v>125</v>
      </c>
      <c r="E4337" s="2">
        <v>41549</v>
      </c>
      <c r="F4337" t="str">
        <f>"9780199349906"</f>
        <v>9780199349906</v>
      </c>
      <c r="G4337" t="str">
        <f>"9780199325153"</f>
        <v>9780199325153</v>
      </c>
      <c r="H4337" t="s">
        <v>8899</v>
      </c>
      <c r="I4337">
        <v>320.60000000000002</v>
      </c>
      <c r="J4337" t="s">
        <v>8900</v>
      </c>
      <c r="K4337" t="s">
        <v>44</v>
      </c>
      <c r="N4337" t="s">
        <v>45</v>
      </c>
      <c r="O4337" t="s">
        <v>46</v>
      </c>
      <c r="P4337" t="s">
        <v>45</v>
      </c>
      <c r="Q4337" t="s">
        <v>47</v>
      </c>
      <c r="R4337" t="s">
        <v>44</v>
      </c>
      <c r="S4337">
        <v>0</v>
      </c>
      <c r="W4337" s="3">
        <v>1.5046296296296297E-4</v>
      </c>
      <c r="X4337" t="s">
        <v>1346</v>
      </c>
      <c r="Y4337">
        <v>4</v>
      </c>
      <c r="Z4337">
        <v>0</v>
      </c>
      <c r="AA4337" t="s">
        <v>49</v>
      </c>
      <c r="AB4337">
        <v>0</v>
      </c>
      <c r="AC4337" t="s">
        <v>49</v>
      </c>
      <c r="AD4337">
        <v>0</v>
      </c>
      <c r="AE4337">
        <v>10756869</v>
      </c>
      <c r="AF4337" t="s">
        <v>50</v>
      </c>
      <c r="AG4337" t="s">
        <v>8799</v>
      </c>
    </row>
    <row r="4338" spans="1:33" x14ac:dyDescent="0.35">
      <c r="A4338" s="1">
        <v>44609.427083333336</v>
      </c>
      <c r="B4338">
        <v>4432151</v>
      </c>
      <c r="C4338" t="s">
        <v>8901</v>
      </c>
      <c r="D4338" t="s">
        <v>59</v>
      </c>
      <c r="E4338" s="2">
        <v>42492</v>
      </c>
      <c r="F4338" t="str">
        <f>"9781118737453"</f>
        <v>9781118737453</v>
      </c>
      <c r="G4338" t="str">
        <f>"9781118737446"</f>
        <v>9781118737446</v>
      </c>
      <c r="H4338" t="s">
        <v>542</v>
      </c>
      <c r="I4338">
        <v>621.31899999999905</v>
      </c>
      <c r="J4338" t="s">
        <v>8902</v>
      </c>
      <c r="K4338" t="s">
        <v>44</v>
      </c>
      <c r="N4338" t="s">
        <v>45</v>
      </c>
      <c r="O4338" t="s">
        <v>46</v>
      </c>
      <c r="P4338" t="s">
        <v>45</v>
      </c>
      <c r="Q4338" t="s">
        <v>47</v>
      </c>
      <c r="R4338" t="s">
        <v>44</v>
      </c>
      <c r="S4338">
        <v>1</v>
      </c>
      <c r="W4338" s="3">
        <v>0</v>
      </c>
      <c r="X4338" t="s">
        <v>49</v>
      </c>
      <c r="Y4338">
        <v>0</v>
      </c>
      <c r="Z4338">
        <v>0</v>
      </c>
      <c r="AA4338" t="s">
        <v>49</v>
      </c>
      <c r="AB4338">
        <v>0</v>
      </c>
      <c r="AC4338" t="s">
        <v>49</v>
      </c>
      <c r="AD4338">
        <v>0</v>
      </c>
      <c r="AE4338">
        <v>11169557</v>
      </c>
      <c r="AF4338" t="s">
        <v>63</v>
      </c>
      <c r="AG4338" t="s">
        <v>7910</v>
      </c>
    </row>
    <row r="4339" spans="1:33" x14ac:dyDescent="0.35">
      <c r="A4339" s="1">
        <v>44609.38958333333</v>
      </c>
      <c r="B4339">
        <v>4432151</v>
      </c>
      <c r="C4339" t="s">
        <v>8901</v>
      </c>
      <c r="D4339" t="s">
        <v>59</v>
      </c>
      <c r="E4339" s="2">
        <v>42492</v>
      </c>
      <c r="F4339" t="str">
        <f>"9781118737453"</f>
        <v>9781118737453</v>
      </c>
      <c r="G4339" t="str">
        <f>"9781118737446"</f>
        <v>9781118737446</v>
      </c>
      <c r="H4339" t="s">
        <v>542</v>
      </c>
      <c r="I4339">
        <v>621.31899999999905</v>
      </c>
      <c r="J4339" t="s">
        <v>8902</v>
      </c>
      <c r="K4339" t="s">
        <v>44</v>
      </c>
      <c r="N4339" t="s">
        <v>45</v>
      </c>
      <c r="O4339" t="s">
        <v>46</v>
      </c>
      <c r="P4339" t="s">
        <v>45</v>
      </c>
      <c r="Q4339" t="s">
        <v>47</v>
      </c>
      <c r="R4339" t="s">
        <v>44</v>
      </c>
      <c r="S4339">
        <v>0</v>
      </c>
      <c r="W4339" s="3">
        <v>6.5972222222222213E-4</v>
      </c>
      <c r="X4339" t="s">
        <v>8903</v>
      </c>
      <c r="Y4339">
        <v>4</v>
      </c>
      <c r="Z4339">
        <v>0</v>
      </c>
      <c r="AA4339" t="s">
        <v>49</v>
      </c>
      <c r="AB4339">
        <v>0</v>
      </c>
      <c r="AC4339" t="s">
        <v>49</v>
      </c>
      <c r="AD4339">
        <v>0</v>
      </c>
      <c r="AE4339">
        <v>11169557</v>
      </c>
      <c r="AF4339" t="s">
        <v>50</v>
      </c>
      <c r="AG4339" t="s">
        <v>7910</v>
      </c>
    </row>
    <row r="4340" spans="1:33" x14ac:dyDescent="0.35">
      <c r="A4340" s="1">
        <v>44609.372916666667</v>
      </c>
      <c r="B4340">
        <v>1882108</v>
      </c>
      <c r="C4340" t="s">
        <v>8904</v>
      </c>
      <c r="D4340" t="s">
        <v>443</v>
      </c>
      <c r="E4340" s="2">
        <v>42138</v>
      </c>
      <c r="F4340" t="str">
        <f>"9780520961326"</f>
        <v>9780520961326</v>
      </c>
      <c r="G4340" t="str">
        <f>"9780520281417"</f>
        <v>9780520281417</v>
      </c>
      <c r="H4340" t="s">
        <v>1069</v>
      </c>
      <c r="I4340">
        <v>883</v>
      </c>
      <c r="J4340" t="s">
        <v>8905</v>
      </c>
      <c r="K4340" t="s">
        <v>44</v>
      </c>
      <c r="N4340" t="s">
        <v>45</v>
      </c>
      <c r="O4340" t="s">
        <v>46</v>
      </c>
      <c r="P4340" t="s">
        <v>177</v>
      </c>
      <c r="Q4340" t="s">
        <v>47</v>
      </c>
      <c r="R4340" t="s">
        <v>55</v>
      </c>
      <c r="S4340">
        <v>0</v>
      </c>
      <c r="W4340" s="3">
        <v>6.9444444444444444E-5</v>
      </c>
      <c r="X4340" t="s">
        <v>121</v>
      </c>
      <c r="Y4340">
        <v>1</v>
      </c>
      <c r="Z4340">
        <v>0</v>
      </c>
      <c r="AA4340" t="s">
        <v>49</v>
      </c>
      <c r="AB4340">
        <v>0</v>
      </c>
      <c r="AC4340" t="s">
        <v>49</v>
      </c>
      <c r="AD4340">
        <v>0</v>
      </c>
      <c r="AE4340">
        <v>11030793</v>
      </c>
      <c r="AF4340" t="s">
        <v>50</v>
      </c>
      <c r="AG4340" t="s">
        <v>8906</v>
      </c>
    </row>
    <row r="4341" spans="1:33" x14ac:dyDescent="0.35">
      <c r="A4341" s="1">
        <v>44609.361111111109</v>
      </c>
      <c r="B4341">
        <v>1389064</v>
      </c>
      <c r="C4341" t="s">
        <v>8898</v>
      </c>
      <c r="D4341" t="s">
        <v>125</v>
      </c>
      <c r="E4341" s="2">
        <v>41549</v>
      </c>
      <c r="F4341" t="str">
        <f>"9780199349906"</f>
        <v>9780199349906</v>
      </c>
      <c r="G4341" t="str">
        <f>"9780199325153"</f>
        <v>9780199325153</v>
      </c>
      <c r="H4341" t="s">
        <v>8899</v>
      </c>
      <c r="I4341">
        <v>320.60000000000002</v>
      </c>
      <c r="J4341" t="s">
        <v>8900</v>
      </c>
      <c r="K4341" t="s">
        <v>44</v>
      </c>
      <c r="N4341" t="s">
        <v>45</v>
      </c>
      <c r="O4341" t="s">
        <v>46</v>
      </c>
      <c r="P4341" t="s">
        <v>45</v>
      </c>
      <c r="Q4341" t="s">
        <v>47</v>
      </c>
      <c r="R4341" t="s">
        <v>44</v>
      </c>
      <c r="S4341">
        <v>0</v>
      </c>
      <c r="W4341" s="3">
        <v>6.9444444444444444E-5</v>
      </c>
      <c r="X4341" t="s">
        <v>121</v>
      </c>
      <c r="Y4341">
        <v>1</v>
      </c>
      <c r="Z4341">
        <v>0</v>
      </c>
      <c r="AA4341" t="s">
        <v>49</v>
      </c>
      <c r="AB4341">
        <v>0</v>
      </c>
      <c r="AC4341" t="s">
        <v>49</v>
      </c>
      <c r="AD4341">
        <v>0</v>
      </c>
      <c r="AE4341">
        <v>10756869</v>
      </c>
      <c r="AF4341" t="s">
        <v>50</v>
      </c>
      <c r="AG4341" t="s">
        <v>8799</v>
      </c>
    </row>
    <row r="4342" spans="1:33" x14ac:dyDescent="0.35">
      <c r="A4342" s="1">
        <v>44608.98541666667</v>
      </c>
      <c r="B4342">
        <v>3339142</v>
      </c>
      <c r="C4342" t="s">
        <v>7658</v>
      </c>
      <c r="D4342" t="s">
        <v>303</v>
      </c>
      <c r="E4342" s="2">
        <v>40025</v>
      </c>
      <c r="F4342" t="str">
        <f>"9780262270830"</f>
        <v>9780262270830</v>
      </c>
      <c r="G4342" t="str">
        <f>"9780262033848"</f>
        <v>9780262033848</v>
      </c>
      <c r="H4342" t="s">
        <v>138</v>
      </c>
      <c r="I4342">
        <v>5.0999999999999996</v>
      </c>
      <c r="J4342" t="s">
        <v>7659</v>
      </c>
      <c r="K4342" t="s">
        <v>44</v>
      </c>
      <c r="N4342" t="s">
        <v>45</v>
      </c>
      <c r="O4342" t="s">
        <v>46</v>
      </c>
      <c r="P4342" t="s">
        <v>45</v>
      </c>
      <c r="Q4342" t="s">
        <v>47</v>
      </c>
      <c r="R4342" t="s">
        <v>44</v>
      </c>
      <c r="S4342">
        <v>0</v>
      </c>
      <c r="W4342" s="3">
        <v>0</v>
      </c>
      <c r="X4342" t="s">
        <v>49</v>
      </c>
      <c r="Y4342">
        <v>0</v>
      </c>
      <c r="Z4342">
        <v>1</v>
      </c>
      <c r="AA4342" t="s">
        <v>8907</v>
      </c>
      <c r="AB4342">
        <v>128</v>
      </c>
      <c r="AC4342" t="s">
        <v>49</v>
      </c>
      <c r="AD4342">
        <v>0</v>
      </c>
      <c r="AE4342">
        <v>10397652</v>
      </c>
      <c r="AF4342" t="s">
        <v>50</v>
      </c>
      <c r="AG4342" t="s">
        <v>8908</v>
      </c>
    </row>
    <row r="4343" spans="1:33" x14ac:dyDescent="0.35">
      <c r="A4343" s="1">
        <v>44608.954861111109</v>
      </c>
      <c r="B4343">
        <v>3339142</v>
      </c>
      <c r="C4343" t="s">
        <v>7658</v>
      </c>
      <c r="D4343" t="s">
        <v>303</v>
      </c>
      <c r="E4343" s="2">
        <v>40025</v>
      </c>
      <c r="F4343" t="str">
        <f>"9780262270830"</f>
        <v>9780262270830</v>
      </c>
      <c r="G4343" t="str">
        <f>"9780262033848"</f>
        <v>9780262033848</v>
      </c>
      <c r="H4343" t="s">
        <v>138</v>
      </c>
      <c r="I4343">
        <v>5.0999999999999996</v>
      </c>
      <c r="J4343" t="s">
        <v>7659</v>
      </c>
      <c r="K4343" t="s">
        <v>44</v>
      </c>
      <c r="N4343" t="s">
        <v>45</v>
      </c>
      <c r="O4343" t="s">
        <v>46</v>
      </c>
      <c r="P4343" t="s">
        <v>45</v>
      </c>
      <c r="Q4343" t="s">
        <v>47</v>
      </c>
      <c r="R4343" t="s">
        <v>44</v>
      </c>
      <c r="S4343">
        <v>0</v>
      </c>
      <c r="W4343" s="3">
        <v>6.2500000000000001E-4</v>
      </c>
      <c r="X4343" t="s">
        <v>8909</v>
      </c>
      <c r="Y4343">
        <v>8</v>
      </c>
      <c r="Z4343">
        <v>0</v>
      </c>
      <c r="AA4343" t="s">
        <v>49</v>
      </c>
      <c r="AB4343">
        <v>0</v>
      </c>
      <c r="AC4343" t="s">
        <v>49</v>
      </c>
      <c r="AD4343">
        <v>0</v>
      </c>
      <c r="AE4343">
        <v>10397652</v>
      </c>
      <c r="AF4343" t="s">
        <v>50</v>
      </c>
      <c r="AG4343" t="s">
        <v>8908</v>
      </c>
    </row>
    <row r="4344" spans="1:33" x14ac:dyDescent="0.35">
      <c r="A4344" s="1">
        <v>44608.913888888892</v>
      </c>
      <c r="B4344">
        <v>5796941</v>
      </c>
      <c r="C4344" t="s">
        <v>7395</v>
      </c>
      <c r="D4344" t="s">
        <v>844</v>
      </c>
      <c r="E4344" s="2">
        <v>43656</v>
      </c>
      <c r="F4344" t="str">
        <f>"9781787566811"</f>
        <v>9781787566811</v>
      </c>
      <c r="G4344" t="str">
        <f>"9781787566804"</f>
        <v>9781787566804</v>
      </c>
      <c r="H4344" t="s">
        <v>900</v>
      </c>
      <c r="I4344">
        <v>337.51056</v>
      </c>
      <c r="J4344" t="s">
        <v>1794</v>
      </c>
      <c r="K4344" t="s">
        <v>44</v>
      </c>
      <c r="N4344" t="s">
        <v>45</v>
      </c>
      <c r="O4344" t="s">
        <v>46</v>
      </c>
      <c r="P4344" t="s">
        <v>45</v>
      </c>
      <c r="Q4344" t="s">
        <v>47</v>
      </c>
      <c r="R4344" t="s">
        <v>44</v>
      </c>
      <c r="S4344">
        <v>0</v>
      </c>
      <c r="W4344" s="3">
        <v>2.0648148148148148E-2</v>
      </c>
      <c r="X4344" t="s">
        <v>8910</v>
      </c>
      <c r="Y4344">
        <v>10</v>
      </c>
      <c r="Z4344">
        <v>0</v>
      </c>
      <c r="AA4344" t="s">
        <v>49</v>
      </c>
      <c r="AB4344">
        <v>0</v>
      </c>
      <c r="AC4344" t="s">
        <v>49</v>
      </c>
      <c r="AD4344">
        <v>0</v>
      </c>
      <c r="AE4344">
        <v>-1</v>
      </c>
      <c r="AF4344" t="s">
        <v>50</v>
      </c>
      <c r="AG4344" t="s">
        <v>300</v>
      </c>
    </row>
    <row r="4345" spans="1:33" x14ac:dyDescent="0.35">
      <c r="A4345" s="1">
        <v>44608.886805555558</v>
      </c>
      <c r="B4345">
        <v>675059</v>
      </c>
      <c r="C4345" t="s">
        <v>8911</v>
      </c>
      <c r="D4345" t="s">
        <v>59</v>
      </c>
      <c r="E4345" s="2">
        <v>40596</v>
      </c>
      <c r="F4345" t="str">
        <f>"9780470940013"</f>
        <v>9780470940013</v>
      </c>
      <c r="G4345" t="str">
        <f>"9780470639320"</f>
        <v>9780470639320</v>
      </c>
      <c r="H4345" t="s">
        <v>2062</v>
      </c>
      <c r="I4345">
        <v>572</v>
      </c>
      <c r="J4345" t="s">
        <v>8912</v>
      </c>
      <c r="K4345" t="s">
        <v>44</v>
      </c>
      <c r="N4345" t="s">
        <v>45</v>
      </c>
      <c r="O4345" t="s">
        <v>46</v>
      </c>
      <c r="P4345" t="s">
        <v>45</v>
      </c>
      <c r="Q4345" t="s">
        <v>47</v>
      </c>
      <c r="R4345" t="s">
        <v>44</v>
      </c>
      <c r="S4345">
        <v>0</v>
      </c>
      <c r="W4345" s="3">
        <v>1.3888888888888889E-4</v>
      </c>
      <c r="X4345" t="s">
        <v>121</v>
      </c>
      <c r="Y4345">
        <v>1</v>
      </c>
      <c r="Z4345">
        <v>0</v>
      </c>
      <c r="AA4345" t="s">
        <v>49</v>
      </c>
      <c r="AB4345">
        <v>0</v>
      </c>
      <c r="AC4345" t="s">
        <v>49</v>
      </c>
      <c r="AD4345">
        <v>0</v>
      </c>
      <c r="AE4345">
        <v>10452954</v>
      </c>
      <c r="AF4345" t="s">
        <v>50</v>
      </c>
      <c r="AG4345" t="s">
        <v>8332</v>
      </c>
    </row>
    <row r="4346" spans="1:33" x14ac:dyDescent="0.35">
      <c r="A4346" s="1">
        <v>44608.885416666664</v>
      </c>
      <c r="B4346">
        <v>5796941</v>
      </c>
      <c r="C4346" t="s">
        <v>7395</v>
      </c>
      <c r="D4346" t="s">
        <v>844</v>
      </c>
      <c r="E4346" s="2">
        <v>43656</v>
      </c>
      <c r="F4346" t="str">
        <f>"9781787566811"</f>
        <v>9781787566811</v>
      </c>
      <c r="G4346" t="str">
        <f>"9781787566804"</f>
        <v>9781787566804</v>
      </c>
      <c r="H4346" t="s">
        <v>900</v>
      </c>
      <c r="I4346">
        <v>337.51056</v>
      </c>
      <c r="J4346" t="s">
        <v>1794</v>
      </c>
      <c r="K4346" t="s">
        <v>44</v>
      </c>
      <c r="N4346" t="s">
        <v>45</v>
      </c>
      <c r="O4346" t="s">
        <v>46</v>
      </c>
      <c r="P4346" t="s">
        <v>45</v>
      </c>
      <c r="Q4346" t="s">
        <v>47</v>
      </c>
      <c r="R4346" t="s">
        <v>44</v>
      </c>
      <c r="S4346">
        <v>0</v>
      </c>
      <c r="W4346" s="3">
        <v>1.0127314814814815E-2</v>
      </c>
      <c r="X4346" t="s">
        <v>8913</v>
      </c>
      <c r="Y4346">
        <v>15</v>
      </c>
      <c r="Z4346">
        <v>0</v>
      </c>
      <c r="AA4346" t="s">
        <v>49</v>
      </c>
      <c r="AB4346">
        <v>0</v>
      </c>
      <c r="AC4346" t="s">
        <v>1841</v>
      </c>
      <c r="AD4346">
        <v>1</v>
      </c>
      <c r="AE4346">
        <v>-1</v>
      </c>
      <c r="AF4346" t="s">
        <v>50</v>
      </c>
      <c r="AG4346" t="s">
        <v>300</v>
      </c>
    </row>
    <row r="4347" spans="1:33" x14ac:dyDescent="0.35">
      <c r="A4347" s="1">
        <v>44608.843055555553</v>
      </c>
      <c r="B4347">
        <v>3339142</v>
      </c>
      <c r="C4347" t="s">
        <v>7658</v>
      </c>
      <c r="D4347" t="s">
        <v>303</v>
      </c>
      <c r="E4347" s="2">
        <v>40025</v>
      </c>
      <c r="F4347" t="str">
        <f>"9780262270830"</f>
        <v>9780262270830</v>
      </c>
      <c r="G4347" t="str">
        <f>"9780262033848"</f>
        <v>9780262033848</v>
      </c>
      <c r="H4347" t="s">
        <v>138</v>
      </c>
      <c r="I4347">
        <v>5.0999999999999996</v>
      </c>
      <c r="J4347" t="s">
        <v>7659</v>
      </c>
      <c r="K4347" t="s">
        <v>44</v>
      </c>
      <c r="N4347" t="s">
        <v>45</v>
      </c>
      <c r="O4347" t="s">
        <v>46</v>
      </c>
      <c r="P4347" t="s">
        <v>45</v>
      </c>
      <c r="Q4347" t="s">
        <v>47</v>
      </c>
      <c r="R4347" t="s">
        <v>44</v>
      </c>
      <c r="S4347">
        <v>0</v>
      </c>
      <c r="W4347" s="3">
        <v>3.3101851851851851E-3</v>
      </c>
      <c r="X4347" t="s">
        <v>8914</v>
      </c>
      <c r="Y4347">
        <v>18</v>
      </c>
      <c r="Z4347">
        <v>0</v>
      </c>
      <c r="AA4347" t="s">
        <v>49</v>
      </c>
      <c r="AB4347">
        <v>0</v>
      </c>
      <c r="AC4347" t="s">
        <v>49</v>
      </c>
      <c r="AD4347">
        <v>0</v>
      </c>
      <c r="AE4347">
        <v>10397652</v>
      </c>
      <c r="AF4347" t="s">
        <v>63</v>
      </c>
      <c r="AG4347" t="s">
        <v>8908</v>
      </c>
    </row>
    <row r="4348" spans="1:33" x14ac:dyDescent="0.35">
      <c r="A4348" s="1">
        <v>44608.822222222225</v>
      </c>
      <c r="B4348">
        <v>5796941</v>
      </c>
      <c r="C4348" t="s">
        <v>7395</v>
      </c>
      <c r="D4348" t="s">
        <v>844</v>
      </c>
      <c r="E4348" s="2">
        <v>43656</v>
      </c>
      <c r="F4348" t="str">
        <f>"9781787566811"</f>
        <v>9781787566811</v>
      </c>
      <c r="G4348" t="str">
        <f>"9781787566804"</f>
        <v>9781787566804</v>
      </c>
      <c r="H4348" t="s">
        <v>900</v>
      </c>
      <c r="I4348">
        <v>337.51056</v>
      </c>
      <c r="J4348" t="s">
        <v>1794</v>
      </c>
      <c r="K4348" t="s">
        <v>44</v>
      </c>
      <c r="N4348" t="s">
        <v>45</v>
      </c>
      <c r="O4348" t="s">
        <v>46</v>
      </c>
      <c r="P4348" t="s">
        <v>45</v>
      </c>
      <c r="Q4348" t="s">
        <v>47</v>
      </c>
      <c r="R4348" t="s">
        <v>44</v>
      </c>
      <c r="S4348">
        <v>0</v>
      </c>
      <c r="W4348" s="3">
        <v>1.0439814814814813E-2</v>
      </c>
      <c r="X4348" t="s">
        <v>8915</v>
      </c>
      <c r="Y4348">
        <v>11</v>
      </c>
      <c r="Z4348">
        <v>0</v>
      </c>
      <c r="AA4348" t="s">
        <v>49</v>
      </c>
      <c r="AB4348">
        <v>0</v>
      </c>
      <c r="AC4348" t="s">
        <v>8916</v>
      </c>
      <c r="AD4348">
        <v>2</v>
      </c>
      <c r="AE4348">
        <v>-1</v>
      </c>
      <c r="AF4348" t="s">
        <v>50</v>
      </c>
      <c r="AG4348" t="s">
        <v>8624</v>
      </c>
    </row>
    <row r="4349" spans="1:33" x14ac:dyDescent="0.35">
      <c r="A4349" s="1">
        <v>44608.762499999997</v>
      </c>
      <c r="B4349">
        <v>5796941</v>
      </c>
      <c r="C4349" t="s">
        <v>7395</v>
      </c>
      <c r="D4349" t="s">
        <v>844</v>
      </c>
      <c r="E4349" s="2">
        <v>43656</v>
      </c>
      <c r="F4349" t="str">
        <f>"9781787566811"</f>
        <v>9781787566811</v>
      </c>
      <c r="G4349" t="str">
        <f>"9781787566804"</f>
        <v>9781787566804</v>
      </c>
      <c r="H4349" t="s">
        <v>900</v>
      </c>
      <c r="I4349">
        <v>337.51056</v>
      </c>
      <c r="J4349" t="s">
        <v>1794</v>
      </c>
      <c r="K4349" t="s">
        <v>44</v>
      </c>
      <c r="N4349" t="s">
        <v>45</v>
      </c>
      <c r="O4349" t="s">
        <v>46</v>
      </c>
      <c r="P4349" t="s">
        <v>45</v>
      </c>
      <c r="Q4349" t="s">
        <v>47</v>
      </c>
      <c r="R4349" t="s">
        <v>44</v>
      </c>
      <c r="S4349">
        <v>0</v>
      </c>
      <c r="W4349" s="3">
        <v>8.1018518518518516E-5</v>
      </c>
      <c r="X4349" t="s">
        <v>196</v>
      </c>
      <c r="Y4349">
        <v>2</v>
      </c>
      <c r="Z4349">
        <v>0</v>
      </c>
      <c r="AA4349" t="s">
        <v>49</v>
      </c>
      <c r="AB4349">
        <v>0</v>
      </c>
      <c r="AC4349" t="s">
        <v>49</v>
      </c>
      <c r="AD4349">
        <v>0</v>
      </c>
      <c r="AE4349">
        <v>-1</v>
      </c>
      <c r="AF4349" t="s">
        <v>50</v>
      </c>
      <c r="AG4349" t="s">
        <v>8576</v>
      </c>
    </row>
    <row r="4350" spans="1:33" x14ac:dyDescent="0.35">
      <c r="A4350" s="1">
        <v>44608.737500000003</v>
      </c>
      <c r="B4350">
        <v>6420775</v>
      </c>
      <c r="C4350" t="s">
        <v>236</v>
      </c>
      <c r="D4350" t="s">
        <v>213</v>
      </c>
      <c r="E4350" s="2">
        <v>44147</v>
      </c>
      <c r="F4350" t="str">
        <f>"9780128243619"</f>
        <v>9780128243619</v>
      </c>
      <c r="G4350" t="str">
        <f>"9780128243602"</f>
        <v>9780128243602</v>
      </c>
      <c r="H4350" t="s">
        <v>237</v>
      </c>
      <c r="I4350">
        <v>551.70100000000002</v>
      </c>
      <c r="J4350" t="s">
        <v>238</v>
      </c>
      <c r="K4350" t="s">
        <v>55</v>
      </c>
      <c r="Q4350" t="s">
        <v>47</v>
      </c>
      <c r="R4350" t="s">
        <v>44</v>
      </c>
      <c r="S4350">
        <v>0</v>
      </c>
      <c r="W4350" s="3">
        <v>1.4583333333333334E-3</v>
      </c>
      <c r="X4350" t="s">
        <v>8917</v>
      </c>
      <c r="Y4350">
        <v>3</v>
      </c>
      <c r="Z4350">
        <v>0</v>
      </c>
      <c r="AA4350" t="s">
        <v>49</v>
      </c>
      <c r="AB4350">
        <v>0</v>
      </c>
      <c r="AC4350" t="s">
        <v>49</v>
      </c>
      <c r="AD4350">
        <v>0</v>
      </c>
      <c r="AE4350">
        <v>-1</v>
      </c>
      <c r="AF4350" t="s">
        <v>50</v>
      </c>
      <c r="AG4350" t="s">
        <v>8332</v>
      </c>
    </row>
    <row r="4351" spans="1:33" x14ac:dyDescent="0.35">
      <c r="A4351" s="1">
        <v>44608.712500000001</v>
      </c>
      <c r="B4351">
        <v>6420775</v>
      </c>
      <c r="C4351" t="s">
        <v>236</v>
      </c>
      <c r="D4351" t="s">
        <v>213</v>
      </c>
      <c r="E4351" s="2">
        <v>44147</v>
      </c>
      <c r="F4351" t="str">
        <f>"9780128243619"</f>
        <v>9780128243619</v>
      </c>
      <c r="G4351" t="str">
        <f>"9780128243602"</f>
        <v>9780128243602</v>
      </c>
      <c r="H4351" t="s">
        <v>237</v>
      </c>
      <c r="I4351">
        <v>551.70100000000002</v>
      </c>
      <c r="J4351" t="s">
        <v>238</v>
      </c>
      <c r="K4351" t="s">
        <v>55</v>
      </c>
      <c r="Q4351" t="s">
        <v>47</v>
      </c>
      <c r="R4351" t="s">
        <v>44</v>
      </c>
      <c r="S4351">
        <v>0</v>
      </c>
      <c r="W4351" s="3">
        <v>5.7870370370370378E-4</v>
      </c>
      <c r="X4351" t="s">
        <v>8918</v>
      </c>
      <c r="Y4351">
        <v>4</v>
      </c>
      <c r="Z4351">
        <v>0</v>
      </c>
      <c r="AA4351" t="s">
        <v>49</v>
      </c>
      <c r="AB4351">
        <v>0</v>
      </c>
      <c r="AC4351" t="s">
        <v>49</v>
      </c>
      <c r="AD4351">
        <v>0</v>
      </c>
      <c r="AE4351">
        <v>-1</v>
      </c>
      <c r="AF4351" t="s">
        <v>50</v>
      </c>
      <c r="AG4351" t="s">
        <v>8332</v>
      </c>
    </row>
    <row r="4352" spans="1:33" x14ac:dyDescent="0.35">
      <c r="A4352" s="1">
        <v>44608.669444444444</v>
      </c>
      <c r="B4352">
        <v>3317571</v>
      </c>
      <c r="C4352" t="s">
        <v>8919</v>
      </c>
      <c r="D4352" t="s">
        <v>760</v>
      </c>
      <c r="E4352" s="2">
        <v>40893</v>
      </c>
      <c r="F4352" t="str">
        <f>"9781610911764"</f>
        <v>9781610911764</v>
      </c>
      <c r="G4352" t="str">
        <f>"9781597266925"</f>
        <v>9781597266925</v>
      </c>
      <c r="H4352" t="s">
        <v>1046</v>
      </c>
      <c r="I4352" t="s">
        <v>8920</v>
      </c>
      <c r="J4352" t="s">
        <v>8921</v>
      </c>
      <c r="K4352" t="s">
        <v>44</v>
      </c>
      <c r="N4352" t="s">
        <v>45</v>
      </c>
      <c r="O4352" t="s">
        <v>46</v>
      </c>
      <c r="P4352" t="s">
        <v>45</v>
      </c>
      <c r="Q4352" t="s">
        <v>47</v>
      </c>
      <c r="R4352" t="s">
        <v>44</v>
      </c>
      <c r="S4352">
        <v>0</v>
      </c>
      <c r="W4352" s="3">
        <v>6.9444444444444447E-4</v>
      </c>
      <c r="X4352" t="s">
        <v>8922</v>
      </c>
      <c r="Y4352">
        <v>5</v>
      </c>
      <c r="Z4352">
        <v>0</v>
      </c>
      <c r="AA4352" t="s">
        <v>49</v>
      </c>
      <c r="AB4352">
        <v>0</v>
      </c>
      <c r="AC4352" t="s">
        <v>49</v>
      </c>
      <c r="AD4352">
        <v>0</v>
      </c>
      <c r="AE4352">
        <v>10529607</v>
      </c>
      <c r="AF4352" t="s">
        <v>50</v>
      </c>
      <c r="AG4352" t="s">
        <v>8923</v>
      </c>
    </row>
    <row r="4353" spans="1:33" x14ac:dyDescent="0.35">
      <c r="A4353" s="1">
        <v>44608.55972222222</v>
      </c>
      <c r="B4353">
        <v>1336263</v>
      </c>
      <c r="C4353" t="s">
        <v>8924</v>
      </c>
      <c r="D4353" t="s">
        <v>711</v>
      </c>
      <c r="E4353" s="2">
        <v>41477</v>
      </c>
      <c r="F4353" t="str">
        <f>"9780821399705"</f>
        <v>9780821399705</v>
      </c>
      <c r="G4353" t="str">
        <f>"9780821399675"</f>
        <v>9780821399675</v>
      </c>
      <c r="H4353" t="s">
        <v>8925</v>
      </c>
      <c r="I4353" t="s">
        <v>8926</v>
      </c>
      <c r="J4353" t="s">
        <v>8927</v>
      </c>
      <c r="K4353" t="s">
        <v>44</v>
      </c>
      <c r="N4353" t="s">
        <v>45</v>
      </c>
      <c r="O4353" t="s">
        <v>46</v>
      </c>
      <c r="P4353" t="s">
        <v>177</v>
      </c>
      <c r="Q4353" t="s">
        <v>47</v>
      </c>
      <c r="R4353" t="s">
        <v>55</v>
      </c>
      <c r="S4353">
        <v>0</v>
      </c>
      <c r="W4353" s="3">
        <v>8.7962962962962962E-4</v>
      </c>
      <c r="X4353" t="s">
        <v>8928</v>
      </c>
      <c r="Y4353">
        <v>7</v>
      </c>
      <c r="Z4353">
        <v>0</v>
      </c>
      <c r="AA4353" t="s">
        <v>49</v>
      </c>
      <c r="AB4353">
        <v>0</v>
      </c>
      <c r="AC4353" t="s">
        <v>49</v>
      </c>
      <c r="AD4353">
        <v>0</v>
      </c>
      <c r="AE4353">
        <v>10740788</v>
      </c>
      <c r="AF4353" t="s">
        <v>50</v>
      </c>
      <c r="AG4353" t="s">
        <v>8923</v>
      </c>
    </row>
    <row r="4354" spans="1:33" x14ac:dyDescent="0.35">
      <c r="A4354" s="1">
        <v>44608.55</v>
      </c>
      <c r="B4354">
        <v>280447</v>
      </c>
      <c r="C4354" t="s">
        <v>8929</v>
      </c>
      <c r="D4354" t="s">
        <v>473</v>
      </c>
      <c r="E4354" s="2">
        <v>38534</v>
      </c>
      <c r="F4354" t="str">
        <f>"9781433705809"</f>
        <v>9781433705809</v>
      </c>
      <c r="G4354" t="str">
        <f>"9789004144644"</f>
        <v>9789004144644</v>
      </c>
      <c r="H4354" t="s">
        <v>162</v>
      </c>
      <c r="I4354" t="s">
        <v>8930</v>
      </c>
      <c r="J4354" t="s">
        <v>8931</v>
      </c>
      <c r="K4354" t="s">
        <v>44</v>
      </c>
      <c r="N4354" t="s">
        <v>45</v>
      </c>
      <c r="O4354" t="s">
        <v>46</v>
      </c>
      <c r="P4354" t="s">
        <v>45</v>
      </c>
      <c r="Q4354" t="s">
        <v>47</v>
      </c>
      <c r="R4354" t="s">
        <v>44</v>
      </c>
      <c r="S4354">
        <v>0</v>
      </c>
      <c r="W4354" s="3">
        <v>1.2384259259259258E-3</v>
      </c>
      <c r="X4354" t="s">
        <v>1352</v>
      </c>
      <c r="Y4354">
        <v>4</v>
      </c>
      <c r="Z4354">
        <v>0</v>
      </c>
      <c r="AA4354" t="s">
        <v>49</v>
      </c>
      <c r="AB4354">
        <v>0</v>
      </c>
      <c r="AC4354" t="s">
        <v>49</v>
      </c>
      <c r="AD4354">
        <v>0</v>
      </c>
      <c r="AE4354">
        <v>10171723</v>
      </c>
      <c r="AF4354" t="s">
        <v>50</v>
      </c>
      <c r="AG4354" t="s">
        <v>8923</v>
      </c>
    </row>
    <row r="4355" spans="1:33" x14ac:dyDescent="0.35">
      <c r="A4355" s="1">
        <v>44608.549305555556</v>
      </c>
      <c r="B4355">
        <v>2006690</v>
      </c>
      <c r="C4355" t="s">
        <v>8932</v>
      </c>
      <c r="D4355" t="s">
        <v>8933</v>
      </c>
      <c r="E4355" s="2">
        <v>40866</v>
      </c>
      <c r="F4355" t="str">
        <f>"9780830863853"</f>
        <v>9780830863853</v>
      </c>
      <c r="G4355" t="str">
        <f>"9780830837984"</f>
        <v>9780830837984</v>
      </c>
      <c r="H4355" t="s">
        <v>162</v>
      </c>
      <c r="I4355" t="s">
        <v>8934</v>
      </c>
      <c r="K4355" t="s">
        <v>44</v>
      </c>
      <c r="N4355" t="s">
        <v>45</v>
      </c>
      <c r="O4355" t="s">
        <v>46</v>
      </c>
      <c r="P4355" t="s">
        <v>45</v>
      </c>
      <c r="Q4355" t="s">
        <v>47</v>
      </c>
      <c r="R4355" t="s">
        <v>44</v>
      </c>
      <c r="S4355">
        <v>0</v>
      </c>
      <c r="W4355" s="3">
        <v>1.1574074074074073E-5</v>
      </c>
      <c r="X4355" t="s">
        <v>121</v>
      </c>
      <c r="Y4355">
        <v>1</v>
      </c>
      <c r="Z4355">
        <v>0</v>
      </c>
      <c r="AA4355" t="s">
        <v>49</v>
      </c>
      <c r="AB4355">
        <v>0</v>
      </c>
      <c r="AC4355" t="s">
        <v>49</v>
      </c>
      <c r="AD4355">
        <v>0</v>
      </c>
      <c r="AE4355">
        <v>10754582</v>
      </c>
      <c r="AF4355" t="s">
        <v>50</v>
      </c>
      <c r="AG4355" t="s">
        <v>8923</v>
      </c>
    </row>
    <row r="4356" spans="1:33" x14ac:dyDescent="0.35">
      <c r="A4356" s="1">
        <v>44608.542361111111</v>
      </c>
      <c r="B4356">
        <v>4914179</v>
      </c>
      <c r="C4356" t="s">
        <v>7239</v>
      </c>
      <c r="D4356" t="s">
        <v>59</v>
      </c>
      <c r="E4356" s="2">
        <v>42961</v>
      </c>
      <c r="F4356" t="str">
        <f>"9781119420705"</f>
        <v>9781119420705</v>
      </c>
      <c r="G4356" t="str">
        <f>"9781118116173"</f>
        <v>9781118116173</v>
      </c>
      <c r="H4356" t="s">
        <v>6624</v>
      </c>
      <c r="I4356">
        <v>6.22</v>
      </c>
      <c r="J4356" t="s">
        <v>7240</v>
      </c>
      <c r="K4356" t="s">
        <v>44</v>
      </c>
      <c r="N4356" t="s">
        <v>45</v>
      </c>
      <c r="O4356" t="s">
        <v>46</v>
      </c>
      <c r="P4356" t="s">
        <v>45</v>
      </c>
      <c r="Q4356" t="s">
        <v>47</v>
      </c>
      <c r="R4356" t="s">
        <v>44</v>
      </c>
      <c r="S4356">
        <v>0</v>
      </c>
      <c r="W4356" s="3">
        <v>7.8703703703703705E-4</v>
      </c>
      <c r="X4356" t="s">
        <v>8935</v>
      </c>
      <c r="Y4356">
        <v>6</v>
      </c>
      <c r="Z4356">
        <v>0</v>
      </c>
      <c r="AA4356" t="s">
        <v>49</v>
      </c>
      <c r="AB4356">
        <v>0</v>
      </c>
      <c r="AC4356" t="s">
        <v>49</v>
      </c>
      <c r="AD4356">
        <v>0</v>
      </c>
      <c r="AE4356">
        <v>11412425</v>
      </c>
      <c r="AF4356" t="s">
        <v>50</v>
      </c>
      <c r="AG4356" t="s">
        <v>8332</v>
      </c>
    </row>
    <row r="4357" spans="1:33" x14ac:dyDescent="0.35">
      <c r="A4357" s="1">
        <v>44608.489583333336</v>
      </c>
      <c r="B4357">
        <v>4307182</v>
      </c>
      <c r="C4357" t="s">
        <v>8498</v>
      </c>
      <c r="D4357" t="s">
        <v>2116</v>
      </c>
      <c r="E4357" s="2">
        <v>42361</v>
      </c>
      <c r="F4357" t="str">
        <f>"9781606508480"</f>
        <v>9781606508480</v>
      </c>
      <c r="G4357" t="str">
        <f>"9781606508473"</f>
        <v>9781606508473</v>
      </c>
      <c r="H4357" t="s">
        <v>8499</v>
      </c>
      <c r="K4357" t="s">
        <v>44</v>
      </c>
      <c r="N4357" t="s">
        <v>45</v>
      </c>
      <c r="O4357" t="s">
        <v>46</v>
      </c>
      <c r="P4357" t="s">
        <v>45</v>
      </c>
      <c r="Q4357" t="s">
        <v>47</v>
      </c>
      <c r="R4357" t="s">
        <v>44</v>
      </c>
      <c r="S4357">
        <v>0</v>
      </c>
      <c r="W4357" s="3">
        <v>1.9675925925925928E-3</v>
      </c>
      <c r="X4357" t="s">
        <v>8936</v>
      </c>
      <c r="Y4357">
        <v>11</v>
      </c>
      <c r="Z4357">
        <v>0</v>
      </c>
      <c r="AA4357" t="s">
        <v>49</v>
      </c>
      <c r="AB4357">
        <v>0</v>
      </c>
      <c r="AC4357" t="s">
        <v>49</v>
      </c>
      <c r="AD4357">
        <v>0</v>
      </c>
      <c r="AE4357">
        <v>11147005</v>
      </c>
      <c r="AF4357" t="s">
        <v>50</v>
      </c>
      <c r="AG4357" t="s">
        <v>8576</v>
      </c>
    </row>
    <row r="4358" spans="1:33" x14ac:dyDescent="0.35">
      <c r="A4358" s="1">
        <v>44608.48333333333</v>
      </c>
      <c r="B4358">
        <v>1120773</v>
      </c>
      <c r="C4358" t="s">
        <v>8937</v>
      </c>
      <c r="D4358" t="s">
        <v>59</v>
      </c>
      <c r="E4358" s="2">
        <v>41365</v>
      </c>
      <c r="F4358" t="str">
        <f>"9783527650347"</f>
        <v>9783527650347</v>
      </c>
      <c r="G4358" t="str">
        <f>"9783527327621"</f>
        <v>9783527327621</v>
      </c>
      <c r="H4358" t="s">
        <v>1112</v>
      </c>
      <c r="I4358">
        <v>660.28429800000004</v>
      </c>
      <c r="J4358" t="s">
        <v>8938</v>
      </c>
      <c r="K4358" t="s">
        <v>44</v>
      </c>
      <c r="N4358" t="s">
        <v>45</v>
      </c>
      <c r="O4358" t="s">
        <v>46</v>
      </c>
      <c r="P4358" t="s">
        <v>45</v>
      </c>
      <c r="Q4358" t="s">
        <v>47</v>
      </c>
      <c r="R4358" t="s">
        <v>44</v>
      </c>
      <c r="S4358">
        <v>0</v>
      </c>
      <c r="W4358" s="3">
        <v>6.9444444444444444E-5</v>
      </c>
      <c r="X4358" t="s">
        <v>121</v>
      </c>
      <c r="Y4358">
        <v>1</v>
      </c>
      <c r="Z4358">
        <v>0</v>
      </c>
      <c r="AA4358" t="s">
        <v>49</v>
      </c>
      <c r="AB4358">
        <v>0</v>
      </c>
      <c r="AC4358" t="s">
        <v>49</v>
      </c>
      <c r="AD4358">
        <v>0</v>
      </c>
      <c r="AE4358">
        <v>10657629</v>
      </c>
      <c r="AF4358" t="s">
        <v>50</v>
      </c>
      <c r="AG4358" t="s">
        <v>8332</v>
      </c>
    </row>
    <row r="4359" spans="1:33" x14ac:dyDescent="0.35">
      <c r="A4359" s="1">
        <v>44608.456944444442</v>
      </c>
      <c r="B4359">
        <v>5796941</v>
      </c>
      <c r="C4359" t="s">
        <v>7395</v>
      </c>
      <c r="D4359" t="s">
        <v>844</v>
      </c>
      <c r="E4359" s="2">
        <v>43656</v>
      </c>
      <c r="F4359" t="str">
        <f>"9781787566811"</f>
        <v>9781787566811</v>
      </c>
      <c r="G4359" t="str">
        <f>"9781787566804"</f>
        <v>9781787566804</v>
      </c>
      <c r="H4359" t="s">
        <v>900</v>
      </c>
      <c r="I4359">
        <v>337.51056</v>
      </c>
      <c r="J4359" t="s">
        <v>1794</v>
      </c>
      <c r="K4359" t="s">
        <v>44</v>
      </c>
      <c r="N4359" t="s">
        <v>45</v>
      </c>
      <c r="O4359" t="s">
        <v>46</v>
      </c>
      <c r="P4359" t="s">
        <v>45</v>
      </c>
      <c r="Q4359" t="s">
        <v>47</v>
      </c>
      <c r="R4359" t="s">
        <v>44</v>
      </c>
      <c r="S4359">
        <v>0</v>
      </c>
      <c r="W4359" s="3">
        <v>8.3333333333333339E-4</v>
      </c>
      <c r="X4359" t="s">
        <v>8939</v>
      </c>
      <c r="Y4359">
        <v>9</v>
      </c>
      <c r="Z4359">
        <v>0</v>
      </c>
      <c r="AA4359" t="s">
        <v>49</v>
      </c>
      <c r="AB4359">
        <v>0</v>
      </c>
      <c r="AC4359" t="s">
        <v>49</v>
      </c>
      <c r="AD4359">
        <v>0</v>
      </c>
      <c r="AE4359">
        <v>-1</v>
      </c>
      <c r="AF4359" t="s">
        <v>50</v>
      </c>
      <c r="AG4359" t="s">
        <v>300</v>
      </c>
    </row>
    <row r="4360" spans="1:33" x14ac:dyDescent="0.35">
      <c r="A4360" s="1">
        <v>44608.453472222223</v>
      </c>
      <c r="B4360">
        <v>5796941</v>
      </c>
      <c r="C4360" t="s">
        <v>7395</v>
      </c>
      <c r="D4360" t="s">
        <v>844</v>
      </c>
      <c r="E4360" s="2">
        <v>43656</v>
      </c>
      <c r="F4360" t="str">
        <f>"9781787566811"</f>
        <v>9781787566811</v>
      </c>
      <c r="G4360" t="str">
        <f>"9781787566804"</f>
        <v>9781787566804</v>
      </c>
      <c r="H4360" t="s">
        <v>900</v>
      </c>
      <c r="I4360">
        <v>337.51056</v>
      </c>
      <c r="J4360" t="s">
        <v>1794</v>
      </c>
      <c r="K4360" t="s">
        <v>44</v>
      </c>
      <c r="N4360" t="s">
        <v>45</v>
      </c>
      <c r="O4360" t="s">
        <v>46</v>
      </c>
      <c r="P4360" t="s">
        <v>45</v>
      </c>
      <c r="Q4360" t="s">
        <v>47</v>
      </c>
      <c r="R4360" t="s">
        <v>44</v>
      </c>
      <c r="S4360">
        <v>0</v>
      </c>
      <c r="W4360" s="3">
        <v>3.4722222222222222E-5</v>
      </c>
      <c r="X4360" t="s">
        <v>121</v>
      </c>
      <c r="Y4360">
        <v>1</v>
      </c>
      <c r="Z4360">
        <v>0</v>
      </c>
      <c r="AA4360" t="s">
        <v>49</v>
      </c>
      <c r="AB4360">
        <v>0</v>
      </c>
      <c r="AC4360" t="s">
        <v>49</v>
      </c>
      <c r="AD4360">
        <v>0</v>
      </c>
      <c r="AE4360">
        <v>-1</v>
      </c>
      <c r="AF4360" t="s">
        <v>50</v>
      </c>
      <c r="AG4360" t="s">
        <v>5467</v>
      </c>
    </row>
    <row r="4361" spans="1:33" x14ac:dyDescent="0.35">
      <c r="A4361" s="1">
        <v>44608.423611111109</v>
      </c>
      <c r="B4361">
        <v>284778</v>
      </c>
      <c r="C4361" t="s">
        <v>7807</v>
      </c>
      <c r="D4361" t="s">
        <v>7808</v>
      </c>
      <c r="E4361" s="2">
        <v>38353</v>
      </c>
      <c r="F4361" t="str">
        <f>"9781280268670"</f>
        <v>9781280268670</v>
      </c>
      <c r="G4361" t="str">
        <f>"9789289013772"</f>
        <v>9789289013772</v>
      </c>
      <c r="H4361" t="s">
        <v>525</v>
      </c>
      <c r="I4361">
        <v>362.20940000000002</v>
      </c>
      <c r="J4361" t="s">
        <v>7809</v>
      </c>
      <c r="K4361" t="s">
        <v>44</v>
      </c>
      <c r="N4361" t="s">
        <v>45</v>
      </c>
      <c r="O4361" t="s">
        <v>46</v>
      </c>
      <c r="P4361" t="s">
        <v>45</v>
      </c>
      <c r="Q4361" t="s">
        <v>47</v>
      </c>
      <c r="R4361" t="s">
        <v>44</v>
      </c>
      <c r="S4361">
        <v>0</v>
      </c>
      <c r="W4361" s="3">
        <v>1.3773148148148147E-3</v>
      </c>
      <c r="X4361" t="s">
        <v>8940</v>
      </c>
      <c r="Y4361">
        <v>7</v>
      </c>
      <c r="Z4361">
        <v>0</v>
      </c>
      <c r="AA4361" t="s">
        <v>49</v>
      </c>
      <c r="AB4361">
        <v>0</v>
      </c>
      <c r="AC4361" t="s">
        <v>49</v>
      </c>
      <c r="AD4361">
        <v>0</v>
      </c>
      <c r="AE4361">
        <v>10104339</v>
      </c>
      <c r="AF4361" t="s">
        <v>50</v>
      </c>
      <c r="AG4361" t="s">
        <v>835</v>
      </c>
    </row>
    <row r="4362" spans="1:33" x14ac:dyDescent="0.35">
      <c r="A4362" s="1">
        <v>44608.413194444445</v>
      </c>
      <c r="B4362">
        <v>5796941</v>
      </c>
      <c r="C4362" t="s">
        <v>7395</v>
      </c>
      <c r="D4362" t="s">
        <v>844</v>
      </c>
      <c r="E4362" s="2">
        <v>43656</v>
      </c>
      <c r="F4362" t="str">
        <f>"9781787566811"</f>
        <v>9781787566811</v>
      </c>
      <c r="G4362" t="str">
        <f>"9781787566804"</f>
        <v>9781787566804</v>
      </c>
      <c r="H4362" t="s">
        <v>900</v>
      </c>
      <c r="I4362">
        <v>337.51056</v>
      </c>
      <c r="J4362" t="s">
        <v>1794</v>
      </c>
      <c r="K4362" t="s">
        <v>44</v>
      </c>
      <c r="N4362" t="s">
        <v>45</v>
      </c>
      <c r="O4362" t="s">
        <v>46</v>
      </c>
      <c r="P4362" t="s">
        <v>45</v>
      </c>
      <c r="Q4362" t="s">
        <v>47</v>
      </c>
      <c r="R4362" t="s">
        <v>44</v>
      </c>
      <c r="S4362">
        <v>0</v>
      </c>
      <c r="W4362" s="3">
        <v>2.0462962962962964E-2</v>
      </c>
      <c r="X4362" t="s">
        <v>8941</v>
      </c>
      <c r="Y4362">
        <v>6</v>
      </c>
      <c r="Z4362">
        <v>0</v>
      </c>
      <c r="AA4362" t="s">
        <v>49</v>
      </c>
      <c r="AB4362">
        <v>0</v>
      </c>
      <c r="AC4362" t="s">
        <v>49</v>
      </c>
      <c r="AD4362">
        <v>0</v>
      </c>
      <c r="AE4362">
        <v>-1</v>
      </c>
      <c r="AF4362" t="s">
        <v>50</v>
      </c>
      <c r="AG4362" t="s">
        <v>1451</v>
      </c>
    </row>
    <row r="4363" spans="1:33" x14ac:dyDescent="0.35">
      <c r="A4363" s="1">
        <v>44608.400694444441</v>
      </c>
      <c r="B4363">
        <v>3338641</v>
      </c>
      <c r="C4363" t="s">
        <v>302</v>
      </c>
      <c r="D4363" t="s">
        <v>303</v>
      </c>
      <c r="E4363" s="2">
        <v>39143</v>
      </c>
      <c r="F4363" t="str">
        <f>"9780262282888"</f>
        <v>9780262282888</v>
      </c>
      <c r="G4363" t="str">
        <f>"9780262195577"</f>
        <v>9780262195577</v>
      </c>
      <c r="H4363" t="s">
        <v>304</v>
      </c>
      <c r="I4363" t="s">
        <v>305</v>
      </c>
      <c r="K4363" t="s">
        <v>44</v>
      </c>
      <c r="N4363" t="s">
        <v>45</v>
      </c>
      <c r="O4363" t="s">
        <v>46</v>
      </c>
      <c r="P4363" t="s">
        <v>45</v>
      </c>
      <c r="Q4363" t="s">
        <v>47</v>
      </c>
      <c r="R4363" t="s">
        <v>44</v>
      </c>
      <c r="S4363">
        <v>0</v>
      </c>
      <c r="W4363" s="3">
        <v>1.6122685185185184E-2</v>
      </c>
      <c r="X4363" t="s">
        <v>8942</v>
      </c>
      <c r="Y4363">
        <v>19</v>
      </c>
      <c r="Z4363">
        <v>0</v>
      </c>
      <c r="AA4363" t="s">
        <v>49</v>
      </c>
      <c r="AB4363">
        <v>0</v>
      </c>
      <c r="AC4363" t="s">
        <v>49</v>
      </c>
      <c r="AD4363">
        <v>0</v>
      </c>
      <c r="AE4363">
        <v>10173702</v>
      </c>
      <c r="AF4363" t="s">
        <v>50</v>
      </c>
      <c r="AG4363" t="s">
        <v>8943</v>
      </c>
    </row>
    <row r="4364" spans="1:33" x14ac:dyDescent="0.35">
      <c r="A4364" s="1">
        <v>44608.4</v>
      </c>
      <c r="B4364">
        <v>5092478</v>
      </c>
      <c r="C4364" t="s">
        <v>8783</v>
      </c>
      <c r="D4364" t="s">
        <v>8784</v>
      </c>
      <c r="E4364" s="2">
        <v>41513</v>
      </c>
      <c r="F4364" t="str">
        <f>"9781780843407"</f>
        <v>9781780843407</v>
      </c>
      <c r="G4364" t="str">
        <f>"9781780843414"</f>
        <v>9781780843414</v>
      </c>
      <c r="H4364" t="s">
        <v>77</v>
      </c>
      <c r="I4364">
        <v>616.83299999999895</v>
      </c>
      <c r="J4364" t="s">
        <v>8785</v>
      </c>
      <c r="K4364" t="s">
        <v>44</v>
      </c>
      <c r="N4364" t="s">
        <v>45</v>
      </c>
      <c r="O4364" t="s">
        <v>46</v>
      </c>
      <c r="P4364" t="s">
        <v>45</v>
      </c>
      <c r="Q4364" t="s">
        <v>47</v>
      </c>
      <c r="R4364" t="s">
        <v>44</v>
      </c>
      <c r="S4364">
        <v>0</v>
      </c>
      <c r="W4364" s="3">
        <v>7.4189814814814813E-3</v>
      </c>
      <c r="X4364" t="s">
        <v>8944</v>
      </c>
      <c r="Y4364">
        <v>12</v>
      </c>
      <c r="Z4364">
        <v>0</v>
      </c>
      <c r="AA4364" t="s">
        <v>49</v>
      </c>
      <c r="AB4364">
        <v>0</v>
      </c>
      <c r="AC4364" t="s">
        <v>4176</v>
      </c>
      <c r="AD4364">
        <v>1</v>
      </c>
      <c r="AE4364">
        <v>11451926</v>
      </c>
      <c r="AF4364" t="s">
        <v>50</v>
      </c>
      <c r="AG4364" t="s">
        <v>8332</v>
      </c>
    </row>
    <row r="4365" spans="1:33" x14ac:dyDescent="0.35">
      <c r="A4365" s="1">
        <v>44608.386111111111</v>
      </c>
      <c r="B4365">
        <v>284778</v>
      </c>
      <c r="C4365" t="s">
        <v>7807</v>
      </c>
      <c r="D4365" t="s">
        <v>7808</v>
      </c>
      <c r="E4365" s="2">
        <v>38353</v>
      </c>
      <c r="F4365" t="str">
        <f>"9781280268670"</f>
        <v>9781280268670</v>
      </c>
      <c r="G4365" t="str">
        <f>"9789289013772"</f>
        <v>9789289013772</v>
      </c>
      <c r="H4365" t="s">
        <v>525</v>
      </c>
      <c r="I4365">
        <v>362.20940000000002</v>
      </c>
      <c r="J4365" t="s">
        <v>7809</v>
      </c>
      <c r="K4365" t="s">
        <v>44</v>
      </c>
      <c r="N4365" t="s">
        <v>45</v>
      </c>
      <c r="O4365" t="s">
        <v>46</v>
      </c>
      <c r="P4365" t="s">
        <v>45</v>
      </c>
      <c r="Q4365" t="s">
        <v>47</v>
      </c>
      <c r="R4365" t="s">
        <v>44</v>
      </c>
      <c r="S4365">
        <v>0</v>
      </c>
      <c r="W4365" s="3">
        <v>1.0335648148148148E-2</v>
      </c>
      <c r="X4365" t="s">
        <v>8945</v>
      </c>
      <c r="Y4365">
        <v>6</v>
      </c>
      <c r="Z4365">
        <v>0</v>
      </c>
      <c r="AA4365" t="s">
        <v>49</v>
      </c>
      <c r="AB4365">
        <v>0</v>
      </c>
      <c r="AC4365" t="s">
        <v>49</v>
      </c>
      <c r="AD4365">
        <v>0</v>
      </c>
      <c r="AE4365">
        <v>10104339</v>
      </c>
      <c r="AF4365" t="s">
        <v>50</v>
      </c>
      <c r="AG4365" t="s">
        <v>835</v>
      </c>
    </row>
    <row r="4366" spans="1:33" x14ac:dyDescent="0.35">
      <c r="A4366" s="1">
        <v>44608.379166666666</v>
      </c>
      <c r="B4366">
        <v>1120773</v>
      </c>
      <c r="C4366" t="s">
        <v>8937</v>
      </c>
      <c r="D4366" t="s">
        <v>59</v>
      </c>
      <c r="E4366" s="2">
        <v>41365</v>
      </c>
      <c r="F4366" t="str">
        <f>"9783527650347"</f>
        <v>9783527650347</v>
      </c>
      <c r="G4366" t="str">
        <f>"9783527327621"</f>
        <v>9783527327621</v>
      </c>
      <c r="H4366" t="s">
        <v>1112</v>
      </c>
      <c r="I4366">
        <v>660.28429800000004</v>
      </c>
      <c r="J4366" t="s">
        <v>8938</v>
      </c>
      <c r="K4366" t="s">
        <v>44</v>
      </c>
      <c r="N4366" t="s">
        <v>45</v>
      </c>
      <c r="O4366" t="s">
        <v>46</v>
      </c>
      <c r="P4366" t="s">
        <v>45</v>
      </c>
      <c r="Q4366" t="s">
        <v>47</v>
      </c>
      <c r="R4366" t="s">
        <v>44</v>
      </c>
      <c r="S4366">
        <v>0</v>
      </c>
      <c r="W4366" s="3">
        <v>6.5393518518518517E-3</v>
      </c>
      <c r="X4366" t="s">
        <v>8946</v>
      </c>
      <c r="Y4366">
        <v>3</v>
      </c>
      <c r="Z4366">
        <v>0</v>
      </c>
      <c r="AA4366" t="s">
        <v>49</v>
      </c>
      <c r="AB4366">
        <v>0</v>
      </c>
      <c r="AC4366" t="s">
        <v>49</v>
      </c>
      <c r="AD4366">
        <v>0</v>
      </c>
      <c r="AE4366">
        <v>10657629</v>
      </c>
      <c r="AF4366" t="s">
        <v>50</v>
      </c>
      <c r="AG4366" t="s">
        <v>8332</v>
      </c>
    </row>
    <row r="4367" spans="1:33" x14ac:dyDescent="0.35">
      <c r="A4367" s="1">
        <v>44608.350694444445</v>
      </c>
      <c r="B4367">
        <v>882731</v>
      </c>
      <c r="C4367" t="s">
        <v>8947</v>
      </c>
      <c r="D4367" t="s">
        <v>59</v>
      </c>
      <c r="E4367" s="2">
        <v>40973</v>
      </c>
      <c r="F4367" t="str">
        <f>"9781444355857"</f>
        <v>9781444355857</v>
      </c>
      <c r="G4367" t="str">
        <f>"9781444332872"</f>
        <v>9781444332872</v>
      </c>
      <c r="H4367" t="s">
        <v>8948</v>
      </c>
      <c r="I4367">
        <v>175</v>
      </c>
      <c r="J4367" t="s">
        <v>8949</v>
      </c>
      <c r="K4367" t="s">
        <v>44</v>
      </c>
      <c r="N4367" t="s">
        <v>45</v>
      </c>
      <c r="O4367" t="s">
        <v>46</v>
      </c>
      <c r="P4367" t="s">
        <v>45</v>
      </c>
      <c r="Q4367" t="s">
        <v>47</v>
      </c>
      <c r="R4367" t="s">
        <v>44</v>
      </c>
      <c r="S4367">
        <v>0</v>
      </c>
      <c r="W4367" s="3">
        <v>1.1574074074074073E-4</v>
      </c>
      <c r="X4367" t="s">
        <v>121</v>
      </c>
      <c r="Y4367">
        <v>1</v>
      </c>
      <c r="Z4367">
        <v>0</v>
      </c>
      <c r="AA4367" t="s">
        <v>49</v>
      </c>
      <c r="AB4367">
        <v>0</v>
      </c>
      <c r="AC4367" t="s">
        <v>49</v>
      </c>
      <c r="AD4367">
        <v>0</v>
      </c>
      <c r="AE4367">
        <v>10630487</v>
      </c>
      <c r="AF4367" t="s">
        <v>50</v>
      </c>
      <c r="AG4367" t="s">
        <v>3095</v>
      </c>
    </row>
    <row r="4368" spans="1:33" x14ac:dyDescent="0.35">
      <c r="A4368" s="1">
        <v>44607.950694444444</v>
      </c>
      <c r="B4368">
        <v>1120773</v>
      </c>
      <c r="C4368" t="s">
        <v>8937</v>
      </c>
      <c r="D4368" t="s">
        <v>59</v>
      </c>
      <c r="E4368" s="2">
        <v>41365</v>
      </c>
      <c r="F4368" t="str">
        <f>"9783527650347"</f>
        <v>9783527650347</v>
      </c>
      <c r="G4368" t="str">
        <f>"9783527327621"</f>
        <v>9783527327621</v>
      </c>
      <c r="H4368" t="s">
        <v>1112</v>
      </c>
      <c r="I4368">
        <v>660.28429800000004</v>
      </c>
      <c r="J4368" t="s">
        <v>8938</v>
      </c>
      <c r="K4368" t="s">
        <v>44</v>
      </c>
      <c r="N4368" t="s">
        <v>45</v>
      </c>
      <c r="O4368" t="s">
        <v>46</v>
      </c>
      <c r="P4368" t="s">
        <v>45</v>
      </c>
      <c r="Q4368" t="s">
        <v>47</v>
      </c>
      <c r="R4368" t="s">
        <v>44</v>
      </c>
      <c r="S4368">
        <v>2</v>
      </c>
      <c r="W4368" s="3">
        <v>4.2349537037037033E-2</v>
      </c>
      <c r="X4368" t="s">
        <v>8950</v>
      </c>
      <c r="Y4368">
        <v>35</v>
      </c>
      <c r="Z4368">
        <v>0</v>
      </c>
      <c r="AA4368" t="s">
        <v>49</v>
      </c>
      <c r="AB4368">
        <v>0</v>
      </c>
      <c r="AC4368" t="s">
        <v>8951</v>
      </c>
      <c r="AD4368">
        <v>3</v>
      </c>
      <c r="AE4368">
        <v>10657629</v>
      </c>
      <c r="AF4368" t="s">
        <v>63</v>
      </c>
      <c r="AG4368" t="s">
        <v>8332</v>
      </c>
    </row>
    <row r="4369" spans="1:33" x14ac:dyDescent="0.35">
      <c r="A4369" s="1">
        <v>44607.938888888886</v>
      </c>
      <c r="B4369">
        <v>1120773</v>
      </c>
      <c r="C4369" t="s">
        <v>8937</v>
      </c>
      <c r="D4369" t="s">
        <v>59</v>
      </c>
      <c r="E4369" s="2">
        <v>41365</v>
      </c>
      <c r="F4369" t="str">
        <f>"9783527650347"</f>
        <v>9783527650347</v>
      </c>
      <c r="G4369" t="str">
        <f>"9783527327621"</f>
        <v>9783527327621</v>
      </c>
      <c r="H4369" t="s">
        <v>1112</v>
      </c>
      <c r="I4369">
        <v>660.28429800000004</v>
      </c>
      <c r="J4369" t="s">
        <v>8938</v>
      </c>
      <c r="K4369" t="s">
        <v>44</v>
      </c>
      <c r="N4369" t="s">
        <v>45</v>
      </c>
      <c r="O4369" t="s">
        <v>46</v>
      </c>
      <c r="P4369" t="s">
        <v>45</v>
      </c>
      <c r="Q4369" t="s">
        <v>47</v>
      </c>
      <c r="R4369" t="s">
        <v>44</v>
      </c>
      <c r="S4369">
        <v>0</v>
      </c>
      <c r="W4369" s="3">
        <v>9.0046296296296298E-3</v>
      </c>
      <c r="X4369" t="s">
        <v>8952</v>
      </c>
      <c r="Y4369">
        <v>19</v>
      </c>
      <c r="Z4369">
        <v>0</v>
      </c>
      <c r="AA4369" t="s">
        <v>49</v>
      </c>
      <c r="AB4369">
        <v>0</v>
      </c>
      <c r="AC4369" t="s">
        <v>49</v>
      </c>
      <c r="AD4369">
        <v>0</v>
      </c>
      <c r="AE4369">
        <v>10657629</v>
      </c>
      <c r="AF4369" t="s">
        <v>50</v>
      </c>
      <c r="AG4369" t="s">
        <v>8332</v>
      </c>
    </row>
    <row r="4370" spans="1:33" x14ac:dyDescent="0.35">
      <c r="A4370" s="1">
        <v>44607.930555555555</v>
      </c>
      <c r="B4370">
        <v>5796941</v>
      </c>
      <c r="C4370" t="s">
        <v>7395</v>
      </c>
      <c r="D4370" t="s">
        <v>844</v>
      </c>
      <c r="E4370" s="2">
        <v>43656</v>
      </c>
      <c r="F4370" t="str">
        <f>"9781787566811"</f>
        <v>9781787566811</v>
      </c>
      <c r="G4370" t="str">
        <f>"9781787566804"</f>
        <v>9781787566804</v>
      </c>
      <c r="H4370" t="s">
        <v>900</v>
      </c>
      <c r="I4370">
        <v>337.51056</v>
      </c>
      <c r="J4370" t="s">
        <v>1794</v>
      </c>
      <c r="K4370" t="s">
        <v>44</v>
      </c>
      <c r="N4370" t="s">
        <v>45</v>
      </c>
      <c r="O4370" t="s">
        <v>46</v>
      </c>
      <c r="P4370" t="s">
        <v>45</v>
      </c>
      <c r="Q4370" t="s">
        <v>47</v>
      </c>
      <c r="R4370" t="s">
        <v>44</v>
      </c>
      <c r="S4370">
        <v>0</v>
      </c>
      <c r="W4370" s="3">
        <v>3.4953703703703705E-3</v>
      </c>
      <c r="X4370" t="s">
        <v>8953</v>
      </c>
      <c r="Y4370">
        <v>9</v>
      </c>
      <c r="Z4370">
        <v>0</v>
      </c>
      <c r="AA4370" t="s">
        <v>49</v>
      </c>
      <c r="AB4370">
        <v>0</v>
      </c>
      <c r="AC4370" t="s">
        <v>49</v>
      </c>
      <c r="AD4370">
        <v>0</v>
      </c>
      <c r="AE4370">
        <v>-1</v>
      </c>
      <c r="AF4370" t="s">
        <v>50</v>
      </c>
      <c r="AG4370" t="s">
        <v>8332</v>
      </c>
    </row>
    <row r="4371" spans="1:33" x14ac:dyDescent="0.35">
      <c r="A4371" s="1">
        <v>44607.92083333333</v>
      </c>
      <c r="B4371">
        <v>5796941</v>
      </c>
      <c r="C4371" t="s">
        <v>7395</v>
      </c>
      <c r="D4371" t="s">
        <v>844</v>
      </c>
      <c r="E4371" s="2">
        <v>43656</v>
      </c>
      <c r="F4371" t="str">
        <f>"9781787566811"</f>
        <v>9781787566811</v>
      </c>
      <c r="G4371" t="str">
        <f>"9781787566804"</f>
        <v>9781787566804</v>
      </c>
      <c r="H4371" t="s">
        <v>900</v>
      </c>
      <c r="I4371">
        <v>337.51056</v>
      </c>
      <c r="J4371" t="s">
        <v>1794</v>
      </c>
      <c r="K4371" t="s">
        <v>44</v>
      </c>
      <c r="N4371" t="s">
        <v>45</v>
      </c>
      <c r="O4371" t="s">
        <v>46</v>
      </c>
      <c r="P4371" t="s">
        <v>45</v>
      </c>
      <c r="Q4371" t="s">
        <v>47</v>
      </c>
      <c r="R4371" t="s">
        <v>44</v>
      </c>
      <c r="S4371">
        <v>0</v>
      </c>
      <c r="W4371" s="3">
        <v>6.9444444444444444E-5</v>
      </c>
      <c r="X4371" t="s">
        <v>196</v>
      </c>
      <c r="Y4371">
        <v>2</v>
      </c>
      <c r="Z4371">
        <v>0</v>
      </c>
      <c r="AA4371" t="s">
        <v>49</v>
      </c>
      <c r="AB4371">
        <v>0</v>
      </c>
      <c r="AC4371" t="s">
        <v>49</v>
      </c>
      <c r="AD4371">
        <v>0</v>
      </c>
      <c r="AE4371">
        <v>-1</v>
      </c>
      <c r="AF4371" t="s">
        <v>50</v>
      </c>
      <c r="AG4371" t="s">
        <v>8576</v>
      </c>
    </row>
    <row r="4372" spans="1:33" x14ac:dyDescent="0.35">
      <c r="A4372" s="1">
        <v>44607.901388888888</v>
      </c>
      <c r="B4372">
        <v>1120773</v>
      </c>
      <c r="C4372" t="s">
        <v>8937</v>
      </c>
      <c r="D4372" t="s">
        <v>59</v>
      </c>
      <c r="E4372" s="2">
        <v>41365</v>
      </c>
      <c r="F4372" t="str">
        <f>"9783527650347"</f>
        <v>9783527650347</v>
      </c>
      <c r="G4372" t="str">
        <f>"9783527327621"</f>
        <v>9783527327621</v>
      </c>
      <c r="H4372" t="s">
        <v>1112</v>
      </c>
      <c r="I4372">
        <v>660.28429800000004</v>
      </c>
      <c r="J4372" t="s">
        <v>8938</v>
      </c>
      <c r="K4372" t="s">
        <v>44</v>
      </c>
      <c r="N4372" t="s">
        <v>45</v>
      </c>
      <c r="O4372" t="s">
        <v>46</v>
      </c>
      <c r="P4372" t="s">
        <v>45</v>
      </c>
      <c r="Q4372" t="s">
        <v>47</v>
      </c>
      <c r="R4372" t="s">
        <v>44</v>
      </c>
      <c r="S4372">
        <v>0</v>
      </c>
      <c r="W4372" s="3">
        <v>8.1018518518518516E-5</v>
      </c>
      <c r="X4372" t="s">
        <v>121</v>
      </c>
      <c r="Y4372">
        <v>1</v>
      </c>
      <c r="Z4372">
        <v>0</v>
      </c>
      <c r="AA4372" t="s">
        <v>49</v>
      </c>
      <c r="AB4372">
        <v>0</v>
      </c>
      <c r="AC4372" t="s">
        <v>49</v>
      </c>
      <c r="AD4372">
        <v>0</v>
      </c>
      <c r="AE4372">
        <v>10657629</v>
      </c>
      <c r="AF4372" t="s">
        <v>50</v>
      </c>
      <c r="AG4372" t="s">
        <v>8332</v>
      </c>
    </row>
    <row r="4373" spans="1:33" x14ac:dyDescent="0.35">
      <c r="A4373" s="1">
        <v>44607.795138888891</v>
      </c>
      <c r="B4373">
        <v>5796941</v>
      </c>
      <c r="C4373" t="s">
        <v>7395</v>
      </c>
      <c r="D4373" t="s">
        <v>844</v>
      </c>
      <c r="E4373" s="2">
        <v>43656</v>
      </c>
      <c r="F4373" t="str">
        <f>"9781787566811"</f>
        <v>9781787566811</v>
      </c>
      <c r="G4373" t="str">
        <f>"9781787566804"</f>
        <v>9781787566804</v>
      </c>
      <c r="H4373" t="s">
        <v>900</v>
      </c>
      <c r="I4373">
        <v>337.51056</v>
      </c>
      <c r="J4373" t="s">
        <v>1794</v>
      </c>
      <c r="K4373" t="s">
        <v>44</v>
      </c>
      <c r="N4373" t="s">
        <v>45</v>
      </c>
      <c r="O4373" t="s">
        <v>46</v>
      </c>
      <c r="P4373" t="s">
        <v>45</v>
      </c>
      <c r="Q4373" t="s">
        <v>47</v>
      </c>
      <c r="R4373" t="s">
        <v>44</v>
      </c>
      <c r="S4373">
        <v>0</v>
      </c>
      <c r="W4373" s="3">
        <v>1.3888888888888889E-4</v>
      </c>
      <c r="X4373" t="s">
        <v>8604</v>
      </c>
      <c r="Y4373">
        <v>3</v>
      </c>
      <c r="Z4373">
        <v>0</v>
      </c>
      <c r="AA4373" t="s">
        <v>49</v>
      </c>
      <c r="AB4373">
        <v>0</v>
      </c>
      <c r="AC4373" t="s">
        <v>49</v>
      </c>
      <c r="AD4373">
        <v>0</v>
      </c>
      <c r="AE4373">
        <v>-1</v>
      </c>
      <c r="AF4373" t="s">
        <v>50</v>
      </c>
      <c r="AG4373" t="s">
        <v>8576</v>
      </c>
    </row>
    <row r="4374" spans="1:33" x14ac:dyDescent="0.35">
      <c r="A4374" s="1">
        <v>44607.695833333331</v>
      </c>
      <c r="B4374">
        <v>3339142</v>
      </c>
      <c r="C4374" t="s">
        <v>7658</v>
      </c>
      <c r="D4374" t="s">
        <v>303</v>
      </c>
      <c r="E4374" s="2">
        <v>40025</v>
      </c>
      <c r="F4374" t="str">
        <f>"9780262270830"</f>
        <v>9780262270830</v>
      </c>
      <c r="G4374" t="str">
        <f>"9780262033848"</f>
        <v>9780262033848</v>
      </c>
      <c r="H4374" t="s">
        <v>138</v>
      </c>
      <c r="I4374">
        <v>5.0999999999999996</v>
      </c>
      <c r="J4374" t="s">
        <v>7659</v>
      </c>
      <c r="K4374" t="s">
        <v>44</v>
      </c>
      <c r="N4374" t="s">
        <v>45</v>
      </c>
      <c r="O4374" t="s">
        <v>46</v>
      </c>
      <c r="P4374" t="s">
        <v>45</v>
      </c>
      <c r="Q4374" t="s">
        <v>47</v>
      </c>
      <c r="R4374" t="s">
        <v>44</v>
      </c>
      <c r="S4374">
        <v>0</v>
      </c>
      <c r="W4374" s="3">
        <v>4.1666666666666666E-3</v>
      </c>
      <c r="X4374" t="s">
        <v>8954</v>
      </c>
      <c r="Y4374">
        <v>10</v>
      </c>
      <c r="Z4374">
        <v>0</v>
      </c>
      <c r="AA4374" t="s">
        <v>49</v>
      </c>
      <c r="AB4374">
        <v>0</v>
      </c>
      <c r="AC4374" t="s">
        <v>49</v>
      </c>
      <c r="AD4374">
        <v>0</v>
      </c>
      <c r="AE4374">
        <v>10397652</v>
      </c>
      <c r="AF4374" t="s">
        <v>50</v>
      </c>
      <c r="AG4374" t="s">
        <v>8908</v>
      </c>
    </row>
    <row r="4375" spans="1:33" x14ac:dyDescent="0.35">
      <c r="A4375" s="1">
        <v>44607.59097222222</v>
      </c>
      <c r="B4375">
        <v>294338</v>
      </c>
      <c r="C4375" t="s">
        <v>7595</v>
      </c>
      <c r="D4375" t="s">
        <v>65</v>
      </c>
      <c r="E4375" s="2">
        <v>38999</v>
      </c>
      <c r="F4375" t="str">
        <f>"9780080480589"</f>
        <v>9780080480589</v>
      </c>
      <c r="G4375" t="str">
        <f>"9781493300723"</f>
        <v>9781493300723</v>
      </c>
      <c r="H4375" t="s">
        <v>6985</v>
      </c>
      <c r="I4375">
        <v>621.36779999999999</v>
      </c>
      <c r="J4375" t="s">
        <v>7596</v>
      </c>
      <c r="K4375" t="s">
        <v>44</v>
      </c>
      <c r="N4375" t="s">
        <v>45</v>
      </c>
      <c r="O4375" t="s">
        <v>46</v>
      </c>
      <c r="P4375" t="s">
        <v>45</v>
      </c>
      <c r="Q4375" t="s">
        <v>47</v>
      </c>
      <c r="R4375" t="s">
        <v>44</v>
      </c>
      <c r="S4375">
        <v>0</v>
      </c>
      <c r="W4375" s="3">
        <v>1.3888888888888889E-4</v>
      </c>
      <c r="X4375" t="s">
        <v>121</v>
      </c>
      <c r="Y4375">
        <v>1</v>
      </c>
      <c r="Z4375">
        <v>0</v>
      </c>
      <c r="AA4375" t="s">
        <v>49</v>
      </c>
      <c r="AB4375">
        <v>0</v>
      </c>
      <c r="AC4375" t="s">
        <v>49</v>
      </c>
      <c r="AD4375">
        <v>0</v>
      </c>
      <c r="AE4375">
        <v>10186058</v>
      </c>
      <c r="AF4375" t="s">
        <v>50</v>
      </c>
      <c r="AG4375" t="s">
        <v>8332</v>
      </c>
    </row>
    <row r="4376" spans="1:33" x14ac:dyDescent="0.35">
      <c r="A4376" s="1">
        <v>44607.583333333336</v>
      </c>
      <c r="B4376">
        <v>1480377</v>
      </c>
      <c r="C4376" t="s">
        <v>8955</v>
      </c>
      <c r="D4376" t="s">
        <v>76</v>
      </c>
      <c r="E4376" s="2">
        <v>41604</v>
      </c>
      <c r="F4376" t="str">
        <f>"9781439871799"</f>
        <v>9781439871799</v>
      </c>
      <c r="G4376" t="str">
        <f>"9781439871782"</f>
        <v>9781439871782</v>
      </c>
      <c r="H4376" t="s">
        <v>214</v>
      </c>
      <c r="I4376">
        <v>541.33000000000004</v>
      </c>
      <c r="J4376" t="s">
        <v>8956</v>
      </c>
      <c r="K4376" t="s">
        <v>55</v>
      </c>
      <c r="P4376" t="s">
        <v>97</v>
      </c>
      <c r="Q4376" t="s">
        <v>47</v>
      </c>
      <c r="R4376" t="s">
        <v>44</v>
      </c>
      <c r="S4376">
        <v>0</v>
      </c>
      <c r="W4376" s="3">
        <v>1.0995370370370371E-3</v>
      </c>
      <c r="X4376" t="s">
        <v>8957</v>
      </c>
      <c r="Y4376">
        <v>24</v>
      </c>
      <c r="Z4376">
        <v>0</v>
      </c>
      <c r="AA4376" t="s">
        <v>49</v>
      </c>
      <c r="AB4376">
        <v>0</v>
      </c>
      <c r="AC4376" t="s">
        <v>49</v>
      </c>
      <c r="AD4376">
        <v>0</v>
      </c>
      <c r="AE4376">
        <v>10821673</v>
      </c>
      <c r="AF4376" t="s">
        <v>63</v>
      </c>
      <c r="AG4376" t="s">
        <v>8332</v>
      </c>
    </row>
    <row r="4377" spans="1:33" x14ac:dyDescent="0.35">
      <c r="A4377" s="1">
        <v>44607.581944444442</v>
      </c>
      <c r="B4377">
        <v>313592</v>
      </c>
      <c r="C4377" t="s">
        <v>8605</v>
      </c>
      <c r="D4377" t="s">
        <v>65</v>
      </c>
      <c r="E4377" s="2">
        <v>39336</v>
      </c>
      <c r="F4377" t="str">
        <f>"9780080551913"</f>
        <v>9780080551913</v>
      </c>
      <c r="G4377" t="str">
        <f>"9780444528377"</f>
        <v>9780444528377</v>
      </c>
      <c r="H4377" t="s">
        <v>214</v>
      </c>
      <c r="I4377">
        <v>541.2242</v>
      </c>
      <c r="J4377" t="s">
        <v>8606</v>
      </c>
      <c r="K4377" t="s">
        <v>44</v>
      </c>
      <c r="N4377" t="s">
        <v>45</v>
      </c>
      <c r="O4377" t="s">
        <v>46</v>
      </c>
      <c r="P4377" t="s">
        <v>45</v>
      </c>
      <c r="Q4377" t="s">
        <v>47</v>
      </c>
      <c r="R4377" t="s">
        <v>44</v>
      </c>
      <c r="S4377">
        <v>0</v>
      </c>
      <c r="W4377" s="3">
        <v>7.407407407407407E-4</v>
      </c>
      <c r="X4377" t="s">
        <v>8958</v>
      </c>
      <c r="Y4377">
        <v>14</v>
      </c>
      <c r="Z4377">
        <v>0</v>
      </c>
      <c r="AA4377" t="s">
        <v>49</v>
      </c>
      <c r="AB4377">
        <v>0</v>
      </c>
      <c r="AC4377" t="s">
        <v>49</v>
      </c>
      <c r="AD4377">
        <v>0</v>
      </c>
      <c r="AE4377">
        <v>10190879</v>
      </c>
      <c r="AF4377" t="s">
        <v>63</v>
      </c>
      <c r="AG4377" t="s">
        <v>8332</v>
      </c>
    </row>
    <row r="4378" spans="1:33" x14ac:dyDescent="0.35">
      <c r="A4378" s="1">
        <v>44607.544444444444</v>
      </c>
      <c r="B4378">
        <v>294338</v>
      </c>
      <c r="C4378" t="s">
        <v>7595</v>
      </c>
      <c r="D4378" t="s">
        <v>65</v>
      </c>
      <c r="E4378" s="2">
        <v>38999</v>
      </c>
      <c r="F4378" t="str">
        <f>"9780080480589"</f>
        <v>9780080480589</v>
      </c>
      <c r="G4378" t="str">
        <f>"9781493300723"</f>
        <v>9781493300723</v>
      </c>
      <c r="H4378" t="s">
        <v>6985</v>
      </c>
      <c r="I4378">
        <v>621.36779999999999</v>
      </c>
      <c r="J4378" t="s">
        <v>7596</v>
      </c>
      <c r="K4378" t="s">
        <v>44</v>
      </c>
      <c r="N4378" t="s">
        <v>45</v>
      </c>
      <c r="O4378" t="s">
        <v>46</v>
      </c>
      <c r="P4378" t="s">
        <v>45</v>
      </c>
      <c r="Q4378" t="s">
        <v>47</v>
      </c>
      <c r="R4378" t="s">
        <v>44</v>
      </c>
      <c r="S4378">
        <v>0</v>
      </c>
      <c r="W4378" s="3">
        <v>1.0416666666666667E-4</v>
      </c>
      <c r="X4378" t="s">
        <v>8959</v>
      </c>
      <c r="Y4378">
        <v>3</v>
      </c>
      <c r="Z4378">
        <v>0</v>
      </c>
      <c r="AA4378" t="s">
        <v>49</v>
      </c>
      <c r="AB4378">
        <v>0</v>
      </c>
      <c r="AC4378" t="s">
        <v>49</v>
      </c>
      <c r="AD4378">
        <v>0</v>
      </c>
      <c r="AE4378">
        <v>10186058</v>
      </c>
      <c r="AF4378" t="s">
        <v>50</v>
      </c>
      <c r="AG4378" t="s">
        <v>8332</v>
      </c>
    </row>
    <row r="4379" spans="1:33" x14ac:dyDescent="0.35">
      <c r="A4379" s="1">
        <v>44607.492361111108</v>
      </c>
      <c r="B4379">
        <v>294338</v>
      </c>
      <c r="C4379" t="s">
        <v>7595</v>
      </c>
      <c r="D4379" t="s">
        <v>65</v>
      </c>
      <c r="E4379" s="2">
        <v>38999</v>
      </c>
      <c r="F4379" t="str">
        <f>"9780080480589"</f>
        <v>9780080480589</v>
      </c>
      <c r="G4379" t="str">
        <f>"9781493300723"</f>
        <v>9781493300723</v>
      </c>
      <c r="H4379" t="s">
        <v>6985</v>
      </c>
      <c r="I4379">
        <v>621.36779999999999</v>
      </c>
      <c r="J4379" t="s">
        <v>7596</v>
      </c>
      <c r="K4379" t="s">
        <v>44</v>
      </c>
      <c r="N4379" t="s">
        <v>45</v>
      </c>
      <c r="O4379" t="s">
        <v>46</v>
      </c>
      <c r="P4379" t="s">
        <v>45</v>
      </c>
      <c r="Q4379" t="s">
        <v>47</v>
      </c>
      <c r="R4379" t="s">
        <v>44</v>
      </c>
      <c r="S4379">
        <v>0</v>
      </c>
      <c r="W4379" s="3">
        <v>3.4953703703703705E-3</v>
      </c>
      <c r="X4379" t="s">
        <v>8960</v>
      </c>
      <c r="Y4379">
        <v>30</v>
      </c>
      <c r="Z4379">
        <v>1</v>
      </c>
      <c r="AA4379" t="s">
        <v>8961</v>
      </c>
      <c r="AB4379">
        <v>52</v>
      </c>
      <c r="AC4379" t="s">
        <v>4680</v>
      </c>
      <c r="AD4379">
        <v>1</v>
      </c>
      <c r="AE4379">
        <v>10186058</v>
      </c>
      <c r="AF4379" t="s">
        <v>50</v>
      </c>
      <c r="AG4379" t="s">
        <v>8332</v>
      </c>
    </row>
    <row r="4380" spans="1:33" x14ac:dyDescent="0.35">
      <c r="A4380" s="1">
        <v>44607.456944444442</v>
      </c>
      <c r="B4380">
        <v>661781</v>
      </c>
      <c r="C4380" t="s">
        <v>8671</v>
      </c>
      <c r="D4380" t="s">
        <v>59</v>
      </c>
      <c r="E4380" s="2">
        <v>40623</v>
      </c>
      <c r="F4380" t="str">
        <f>"9780470684337"</f>
        <v>9780470684337</v>
      </c>
      <c r="G4380" t="str">
        <f>"9780470741887"</f>
        <v>9780470741887</v>
      </c>
      <c r="H4380" t="s">
        <v>811</v>
      </c>
      <c r="I4380" t="s">
        <v>8672</v>
      </c>
      <c r="J4380" t="s">
        <v>8673</v>
      </c>
      <c r="K4380" t="s">
        <v>44</v>
      </c>
      <c r="N4380" t="s">
        <v>45</v>
      </c>
      <c r="O4380" t="s">
        <v>46</v>
      </c>
      <c r="P4380" t="s">
        <v>45</v>
      </c>
      <c r="Q4380" t="s">
        <v>47</v>
      </c>
      <c r="R4380" t="s">
        <v>44</v>
      </c>
      <c r="S4380">
        <v>0</v>
      </c>
      <c r="W4380" s="3">
        <v>7.3726851851851861E-3</v>
      </c>
      <c r="X4380" t="s">
        <v>8962</v>
      </c>
      <c r="Y4380">
        <v>18</v>
      </c>
      <c r="Z4380">
        <v>0</v>
      </c>
      <c r="AA4380" t="s">
        <v>49</v>
      </c>
      <c r="AB4380">
        <v>0</v>
      </c>
      <c r="AC4380" t="s">
        <v>49</v>
      </c>
      <c r="AD4380">
        <v>0</v>
      </c>
      <c r="AE4380">
        <v>10510618</v>
      </c>
      <c r="AF4380" t="s">
        <v>50</v>
      </c>
      <c r="AG4380" t="s">
        <v>8576</v>
      </c>
    </row>
    <row r="4381" spans="1:33" x14ac:dyDescent="0.35">
      <c r="A4381" s="1">
        <v>44607.354861111111</v>
      </c>
      <c r="B4381">
        <v>313592</v>
      </c>
      <c r="C4381" t="s">
        <v>8605</v>
      </c>
      <c r="D4381" t="s">
        <v>65</v>
      </c>
      <c r="E4381" s="2">
        <v>39336</v>
      </c>
      <c r="F4381" t="str">
        <f>"9780080551913"</f>
        <v>9780080551913</v>
      </c>
      <c r="G4381" t="str">
        <f>"9780444528377"</f>
        <v>9780444528377</v>
      </c>
      <c r="H4381" t="s">
        <v>214</v>
      </c>
      <c r="I4381">
        <v>541.2242</v>
      </c>
      <c r="J4381" t="s">
        <v>8606</v>
      </c>
      <c r="K4381" t="s">
        <v>44</v>
      </c>
      <c r="N4381" t="s">
        <v>45</v>
      </c>
      <c r="O4381" t="s">
        <v>46</v>
      </c>
      <c r="P4381" t="s">
        <v>45</v>
      </c>
      <c r="Q4381" t="s">
        <v>47</v>
      </c>
      <c r="R4381" t="s">
        <v>44</v>
      </c>
      <c r="S4381">
        <v>1</v>
      </c>
      <c r="W4381" s="3">
        <v>0</v>
      </c>
      <c r="X4381" t="s">
        <v>49</v>
      </c>
      <c r="Y4381">
        <v>0</v>
      </c>
      <c r="Z4381">
        <v>8</v>
      </c>
      <c r="AA4381" t="s">
        <v>8963</v>
      </c>
      <c r="AB4381">
        <v>103</v>
      </c>
      <c r="AC4381" t="s">
        <v>49</v>
      </c>
      <c r="AD4381">
        <v>0</v>
      </c>
      <c r="AE4381">
        <v>10190879</v>
      </c>
      <c r="AF4381" t="s">
        <v>63</v>
      </c>
      <c r="AG4381" t="s">
        <v>8710</v>
      </c>
    </row>
    <row r="4382" spans="1:33" x14ac:dyDescent="0.35">
      <c r="A4382" s="1">
        <v>44607.352083333331</v>
      </c>
      <c r="B4382">
        <v>313592</v>
      </c>
      <c r="C4382" t="s">
        <v>8605</v>
      </c>
      <c r="D4382" t="s">
        <v>65</v>
      </c>
      <c r="E4382" s="2">
        <v>39336</v>
      </c>
      <c r="F4382" t="str">
        <f>"9780080551913"</f>
        <v>9780080551913</v>
      </c>
      <c r="G4382" t="str">
        <f>"9780444528377"</f>
        <v>9780444528377</v>
      </c>
      <c r="H4382" t="s">
        <v>214</v>
      </c>
      <c r="I4382">
        <v>541.2242</v>
      </c>
      <c r="J4382" t="s">
        <v>8606</v>
      </c>
      <c r="K4382" t="s">
        <v>44</v>
      </c>
      <c r="N4382" t="s">
        <v>45</v>
      </c>
      <c r="O4382" t="s">
        <v>46</v>
      </c>
      <c r="P4382" t="s">
        <v>45</v>
      </c>
      <c r="Q4382" t="s">
        <v>47</v>
      </c>
      <c r="R4382" t="s">
        <v>44</v>
      </c>
      <c r="S4382">
        <v>1</v>
      </c>
      <c r="W4382" s="3">
        <v>9.9652777777777778E-3</v>
      </c>
      <c r="X4382" t="s">
        <v>8964</v>
      </c>
      <c r="Y4382">
        <v>14</v>
      </c>
      <c r="Z4382">
        <v>2</v>
      </c>
      <c r="AA4382" t="s">
        <v>8965</v>
      </c>
      <c r="AB4382">
        <v>58</v>
      </c>
      <c r="AC4382" t="s">
        <v>49</v>
      </c>
      <c r="AD4382">
        <v>0</v>
      </c>
      <c r="AE4382">
        <v>10190879</v>
      </c>
      <c r="AF4382" t="s">
        <v>63</v>
      </c>
      <c r="AG4382" t="s">
        <v>8710</v>
      </c>
    </row>
    <row r="4383" spans="1:33" x14ac:dyDescent="0.35">
      <c r="A4383" s="1">
        <v>44607.350694444445</v>
      </c>
      <c r="B4383">
        <v>313592</v>
      </c>
      <c r="C4383" t="s">
        <v>8605</v>
      </c>
      <c r="D4383" t="s">
        <v>65</v>
      </c>
      <c r="E4383" s="2">
        <v>39336</v>
      </c>
      <c r="F4383" t="str">
        <f>"9780080551913"</f>
        <v>9780080551913</v>
      </c>
      <c r="G4383" t="str">
        <f>"9780444528377"</f>
        <v>9780444528377</v>
      </c>
      <c r="H4383" t="s">
        <v>214</v>
      </c>
      <c r="I4383">
        <v>541.2242</v>
      </c>
      <c r="J4383" t="s">
        <v>8606</v>
      </c>
      <c r="K4383" t="s">
        <v>44</v>
      </c>
      <c r="N4383" t="s">
        <v>45</v>
      </c>
      <c r="O4383" t="s">
        <v>46</v>
      </c>
      <c r="P4383" t="s">
        <v>45</v>
      </c>
      <c r="Q4383" t="s">
        <v>47</v>
      </c>
      <c r="R4383" t="s">
        <v>44</v>
      </c>
      <c r="S4383">
        <v>0</v>
      </c>
      <c r="W4383" s="3">
        <v>1.2037037037037038E-3</v>
      </c>
      <c r="X4383" t="s">
        <v>113</v>
      </c>
      <c r="Y4383">
        <v>2</v>
      </c>
      <c r="Z4383">
        <v>0</v>
      </c>
      <c r="AA4383" t="s">
        <v>49</v>
      </c>
      <c r="AB4383">
        <v>0</v>
      </c>
      <c r="AC4383" t="s">
        <v>49</v>
      </c>
      <c r="AD4383">
        <v>0</v>
      </c>
      <c r="AE4383">
        <v>10190879</v>
      </c>
      <c r="AF4383" t="s">
        <v>63</v>
      </c>
      <c r="AG4383" t="s">
        <v>8710</v>
      </c>
    </row>
    <row r="4384" spans="1:33" x14ac:dyDescent="0.35">
      <c r="A4384" s="1">
        <v>44607.172222222223</v>
      </c>
      <c r="B4384">
        <v>310690</v>
      </c>
      <c r="C4384" t="s">
        <v>3233</v>
      </c>
      <c r="D4384" t="s">
        <v>2754</v>
      </c>
      <c r="E4384" s="2">
        <v>38412</v>
      </c>
      <c r="F4384" t="str">
        <f>"9780816696321"</f>
        <v>9780816696321</v>
      </c>
      <c r="G4384" t="str">
        <f>"9780816644100"</f>
        <v>9780816644100</v>
      </c>
      <c r="H4384" t="s">
        <v>3234</v>
      </c>
      <c r="I4384">
        <v>322.10956099999999</v>
      </c>
      <c r="J4384" t="s">
        <v>3235</v>
      </c>
      <c r="K4384" t="s">
        <v>44</v>
      </c>
      <c r="N4384" t="s">
        <v>45</v>
      </c>
      <c r="O4384" t="s">
        <v>46</v>
      </c>
      <c r="P4384" t="s">
        <v>45</v>
      </c>
      <c r="Q4384" t="s">
        <v>47</v>
      </c>
      <c r="R4384" t="s">
        <v>44</v>
      </c>
      <c r="S4384">
        <v>0</v>
      </c>
      <c r="W4384" s="3">
        <v>7.0601851851851847E-4</v>
      </c>
      <c r="X4384" t="s">
        <v>8966</v>
      </c>
      <c r="Y4384">
        <v>10</v>
      </c>
      <c r="Z4384">
        <v>0</v>
      </c>
      <c r="AA4384" t="s">
        <v>49</v>
      </c>
      <c r="AB4384">
        <v>0</v>
      </c>
      <c r="AC4384" t="s">
        <v>49</v>
      </c>
      <c r="AD4384">
        <v>0</v>
      </c>
      <c r="AE4384">
        <v>10151200</v>
      </c>
      <c r="AF4384" t="s">
        <v>50</v>
      </c>
      <c r="AG4384" t="s">
        <v>8332</v>
      </c>
    </row>
    <row r="4385" spans="1:33" x14ac:dyDescent="0.35">
      <c r="A4385" s="1">
        <v>44607.140972222223</v>
      </c>
      <c r="B4385">
        <v>3051909</v>
      </c>
      <c r="C4385" t="s">
        <v>8423</v>
      </c>
      <c r="D4385" t="s">
        <v>125</v>
      </c>
      <c r="E4385" s="2">
        <v>37210</v>
      </c>
      <c r="F4385" t="str">
        <f>"9780198032076"</f>
        <v>9780198032076</v>
      </c>
      <c r="G4385" t="str">
        <f>"9780195140002"</f>
        <v>9780195140002</v>
      </c>
      <c r="H4385" t="s">
        <v>425</v>
      </c>
      <c r="I4385" t="s">
        <v>8424</v>
      </c>
      <c r="J4385" t="s">
        <v>8425</v>
      </c>
      <c r="K4385" t="s">
        <v>44</v>
      </c>
      <c r="N4385" t="s">
        <v>45</v>
      </c>
      <c r="O4385" t="s">
        <v>46</v>
      </c>
      <c r="P4385" t="s">
        <v>45</v>
      </c>
      <c r="Q4385" t="s">
        <v>47</v>
      </c>
      <c r="R4385" t="s">
        <v>44</v>
      </c>
      <c r="S4385">
        <v>0</v>
      </c>
      <c r="W4385" s="3">
        <v>2.2453703703703702E-3</v>
      </c>
      <c r="X4385" t="s">
        <v>8967</v>
      </c>
      <c r="Y4385">
        <v>7</v>
      </c>
      <c r="Z4385">
        <v>0</v>
      </c>
      <c r="AA4385" t="s">
        <v>49</v>
      </c>
      <c r="AB4385">
        <v>0</v>
      </c>
      <c r="AC4385" t="s">
        <v>49</v>
      </c>
      <c r="AD4385">
        <v>0</v>
      </c>
      <c r="AE4385">
        <v>10086983</v>
      </c>
      <c r="AF4385" t="s">
        <v>50</v>
      </c>
      <c r="AG4385" t="s">
        <v>8332</v>
      </c>
    </row>
    <row r="4386" spans="1:33" x14ac:dyDescent="0.35">
      <c r="A4386" s="1">
        <v>44607.128472222219</v>
      </c>
      <c r="B4386">
        <v>310690</v>
      </c>
      <c r="C4386" t="s">
        <v>3233</v>
      </c>
      <c r="D4386" t="s">
        <v>2754</v>
      </c>
      <c r="E4386" s="2">
        <v>38412</v>
      </c>
      <c r="F4386" t="str">
        <f>"9780816696321"</f>
        <v>9780816696321</v>
      </c>
      <c r="G4386" t="str">
        <f>"9780816644100"</f>
        <v>9780816644100</v>
      </c>
      <c r="H4386" t="s">
        <v>3234</v>
      </c>
      <c r="I4386">
        <v>322.10956099999999</v>
      </c>
      <c r="J4386" t="s">
        <v>3235</v>
      </c>
      <c r="K4386" t="s">
        <v>44</v>
      </c>
      <c r="N4386" t="s">
        <v>45</v>
      </c>
      <c r="O4386" t="s">
        <v>46</v>
      </c>
      <c r="P4386" t="s">
        <v>45</v>
      </c>
      <c r="Q4386" t="s">
        <v>47</v>
      </c>
      <c r="R4386" t="s">
        <v>44</v>
      </c>
      <c r="S4386">
        <v>0</v>
      </c>
      <c r="W4386" s="3">
        <v>1.4004629629629631E-2</v>
      </c>
      <c r="X4386" t="s">
        <v>8968</v>
      </c>
      <c r="Y4386">
        <v>59</v>
      </c>
      <c r="Z4386">
        <v>0</v>
      </c>
      <c r="AA4386" t="s">
        <v>49</v>
      </c>
      <c r="AB4386">
        <v>0</v>
      </c>
      <c r="AC4386" t="s">
        <v>49</v>
      </c>
      <c r="AD4386">
        <v>0</v>
      </c>
      <c r="AE4386">
        <v>10151200</v>
      </c>
      <c r="AF4386" t="s">
        <v>50</v>
      </c>
      <c r="AG4386" t="s">
        <v>8332</v>
      </c>
    </row>
    <row r="4387" spans="1:33" x14ac:dyDescent="0.35">
      <c r="A4387" s="1">
        <v>44607.085416666669</v>
      </c>
      <c r="B4387">
        <v>3239659</v>
      </c>
      <c r="C4387" t="s">
        <v>8390</v>
      </c>
      <c r="D4387" t="s">
        <v>6899</v>
      </c>
      <c r="E4387" s="2">
        <v>39553</v>
      </c>
      <c r="F4387" t="str">
        <f>"9780823247721"</f>
        <v>9780823247721</v>
      </c>
      <c r="G4387" t="str">
        <f>"9780823228539"</f>
        <v>9780823228539</v>
      </c>
      <c r="H4387" t="s">
        <v>498</v>
      </c>
      <c r="I4387">
        <v>171.2</v>
      </c>
      <c r="J4387" t="s">
        <v>8391</v>
      </c>
      <c r="K4387" t="s">
        <v>44</v>
      </c>
      <c r="N4387" t="s">
        <v>45</v>
      </c>
      <c r="O4387" t="s">
        <v>46</v>
      </c>
      <c r="P4387" t="s">
        <v>45</v>
      </c>
      <c r="Q4387" t="s">
        <v>47</v>
      </c>
      <c r="R4387" t="s">
        <v>44</v>
      </c>
      <c r="S4387">
        <v>0</v>
      </c>
      <c r="W4387" s="3">
        <v>4.0625000000000001E-2</v>
      </c>
      <c r="X4387" t="s">
        <v>8969</v>
      </c>
      <c r="Y4387">
        <v>36</v>
      </c>
      <c r="Z4387">
        <v>0</v>
      </c>
      <c r="AA4387" t="s">
        <v>49</v>
      </c>
      <c r="AB4387">
        <v>0</v>
      </c>
      <c r="AC4387" t="s">
        <v>49</v>
      </c>
      <c r="AD4387">
        <v>0</v>
      </c>
      <c r="AE4387">
        <v>10586717</v>
      </c>
      <c r="AF4387" t="s">
        <v>50</v>
      </c>
      <c r="AG4387" t="s">
        <v>8332</v>
      </c>
    </row>
    <row r="4388" spans="1:33" x14ac:dyDescent="0.35">
      <c r="A4388" s="1">
        <v>44607.067361111112</v>
      </c>
      <c r="B4388">
        <v>1383484</v>
      </c>
      <c r="C4388" t="s">
        <v>8970</v>
      </c>
      <c r="D4388" t="s">
        <v>53</v>
      </c>
      <c r="E4388" s="2">
        <v>41616</v>
      </c>
      <c r="F4388" t="str">
        <f>"9781400848164"</f>
        <v>9781400848164</v>
      </c>
      <c r="G4388" t="str">
        <f>"9780691158532"</f>
        <v>9780691158532</v>
      </c>
      <c r="H4388" t="s">
        <v>8971</v>
      </c>
      <c r="I4388" t="s">
        <v>1967</v>
      </c>
      <c r="J4388" t="s">
        <v>8972</v>
      </c>
      <c r="K4388" t="s">
        <v>44</v>
      </c>
      <c r="N4388" t="s">
        <v>45</v>
      </c>
      <c r="O4388" t="s">
        <v>46</v>
      </c>
      <c r="P4388" t="s">
        <v>45</v>
      </c>
      <c r="Q4388" t="s">
        <v>47</v>
      </c>
      <c r="R4388" t="s">
        <v>44</v>
      </c>
      <c r="S4388">
        <v>0</v>
      </c>
      <c r="W4388" s="3">
        <v>1.3842592592592594E-2</v>
      </c>
      <c r="X4388" t="s">
        <v>8973</v>
      </c>
      <c r="Y4388">
        <v>5</v>
      </c>
      <c r="Z4388">
        <v>0</v>
      </c>
      <c r="AA4388" t="s">
        <v>49</v>
      </c>
      <c r="AB4388">
        <v>0</v>
      </c>
      <c r="AC4388" t="s">
        <v>49</v>
      </c>
      <c r="AD4388">
        <v>0</v>
      </c>
      <c r="AE4388">
        <v>10791254</v>
      </c>
      <c r="AF4388" t="s">
        <v>50</v>
      </c>
      <c r="AG4388" t="s">
        <v>300</v>
      </c>
    </row>
    <row r="4389" spans="1:33" x14ac:dyDescent="0.35">
      <c r="A4389" s="1">
        <v>44607.044444444444</v>
      </c>
      <c r="B4389">
        <v>3051909</v>
      </c>
      <c r="C4389" t="s">
        <v>8423</v>
      </c>
      <c r="D4389" t="s">
        <v>125</v>
      </c>
      <c r="E4389" s="2">
        <v>37210</v>
      </c>
      <c r="F4389" t="str">
        <f>"9780198032076"</f>
        <v>9780198032076</v>
      </c>
      <c r="G4389" t="str">
        <f>"9780195140002"</f>
        <v>9780195140002</v>
      </c>
      <c r="H4389" t="s">
        <v>425</v>
      </c>
      <c r="I4389" t="s">
        <v>8424</v>
      </c>
      <c r="J4389" t="s">
        <v>8425</v>
      </c>
      <c r="K4389" t="s">
        <v>44</v>
      </c>
      <c r="N4389" t="s">
        <v>45</v>
      </c>
      <c r="O4389" t="s">
        <v>46</v>
      </c>
      <c r="P4389" t="s">
        <v>45</v>
      </c>
      <c r="Q4389" t="s">
        <v>47</v>
      </c>
      <c r="R4389" t="s">
        <v>44</v>
      </c>
      <c r="S4389">
        <v>0</v>
      </c>
      <c r="W4389" s="3">
        <v>2.8194444444444442E-2</v>
      </c>
      <c r="X4389" t="s">
        <v>8974</v>
      </c>
      <c r="Y4389">
        <v>14</v>
      </c>
      <c r="Z4389">
        <v>0</v>
      </c>
      <c r="AA4389" t="s">
        <v>49</v>
      </c>
      <c r="AB4389">
        <v>0</v>
      </c>
      <c r="AC4389" t="s">
        <v>8975</v>
      </c>
      <c r="AD4389">
        <v>3</v>
      </c>
      <c r="AE4389">
        <v>10086983</v>
      </c>
      <c r="AF4389" t="s">
        <v>50</v>
      </c>
      <c r="AG4389" t="s">
        <v>8332</v>
      </c>
    </row>
    <row r="4390" spans="1:33" x14ac:dyDescent="0.35">
      <c r="A4390" s="1">
        <v>44607.036805555559</v>
      </c>
      <c r="B4390">
        <v>3000465</v>
      </c>
      <c r="C4390" t="s">
        <v>8976</v>
      </c>
      <c r="D4390" t="s">
        <v>3376</v>
      </c>
      <c r="E4390" s="2">
        <v>36923</v>
      </c>
      <c r="F4390" t="str">
        <f>"9780313002762"</f>
        <v>9780313002762</v>
      </c>
      <c r="G4390" t="str">
        <f>"9780897897150"</f>
        <v>9780897897150</v>
      </c>
      <c r="H4390" t="s">
        <v>3944</v>
      </c>
      <c r="I4390" t="s">
        <v>8977</v>
      </c>
      <c r="J4390" t="s">
        <v>8978</v>
      </c>
      <c r="K4390" t="s">
        <v>44</v>
      </c>
      <c r="N4390" t="s">
        <v>45</v>
      </c>
      <c r="O4390" t="s">
        <v>46</v>
      </c>
      <c r="P4390" t="s">
        <v>45</v>
      </c>
      <c r="Q4390" t="s">
        <v>47</v>
      </c>
      <c r="R4390" t="s">
        <v>44</v>
      </c>
      <c r="S4390">
        <v>0</v>
      </c>
      <c r="W4390" s="3">
        <v>4.1666666666666669E-4</v>
      </c>
      <c r="X4390" t="s">
        <v>8979</v>
      </c>
      <c r="Y4390">
        <v>7</v>
      </c>
      <c r="Z4390">
        <v>0</v>
      </c>
      <c r="AA4390" t="s">
        <v>49</v>
      </c>
      <c r="AB4390">
        <v>0</v>
      </c>
      <c r="AC4390" t="s">
        <v>49</v>
      </c>
      <c r="AD4390">
        <v>0</v>
      </c>
      <c r="AE4390">
        <v>10005594</v>
      </c>
      <c r="AF4390" t="s">
        <v>50</v>
      </c>
      <c r="AG4390" t="s">
        <v>8332</v>
      </c>
    </row>
    <row r="4391" spans="1:33" x14ac:dyDescent="0.35">
      <c r="A4391" s="1">
        <v>44607.03402777778</v>
      </c>
      <c r="B4391">
        <v>3138129</v>
      </c>
      <c r="C4391" t="s">
        <v>8056</v>
      </c>
      <c r="D4391" t="s">
        <v>2234</v>
      </c>
      <c r="E4391" s="2">
        <v>40709</v>
      </c>
      <c r="F4391" t="str">
        <f>"9780801461606"</f>
        <v>9780801461606</v>
      </c>
      <c r="G4391" t="str">
        <f>"9780801446979"</f>
        <v>9780801446979</v>
      </c>
      <c r="H4391" t="s">
        <v>353</v>
      </c>
      <c r="I4391" t="s">
        <v>8057</v>
      </c>
      <c r="J4391" t="s">
        <v>8058</v>
      </c>
      <c r="K4391" t="s">
        <v>44</v>
      </c>
      <c r="N4391" t="s">
        <v>45</v>
      </c>
      <c r="O4391" t="s">
        <v>46</v>
      </c>
      <c r="P4391" t="s">
        <v>177</v>
      </c>
      <c r="Q4391" t="s">
        <v>47</v>
      </c>
      <c r="R4391" t="s">
        <v>55</v>
      </c>
      <c r="S4391">
        <v>0</v>
      </c>
      <c r="W4391" s="3">
        <v>2.269675925925926E-2</v>
      </c>
      <c r="X4391" t="s">
        <v>8980</v>
      </c>
      <c r="Y4391">
        <v>15</v>
      </c>
      <c r="Z4391">
        <v>0</v>
      </c>
      <c r="AA4391" t="s">
        <v>49</v>
      </c>
      <c r="AB4391">
        <v>0</v>
      </c>
      <c r="AC4391" t="s">
        <v>49</v>
      </c>
      <c r="AD4391">
        <v>0</v>
      </c>
      <c r="AE4391">
        <v>10468008</v>
      </c>
      <c r="AF4391" t="s">
        <v>50</v>
      </c>
      <c r="AG4391" t="s">
        <v>8332</v>
      </c>
    </row>
    <row r="4392" spans="1:33" x14ac:dyDescent="0.35">
      <c r="A4392" s="1">
        <v>44607.021527777775</v>
      </c>
      <c r="B4392">
        <v>310690</v>
      </c>
      <c r="C4392" t="s">
        <v>3233</v>
      </c>
      <c r="D4392" t="s">
        <v>2754</v>
      </c>
      <c r="E4392" s="2">
        <v>38412</v>
      </c>
      <c r="F4392" t="str">
        <f>"9780816696321"</f>
        <v>9780816696321</v>
      </c>
      <c r="G4392" t="str">
        <f>"9780816644100"</f>
        <v>9780816644100</v>
      </c>
      <c r="H4392" t="s">
        <v>3234</v>
      </c>
      <c r="I4392">
        <v>322.10956099999999</v>
      </c>
      <c r="J4392" t="s">
        <v>3235</v>
      </c>
      <c r="K4392" t="s">
        <v>44</v>
      </c>
      <c r="N4392" t="s">
        <v>45</v>
      </c>
      <c r="O4392" t="s">
        <v>46</v>
      </c>
      <c r="P4392" t="s">
        <v>45</v>
      </c>
      <c r="Q4392" t="s">
        <v>47</v>
      </c>
      <c r="R4392" t="s">
        <v>44</v>
      </c>
      <c r="S4392">
        <v>0</v>
      </c>
      <c r="W4392" s="3">
        <v>5.4745370370370373E-3</v>
      </c>
      <c r="X4392" t="s">
        <v>8981</v>
      </c>
      <c r="Y4392">
        <v>26</v>
      </c>
      <c r="Z4392">
        <v>0</v>
      </c>
      <c r="AA4392" t="s">
        <v>49</v>
      </c>
      <c r="AB4392">
        <v>0</v>
      </c>
      <c r="AC4392" t="s">
        <v>49</v>
      </c>
      <c r="AD4392">
        <v>0</v>
      </c>
      <c r="AE4392">
        <v>10151200</v>
      </c>
      <c r="AF4392" t="s">
        <v>50</v>
      </c>
      <c r="AG4392" t="s">
        <v>8332</v>
      </c>
    </row>
    <row r="4393" spans="1:33" x14ac:dyDescent="0.35">
      <c r="A4393" s="1">
        <v>44607.019444444442</v>
      </c>
      <c r="B4393">
        <v>1713358</v>
      </c>
      <c r="C4393" t="s">
        <v>8088</v>
      </c>
      <c r="D4393" t="s">
        <v>76</v>
      </c>
      <c r="E4393" s="2">
        <v>37529</v>
      </c>
      <c r="F4393" t="str">
        <f>"9781317873983"</f>
        <v>9781317873983</v>
      </c>
      <c r="G4393" t="str">
        <f>"9780582438248"</f>
        <v>9780582438248</v>
      </c>
      <c r="H4393" t="s">
        <v>419</v>
      </c>
      <c r="I4393">
        <v>323</v>
      </c>
      <c r="J4393" t="s">
        <v>8089</v>
      </c>
      <c r="K4393" t="s">
        <v>44</v>
      </c>
      <c r="N4393" t="s">
        <v>45</v>
      </c>
      <c r="O4393" t="s">
        <v>46</v>
      </c>
      <c r="P4393" t="s">
        <v>45</v>
      </c>
      <c r="Q4393" t="s">
        <v>47</v>
      </c>
      <c r="R4393" t="s">
        <v>44</v>
      </c>
      <c r="S4393">
        <v>0</v>
      </c>
      <c r="W4393" s="3">
        <v>2.0324074074074074E-2</v>
      </c>
      <c r="X4393" t="s">
        <v>8982</v>
      </c>
      <c r="Y4393">
        <v>14</v>
      </c>
      <c r="Z4393">
        <v>0</v>
      </c>
      <c r="AA4393" t="s">
        <v>49</v>
      </c>
      <c r="AB4393">
        <v>0</v>
      </c>
      <c r="AC4393" t="s">
        <v>2878</v>
      </c>
      <c r="AD4393">
        <v>1</v>
      </c>
      <c r="AE4393">
        <v>10885818</v>
      </c>
      <c r="AF4393" t="s">
        <v>50</v>
      </c>
      <c r="AG4393" t="s">
        <v>8799</v>
      </c>
    </row>
    <row r="4394" spans="1:33" x14ac:dyDescent="0.35">
      <c r="A4394" s="1">
        <v>44607.010416666664</v>
      </c>
      <c r="B4394">
        <v>415420</v>
      </c>
      <c r="C4394" t="s">
        <v>8091</v>
      </c>
      <c r="D4394" t="s">
        <v>125</v>
      </c>
      <c r="E4394" s="2">
        <v>39261</v>
      </c>
      <c r="F4394" t="str">
        <f>"9780191548277"</f>
        <v>9780191548277</v>
      </c>
      <c r="G4394" t="str">
        <f>"9780199205523"</f>
        <v>9780199205523</v>
      </c>
      <c r="H4394" t="s">
        <v>4420</v>
      </c>
      <c r="I4394">
        <v>341.48</v>
      </c>
      <c r="J4394" t="s">
        <v>8092</v>
      </c>
      <c r="K4394" t="s">
        <v>44</v>
      </c>
      <c r="N4394" t="s">
        <v>45</v>
      </c>
      <c r="O4394" t="s">
        <v>46</v>
      </c>
      <c r="P4394" t="s">
        <v>45</v>
      </c>
      <c r="Q4394" t="s">
        <v>47</v>
      </c>
      <c r="R4394" t="s">
        <v>44</v>
      </c>
      <c r="S4394">
        <v>0</v>
      </c>
      <c r="W4394" s="3">
        <v>7.6273148148148151E-3</v>
      </c>
      <c r="X4394" t="s">
        <v>8983</v>
      </c>
      <c r="Y4394">
        <v>5</v>
      </c>
      <c r="Z4394">
        <v>0</v>
      </c>
      <c r="AA4394" t="s">
        <v>49</v>
      </c>
      <c r="AB4394">
        <v>0</v>
      </c>
      <c r="AC4394" t="s">
        <v>49</v>
      </c>
      <c r="AD4394">
        <v>0</v>
      </c>
      <c r="AE4394">
        <v>10212132</v>
      </c>
      <c r="AF4394" t="s">
        <v>50</v>
      </c>
      <c r="AG4394" t="s">
        <v>8799</v>
      </c>
    </row>
    <row r="4395" spans="1:33" x14ac:dyDescent="0.35">
      <c r="A4395" s="1">
        <v>44606.981249999997</v>
      </c>
      <c r="B4395">
        <v>3051909</v>
      </c>
      <c r="C4395" t="s">
        <v>8423</v>
      </c>
      <c r="D4395" t="s">
        <v>125</v>
      </c>
      <c r="E4395" s="2">
        <v>37210</v>
      </c>
      <c r="F4395" t="str">
        <f>"9780198032076"</f>
        <v>9780198032076</v>
      </c>
      <c r="G4395" t="str">
        <f>"9780195140002"</f>
        <v>9780195140002</v>
      </c>
      <c r="H4395" t="s">
        <v>425</v>
      </c>
      <c r="I4395" t="s">
        <v>8424</v>
      </c>
      <c r="J4395" t="s">
        <v>8425</v>
      </c>
      <c r="K4395" t="s">
        <v>44</v>
      </c>
      <c r="N4395" t="s">
        <v>45</v>
      </c>
      <c r="O4395" t="s">
        <v>46</v>
      </c>
      <c r="P4395" t="s">
        <v>45</v>
      </c>
      <c r="Q4395" t="s">
        <v>47</v>
      </c>
      <c r="R4395" t="s">
        <v>44</v>
      </c>
      <c r="S4395">
        <v>0</v>
      </c>
      <c r="W4395" s="3">
        <v>1.0648148148148147E-3</v>
      </c>
      <c r="X4395" t="s">
        <v>8984</v>
      </c>
      <c r="Y4395">
        <v>3</v>
      </c>
      <c r="Z4395">
        <v>0</v>
      </c>
      <c r="AA4395" t="s">
        <v>49</v>
      </c>
      <c r="AB4395">
        <v>0</v>
      </c>
      <c r="AC4395" t="s">
        <v>49</v>
      </c>
      <c r="AD4395">
        <v>0</v>
      </c>
      <c r="AE4395">
        <v>10086983</v>
      </c>
      <c r="AF4395" t="s">
        <v>50</v>
      </c>
      <c r="AG4395" t="s">
        <v>8332</v>
      </c>
    </row>
    <row r="4396" spans="1:33" x14ac:dyDescent="0.35">
      <c r="A4396" s="1">
        <v>44606.972916666666</v>
      </c>
      <c r="B4396">
        <v>415420</v>
      </c>
      <c r="C4396" t="s">
        <v>8091</v>
      </c>
      <c r="D4396" t="s">
        <v>125</v>
      </c>
      <c r="E4396" s="2">
        <v>39261</v>
      </c>
      <c r="F4396" t="str">
        <f>"9780191548277"</f>
        <v>9780191548277</v>
      </c>
      <c r="G4396" t="str">
        <f>"9780199205523"</f>
        <v>9780199205523</v>
      </c>
      <c r="H4396" t="s">
        <v>4420</v>
      </c>
      <c r="I4396">
        <v>341.48</v>
      </c>
      <c r="J4396" t="s">
        <v>8092</v>
      </c>
      <c r="K4396" t="s">
        <v>44</v>
      </c>
      <c r="N4396" t="s">
        <v>45</v>
      </c>
      <c r="O4396" t="s">
        <v>46</v>
      </c>
      <c r="P4396" t="s">
        <v>45</v>
      </c>
      <c r="Q4396" t="s">
        <v>47</v>
      </c>
      <c r="R4396" t="s">
        <v>44</v>
      </c>
      <c r="S4396">
        <v>0</v>
      </c>
      <c r="W4396" s="3">
        <v>5.7870370370370366E-5</v>
      </c>
      <c r="X4396" t="s">
        <v>121</v>
      </c>
      <c r="Y4396">
        <v>1</v>
      </c>
      <c r="Z4396">
        <v>0</v>
      </c>
      <c r="AA4396" t="s">
        <v>49</v>
      </c>
      <c r="AB4396">
        <v>0</v>
      </c>
      <c r="AC4396" t="s">
        <v>49</v>
      </c>
      <c r="AD4396">
        <v>0</v>
      </c>
      <c r="AE4396">
        <v>10212132</v>
      </c>
      <c r="AF4396" t="s">
        <v>50</v>
      </c>
      <c r="AG4396" t="s">
        <v>8799</v>
      </c>
    </row>
    <row r="4397" spans="1:33" x14ac:dyDescent="0.35">
      <c r="A4397" s="1">
        <v>44606.965277777781</v>
      </c>
      <c r="B4397">
        <v>3239659</v>
      </c>
      <c r="C4397" t="s">
        <v>8390</v>
      </c>
      <c r="D4397" t="s">
        <v>6899</v>
      </c>
      <c r="E4397" s="2">
        <v>39553</v>
      </c>
      <c r="F4397" t="str">
        <f>"9780823247721"</f>
        <v>9780823247721</v>
      </c>
      <c r="G4397" t="str">
        <f>"9780823228539"</f>
        <v>9780823228539</v>
      </c>
      <c r="H4397" t="s">
        <v>498</v>
      </c>
      <c r="I4397">
        <v>171.2</v>
      </c>
      <c r="J4397" t="s">
        <v>8391</v>
      </c>
      <c r="K4397" t="s">
        <v>44</v>
      </c>
      <c r="N4397" t="s">
        <v>45</v>
      </c>
      <c r="O4397" t="s">
        <v>46</v>
      </c>
      <c r="P4397" t="s">
        <v>45</v>
      </c>
      <c r="Q4397" t="s">
        <v>47</v>
      </c>
      <c r="R4397" t="s">
        <v>44</v>
      </c>
      <c r="S4397">
        <v>0</v>
      </c>
      <c r="W4397" s="3">
        <v>8.1018518518518516E-5</v>
      </c>
      <c r="X4397" t="s">
        <v>121</v>
      </c>
      <c r="Y4397">
        <v>1</v>
      </c>
      <c r="Z4397">
        <v>0</v>
      </c>
      <c r="AA4397" t="s">
        <v>49</v>
      </c>
      <c r="AB4397">
        <v>0</v>
      </c>
      <c r="AC4397" t="s">
        <v>49</v>
      </c>
      <c r="AD4397">
        <v>0</v>
      </c>
      <c r="AE4397">
        <v>10586717</v>
      </c>
      <c r="AF4397" t="s">
        <v>50</v>
      </c>
      <c r="AG4397" t="s">
        <v>8332</v>
      </c>
    </row>
    <row r="4398" spans="1:33" x14ac:dyDescent="0.35">
      <c r="A4398" s="1">
        <v>44606.944444444445</v>
      </c>
      <c r="B4398">
        <v>1936135</v>
      </c>
      <c r="C4398" t="s">
        <v>8212</v>
      </c>
      <c r="D4398" t="s">
        <v>473</v>
      </c>
      <c r="E4398" s="2">
        <v>41996</v>
      </c>
      <c r="F4398" t="str">
        <f>"9789004281806"</f>
        <v>9789004281806</v>
      </c>
      <c r="G4398" t="str">
        <f>"9789004277434"</f>
        <v>9789004277434</v>
      </c>
      <c r="H4398" t="s">
        <v>712</v>
      </c>
      <c r="I4398" t="s">
        <v>1490</v>
      </c>
      <c r="J4398" t="s">
        <v>8213</v>
      </c>
      <c r="K4398" t="s">
        <v>44</v>
      </c>
      <c r="N4398" t="s">
        <v>45</v>
      </c>
      <c r="O4398" t="s">
        <v>46</v>
      </c>
      <c r="P4398" t="s">
        <v>45</v>
      </c>
      <c r="Q4398" t="s">
        <v>47</v>
      </c>
      <c r="R4398" t="s">
        <v>44</v>
      </c>
      <c r="S4398">
        <v>0</v>
      </c>
      <c r="W4398" s="3">
        <v>8.6458333333333335E-3</v>
      </c>
      <c r="X4398" t="s">
        <v>8985</v>
      </c>
      <c r="Y4398">
        <v>19</v>
      </c>
      <c r="Z4398">
        <v>0</v>
      </c>
      <c r="AA4398" t="s">
        <v>49</v>
      </c>
      <c r="AB4398">
        <v>0</v>
      </c>
      <c r="AC4398" t="s">
        <v>49</v>
      </c>
      <c r="AD4398">
        <v>0</v>
      </c>
      <c r="AE4398">
        <v>11014919</v>
      </c>
      <c r="AF4398" t="s">
        <v>50</v>
      </c>
      <c r="AG4398" t="s">
        <v>8332</v>
      </c>
    </row>
    <row r="4399" spans="1:33" x14ac:dyDescent="0.35">
      <c r="A4399" s="1">
        <v>44606.944444444445</v>
      </c>
      <c r="B4399">
        <v>3339142</v>
      </c>
      <c r="C4399" t="s">
        <v>7658</v>
      </c>
      <c r="D4399" t="s">
        <v>303</v>
      </c>
      <c r="E4399" s="2">
        <v>40025</v>
      </c>
      <c r="F4399" t="str">
        <f>"9780262270830"</f>
        <v>9780262270830</v>
      </c>
      <c r="G4399" t="str">
        <f>"9780262033848"</f>
        <v>9780262033848</v>
      </c>
      <c r="H4399" t="s">
        <v>138</v>
      </c>
      <c r="I4399">
        <v>5.0999999999999996</v>
      </c>
      <c r="J4399" t="s">
        <v>7659</v>
      </c>
      <c r="K4399" t="s">
        <v>44</v>
      </c>
      <c r="N4399" t="s">
        <v>45</v>
      </c>
      <c r="O4399" t="s">
        <v>46</v>
      </c>
      <c r="P4399" t="s">
        <v>45</v>
      </c>
      <c r="Q4399" t="s">
        <v>47</v>
      </c>
      <c r="R4399" t="s">
        <v>44</v>
      </c>
      <c r="S4399">
        <v>0</v>
      </c>
      <c r="W4399" s="3">
        <v>1.5173611111111112E-2</v>
      </c>
      <c r="X4399" t="s">
        <v>8986</v>
      </c>
      <c r="Y4399">
        <v>47</v>
      </c>
      <c r="Z4399">
        <v>0</v>
      </c>
      <c r="AA4399" t="s">
        <v>49</v>
      </c>
      <c r="AB4399">
        <v>0</v>
      </c>
      <c r="AC4399" t="s">
        <v>49</v>
      </c>
      <c r="AD4399">
        <v>0</v>
      </c>
      <c r="AE4399">
        <v>10397652</v>
      </c>
      <c r="AF4399" t="s">
        <v>63</v>
      </c>
      <c r="AG4399" t="s">
        <v>8908</v>
      </c>
    </row>
    <row r="4400" spans="1:33" x14ac:dyDescent="0.35">
      <c r="A4400" s="1">
        <v>44606.939583333333</v>
      </c>
      <c r="B4400">
        <v>1209554</v>
      </c>
      <c r="C4400" t="s">
        <v>6919</v>
      </c>
      <c r="D4400" t="s">
        <v>76</v>
      </c>
      <c r="E4400" s="2">
        <v>41425</v>
      </c>
      <c r="F4400" t="str">
        <f>"9781134609987"</f>
        <v>9781134609987</v>
      </c>
      <c r="G4400" t="str">
        <f>"9780415830812"</f>
        <v>9780415830812</v>
      </c>
      <c r="H4400" t="s">
        <v>712</v>
      </c>
      <c r="I4400">
        <v>340.59</v>
      </c>
      <c r="J4400" t="s">
        <v>6920</v>
      </c>
      <c r="K4400" t="s">
        <v>44</v>
      </c>
      <c r="N4400" t="s">
        <v>45</v>
      </c>
      <c r="O4400" t="s">
        <v>46</v>
      </c>
      <c r="P4400" t="s">
        <v>45</v>
      </c>
      <c r="Q4400" t="s">
        <v>47</v>
      </c>
      <c r="R4400" t="s">
        <v>44</v>
      </c>
      <c r="S4400">
        <v>0</v>
      </c>
      <c r="W4400" s="3">
        <v>3.0787037037037037E-3</v>
      </c>
      <c r="X4400" t="s">
        <v>8987</v>
      </c>
      <c r="Y4400">
        <v>15</v>
      </c>
      <c r="Z4400">
        <v>0</v>
      </c>
      <c r="AA4400" t="s">
        <v>49</v>
      </c>
      <c r="AB4400">
        <v>0</v>
      </c>
      <c r="AC4400" t="s">
        <v>49</v>
      </c>
      <c r="AD4400">
        <v>0</v>
      </c>
      <c r="AE4400">
        <v>10716357</v>
      </c>
      <c r="AF4400" t="s">
        <v>50</v>
      </c>
      <c r="AG4400" t="s">
        <v>8332</v>
      </c>
    </row>
    <row r="4401" spans="1:33" x14ac:dyDescent="0.35">
      <c r="A4401" s="1">
        <v>44606.932638888888</v>
      </c>
      <c r="B4401">
        <v>1713358</v>
      </c>
      <c r="C4401" t="s">
        <v>8088</v>
      </c>
      <c r="D4401" t="s">
        <v>76</v>
      </c>
      <c r="E4401" s="2">
        <v>37529</v>
      </c>
      <c r="F4401" t="str">
        <f>"9781317873983"</f>
        <v>9781317873983</v>
      </c>
      <c r="G4401" t="str">
        <f>"9780582438248"</f>
        <v>9780582438248</v>
      </c>
      <c r="H4401" t="s">
        <v>419</v>
      </c>
      <c r="I4401">
        <v>323</v>
      </c>
      <c r="J4401" t="s">
        <v>8089</v>
      </c>
      <c r="K4401" t="s">
        <v>44</v>
      </c>
      <c r="N4401" t="s">
        <v>45</v>
      </c>
      <c r="O4401" t="s">
        <v>46</v>
      </c>
      <c r="P4401" t="s">
        <v>45</v>
      </c>
      <c r="Q4401" t="s">
        <v>47</v>
      </c>
      <c r="R4401" t="s">
        <v>44</v>
      </c>
      <c r="S4401">
        <v>0</v>
      </c>
      <c r="W4401" s="3">
        <v>3.2094907407407412E-2</v>
      </c>
      <c r="X4401" t="s">
        <v>8988</v>
      </c>
      <c r="Y4401">
        <v>4</v>
      </c>
      <c r="Z4401">
        <v>0</v>
      </c>
      <c r="AA4401" t="s">
        <v>49</v>
      </c>
      <c r="AB4401">
        <v>0</v>
      </c>
      <c r="AC4401" t="s">
        <v>8989</v>
      </c>
      <c r="AD4401">
        <v>7</v>
      </c>
      <c r="AE4401">
        <v>10885818</v>
      </c>
      <c r="AF4401" t="s">
        <v>50</v>
      </c>
      <c r="AG4401" t="s">
        <v>8799</v>
      </c>
    </row>
    <row r="4402" spans="1:33" x14ac:dyDescent="0.35">
      <c r="A4402" s="1">
        <v>44606.910416666666</v>
      </c>
      <c r="B4402">
        <v>3000465</v>
      </c>
      <c r="C4402" t="s">
        <v>8976</v>
      </c>
      <c r="D4402" t="s">
        <v>3376</v>
      </c>
      <c r="E4402" s="2">
        <v>36923</v>
      </c>
      <c r="F4402" t="str">
        <f>"9780313002762"</f>
        <v>9780313002762</v>
      </c>
      <c r="G4402" t="str">
        <f>"9780897897150"</f>
        <v>9780897897150</v>
      </c>
      <c r="H4402" t="s">
        <v>3944</v>
      </c>
      <c r="I4402" t="s">
        <v>8977</v>
      </c>
      <c r="J4402" t="s">
        <v>8978</v>
      </c>
      <c r="K4402" t="s">
        <v>44</v>
      </c>
      <c r="N4402" t="s">
        <v>45</v>
      </c>
      <c r="O4402" t="s">
        <v>46</v>
      </c>
      <c r="P4402" t="s">
        <v>45</v>
      </c>
      <c r="Q4402" t="s">
        <v>47</v>
      </c>
      <c r="R4402" t="s">
        <v>44</v>
      </c>
      <c r="S4402">
        <v>0</v>
      </c>
      <c r="W4402" s="3">
        <v>2.991898148148148E-2</v>
      </c>
      <c r="X4402" t="s">
        <v>8990</v>
      </c>
      <c r="Y4402">
        <v>39</v>
      </c>
      <c r="Z4402">
        <v>0</v>
      </c>
      <c r="AA4402" t="s">
        <v>49</v>
      </c>
      <c r="AB4402">
        <v>0</v>
      </c>
      <c r="AC4402" t="s">
        <v>49</v>
      </c>
      <c r="AD4402">
        <v>0</v>
      </c>
      <c r="AE4402">
        <v>10005594</v>
      </c>
      <c r="AF4402" t="s">
        <v>50</v>
      </c>
      <c r="AG4402" t="s">
        <v>8332</v>
      </c>
    </row>
    <row r="4403" spans="1:33" x14ac:dyDescent="0.35">
      <c r="A4403" s="1">
        <v>44606.90902777778</v>
      </c>
      <c r="B4403">
        <v>310690</v>
      </c>
      <c r="C4403" t="s">
        <v>3233</v>
      </c>
      <c r="D4403" t="s">
        <v>2754</v>
      </c>
      <c r="E4403" s="2">
        <v>38412</v>
      </c>
      <c r="F4403" t="str">
        <f>"9780816696321"</f>
        <v>9780816696321</v>
      </c>
      <c r="G4403" t="str">
        <f>"9780816644100"</f>
        <v>9780816644100</v>
      </c>
      <c r="H4403" t="s">
        <v>3234</v>
      </c>
      <c r="I4403">
        <v>322.10956099999999</v>
      </c>
      <c r="J4403" t="s">
        <v>3235</v>
      </c>
      <c r="K4403" t="s">
        <v>44</v>
      </c>
      <c r="N4403" t="s">
        <v>45</v>
      </c>
      <c r="O4403" t="s">
        <v>46</v>
      </c>
      <c r="P4403" t="s">
        <v>45</v>
      </c>
      <c r="Q4403" t="s">
        <v>47</v>
      </c>
      <c r="R4403" t="s">
        <v>44</v>
      </c>
      <c r="S4403">
        <v>0</v>
      </c>
      <c r="W4403" s="3">
        <v>6.7870370370370373E-2</v>
      </c>
      <c r="X4403" t="s">
        <v>8991</v>
      </c>
      <c r="Y4403">
        <v>29</v>
      </c>
      <c r="Z4403">
        <v>0</v>
      </c>
      <c r="AA4403" t="s">
        <v>49</v>
      </c>
      <c r="AB4403">
        <v>0</v>
      </c>
      <c r="AC4403" t="s">
        <v>49</v>
      </c>
      <c r="AD4403">
        <v>0</v>
      </c>
      <c r="AE4403">
        <v>10151200</v>
      </c>
      <c r="AF4403" t="s">
        <v>50</v>
      </c>
      <c r="AG4403" t="s">
        <v>8332</v>
      </c>
    </row>
    <row r="4404" spans="1:33" x14ac:dyDescent="0.35">
      <c r="A4404" s="1">
        <v>44606.893055555556</v>
      </c>
      <c r="B4404">
        <v>4755328</v>
      </c>
      <c r="C4404" t="s">
        <v>8206</v>
      </c>
      <c r="D4404" t="s">
        <v>76</v>
      </c>
      <c r="E4404" s="2">
        <v>38014</v>
      </c>
      <c r="F4404" t="str">
        <f>"9781351889551"</f>
        <v>9781351889551</v>
      </c>
      <c r="G4404" t="str">
        <f>"9780860787143"</f>
        <v>9780860787143</v>
      </c>
      <c r="H4404" t="s">
        <v>712</v>
      </c>
      <c r="I4404" t="s">
        <v>1490</v>
      </c>
      <c r="J4404" t="s">
        <v>8207</v>
      </c>
      <c r="K4404" t="s">
        <v>44</v>
      </c>
      <c r="N4404" t="s">
        <v>45</v>
      </c>
      <c r="O4404" t="s">
        <v>46</v>
      </c>
      <c r="P4404" t="s">
        <v>45</v>
      </c>
      <c r="Q4404" t="s">
        <v>47</v>
      </c>
      <c r="R4404" t="s">
        <v>44</v>
      </c>
      <c r="S4404">
        <v>0</v>
      </c>
      <c r="W4404" s="3">
        <v>3.8009259259259263E-2</v>
      </c>
      <c r="X4404" t="s">
        <v>8992</v>
      </c>
      <c r="Y4404">
        <v>25</v>
      </c>
      <c r="Z4404">
        <v>0</v>
      </c>
      <c r="AA4404" t="s">
        <v>49</v>
      </c>
      <c r="AB4404">
        <v>0</v>
      </c>
      <c r="AC4404" t="s">
        <v>49</v>
      </c>
      <c r="AD4404">
        <v>0</v>
      </c>
      <c r="AE4404">
        <v>11309413</v>
      </c>
      <c r="AF4404" t="s">
        <v>50</v>
      </c>
      <c r="AG4404" t="s">
        <v>8332</v>
      </c>
    </row>
    <row r="4405" spans="1:33" x14ac:dyDescent="0.35">
      <c r="A4405" s="1">
        <v>44606.885416666664</v>
      </c>
      <c r="B4405">
        <v>1713358</v>
      </c>
      <c r="C4405" t="s">
        <v>8088</v>
      </c>
      <c r="D4405" t="s">
        <v>76</v>
      </c>
      <c r="E4405" s="2">
        <v>37529</v>
      </c>
      <c r="F4405" t="str">
        <f>"9781317873983"</f>
        <v>9781317873983</v>
      </c>
      <c r="G4405" t="str">
        <f>"9780582438248"</f>
        <v>9780582438248</v>
      </c>
      <c r="H4405" t="s">
        <v>419</v>
      </c>
      <c r="I4405">
        <v>323</v>
      </c>
      <c r="J4405" t="s">
        <v>8089</v>
      </c>
      <c r="K4405" t="s">
        <v>44</v>
      </c>
      <c r="N4405" t="s">
        <v>45</v>
      </c>
      <c r="O4405" t="s">
        <v>46</v>
      </c>
      <c r="P4405" t="s">
        <v>45</v>
      </c>
      <c r="Q4405" t="s">
        <v>47</v>
      </c>
      <c r="R4405" t="s">
        <v>44</v>
      </c>
      <c r="S4405">
        <v>0</v>
      </c>
      <c r="W4405" s="3">
        <v>1.0300925925925927E-2</v>
      </c>
      <c r="X4405" t="s">
        <v>8993</v>
      </c>
      <c r="Y4405">
        <v>15</v>
      </c>
      <c r="Z4405">
        <v>0</v>
      </c>
      <c r="AA4405" t="s">
        <v>49</v>
      </c>
      <c r="AB4405">
        <v>0</v>
      </c>
      <c r="AC4405" t="s">
        <v>8994</v>
      </c>
      <c r="AD4405">
        <v>2</v>
      </c>
      <c r="AE4405">
        <v>10885818</v>
      </c>
      <c r="AF4405" t="s">
        <v>50</v>
      </c>
      <c r="AG4405" t="s">
        <v>8799</v>
      </c>
    </row>
    <row r="4406" spans="1:33" x14ac:dyDescent="0.35">
      <c r="A4406" s="1">
        <v>44606.875694444447</v>
      </c>
      <c r="B4406">
        <v>3414554</v>
      </c>
      <c r="C4406" t="s">
        <v>8995</v>
      </c>
      <c r="D4406" t="s">
        <v>3510</v>
      </c>
      <c r="E4406" s="2">
        <v>37468</v>
      </c>
      <c r="F4406" t="str">
        <f>"9780472023622"</f>
        <v>9780472023622</v>
      </c>
      <c r="G4406" t="str">
        <f>"9780472089031"</f>
        <v>9780472089031</v>
      </c>
      <c r="H4406" t="s">
        <v>419</v>
      </c>
      <c r="I4406">
        <v>323</v>
      </c>
      <c r="J4406" t="s">
        <v>8996</v>
      </c>
      <c r="K4406" t="s">
        <v>44</v>
      </c>
      <c r="N4406" t="s">
        <v>45</v>
      </c>
      <c r="O4406" t="s">
        <v>46</v>
      </c>
      <c r="P4406" t="s">
        <v>177</v>
      </c>
      <c r="Q4406" t="s">
        <v>47</v>
      </c>
      <c r="R4406" t="s">
        <v>55</v>
      </c>
      <c r="S4406">
        <v>0</v>
      </c>
      <c r="W4406" s="3">
        <v>9.3750000000000007E-4</v>
      </c>
      <c r="X4406" t="s">
        <v>8997</v>
      </c>
      <c r="Y4406">
        <v>5</v>
      </c>
      <c r="Z4406">
        <v>0</v>
      </c>
      <c r="AA4406" t="s">
        <v>49</v>
      </c>
      <c r="AB4406">
        <v>0</v>
      </c>
      <c r="AC4406" t="s">
        <v>49</v>
      </c>
      <c r="AD4406">
        <v>0</v>
      </c>
      <c r="AE4406">
        <v>10351536</v>
      </c>
      <c r="AF4406" t="s">
        <v>50</v>
      </c>
      <c r="AG4406" t="s">
        <v>8799</v>
      </c>
    </row>
    <row r="4407" spans="1:33" x14ac:dyDescent="0.35">
      <c r="A4407" s="1">
        <v>44606.854166666664</v>
      </c>
      <c r="B4407">
        <v>3339142</v>
      </c>
      <c r="C4407" t="s">
        <v>7658</v>
      </c>
      <c r="D4407" t="s">
        <v>303</v>
      </c>
      <c r="E4407" s="2">
        <v>40025</v>
      </c>
      <c r="F4407" t="str">
        <f>"9780262270830"</f>
        <v>9780262270830</v>
      </c>
      <c r="G4407" t="str">
        <f>"9780262033848"</f>
        <v>9780262033848</v>
      </c>
      <c r="H4407" t="s">
        <v>138</v>
      </c>
      <c r="I4407">
        <v>5.0999999999999996</v>
      </c>
      <c r="J4407" t="s">
        <v>7659</v>
      </c>
      <c r="K4407" t="s">
        <v>44</v>
      </c>
      <c r="N4407" t="s">
        <v>45</v>
      </c>
      <c r="O4407" t="s">
        <v>46</v>
      </c>
      <c r="P4407" t="s">
        <v>45</v>
      </c>
      <c r="Q4407" t="s">
        <v>47</v>
      </c>
      <c r="R4407" t="s">
        <v>44</v>
      </c>
      <c r="S4407">
        <v>0</v>
      </c>
      <c r="W4407" s="3">
        <v>2.1446759259259259E-2</v>
      </c>
      <c r="X4407" t="s">
        <v>8998</v>
      </c>
      <c r="Y4407">
        <v>42</v>
      </c>
      <c r="Z4407">
        <v>0</v>
      </c>
      <c r="AA4407" t="s">
        <v>49</v>
      </c>
      <c r="AB4407">
        <v>0</v>
      </c>
      <c r="AC4407" t="s">
        <v>8999</v>
      </c>
      <c r="AD4407">
        <v>1</v>
      </c>
      <c r="AE4407">
        <v>10397652</v>
      </c>
      <c r="AF4407" t="s">
        <v>63</v>
      </c>
      <c r="AG4407" t="s">
        <v>8908</v>
      </c>
    </row>
    <row r="4408" spans="1:33" x14ac:dyDescent="0.35">
      <c r="A4408" s="1">
        <v>44606.853472222225</v>
      </c>
      <c r="B4408">
        <v>415420</v>
      </c>
      <c r="C4408" t="s">
        <v>8091</v>
      </c>
      <c r="D4408" t="s">
        <v>125</v>
      </c>
      <c r="E4408" s="2">
        <v>39261</v>
      </c>
      <c r="F4408" t="str">
        <f>"9780191548277"</f>
        <v>9780191548277</v>
      </c>
      <c r="G4408" t="str">
        <f>"9780199205523"</f>
        <v>9780199205523</v>
      </c>
      <c r="H4408" t="s">
        <v>4420</v>
      </c>
      <c r="I4408">
        <v>341.48</v>
      </c>
      <c r="J4408" t="s">
        <v>8092</v>
      </c>
      <c r="K4408" t="s">
        <v>44</v>
      </c>
      <c r="N4408" t="s">
        <v>45</v>
      </c>
      <c r="O4408" t="s">
        <v>46</v>
      </c>
      <c r="P4408" t="s">
        <v>45</v>
      </c>
      <c r="Q4408" t="s">
        <v>47</v>
      </c>
      <c r="R4408" t="s">
        <v>44</v>
      </c>
      <c r="S4408">
        <v>0</v>
      </c>
      <c r="W4408" s="3">
        <v>3.5532407407407405E-3</v>
      </c>
      <c r="X4408" t="s">
        <v>9000</v>
      </c>
      <c r="Y4408">
        <v>10</v>
      </c>
      <c r="Z4408">
        <v>0</v>
      </c>
      <c r="AA4408" t="s">
        <v>49</v>
      </c>
      <c r="AB4408">
        <v>0</v>
      </c>
      <c r="AC4408" t="s">
        <v>1542</v>
      </c>
      <c r="AD4408">
        <v>1</v>
      </c>
      <c r="AE4408">
        <v>10212132</v>
      </c>
      <c r="AF4408" t="s">
        <v>50</v>
      </c>
      <c r="AG4408" t="s">
        <v>8799</v>
      </c>
    </row>
    <row r="4409" spans="1:33" x14ac:dyDescent="0.35">
      <c r="A4409" s="1">
        <v>44606.85</v>
      </c>
      <c r="B4409">
        <v>1182932</v>
      </c>
      <c r="C4409" t="s">
        <v>9001</v>
      </c>
      <c r="D4409" t="s">
        <v>502</v>
      </c>
      <c r="E4409" s="2">
        <v>41417</v>
      </c>
      <c r="F4409" t="str">
        <f>"9781107057562"</f>
        <v>9781107057562</v>
      </c>
      <c r="G4409" t="str">
        <f>"9781107003064"</f>
        <v>9781107003064</v>
      </c>
      <c r="H4409" t="s">
        <v>2804</v>
      </c>
      <c r="I4409">
        <v>341.48009999999999</v>
      </c>
      <c r="J4409" t="s">
        <v>9002</v>
      </c>
      <c r="K4409" t="s">
        <v>44</v>
      </c>
      <c r="N4409" t="s">
        <v>45</v>
      </c>
      <c r="O4409" t="s">
        <v>46</v>
      </c>
      <c r="P4409" t="s">
        <v>45</v>
      </c>
      <c r="Q4409" t="s">
        <v>47</v>
      </c>
      <c r="R4409" t="s">
        <v>44</v>
      </c>
      <c r="S4409">
        <v>0</v>
      </c>
      <c r="W4409" s="3">
        <v>3.2326388888888884E-2</v>
      </c>
      <c r="X4409" t="s">
        <v>9003</v>
      </c>
      <c r="Y4409">
        <v>9</v>
      </c>
      <c r="Z4409">
        <v>0</v>
      </c>
      <c r="AA4409" t="s">
        <v>49</v>
      </c>
      <c r="AB4409">
        <v>0</v>
      </c>
      <c r="AC4409" t="s">
        <v>49</v>
      </c>
      <c r="AD4409">
        <v>0</v>
      </c>
      <c r="AE4409">
        <v>10718538</v>
      </c>
      <c r="AF4409" t="s">
        <v>50</v>
      </c>
      <c r="AG4409" t="s">
        <v>8799</v>
      </c>
    </row>
    <row r="4410" spans="1:33" x14ac:dyDescent="0.35">
      <c r="A4410" s="1">
        <v>44606.85</v>
      </c>
      <c r="B4410">
        <v>3442403</v>
      </c>
      <c r="C4410" t="s">
        <v>9004</v>
      </c>
      <c r="D4410" t="s">
        <v>1068</v>
      </c>
      <c r="E4410" s="2">
        <v>41894</v>
      </c>
      <c r="F4410" t="str">
        <f>"9780812209983"</f>
        <v>9780812209983</v>
      </c>
      <c r="G4410" t="str">
        <f>"9780812246285"</f>
        <v>9780812246285</v>
      </c>
      <c r="H4410" t="s">
        <v>1035</v>
      </c>
      <c r="K4410" t="s">
        <v>44</v>
      </c>
      <c r="N4410" t="s">
        <v>45</v>
      </c>
      <c r="O4410" t="s">
        <v>46</v>
      </c>
      <c r="P4410" t="s">
        <v>45</v>
      </c>
      <c r="Q4410" t="s">
        <v>47</v>
      </c>
      <c r="R4410" t="s">
        <v>44</v>
      </c>
      <c r="S4410">
        <v>0</v>
      </c>
      <c r="W4410" s="3">
        <v>5.7870370370370366E-5</v>
      </c>
      <c r="X4410" t="s">
        <v>121</v>
      </c>
      <c r="Y4410">
        <v>1</v>
      </c>
      <c r="Z4410">
        <v>0</v>
      </c>
      <c r="AA4410" t="s">
        <v>49</v>
      </c>
      <c r="AB4410">
        <v>0</v>
      </c>
      <c r="AC4410" t="s">
        <v>49</v>
      </c>
      <c r="AD4410">
        <v>0</v>
      </c>
      <c r="AE4410">
        <v>10907748</v>
      </c>
      <c r="AF4410" t="s">
        <v>50</v>
      </c>
      <c r="AG4410" t="s">
        <v>8799</v>
      </c>
    </row>
    <row r="4411" spans="1:33" x14ac:dyDescent="0.35">
      <c r="A4411" s="1">
        <v>44606.823611111111</v>
      </c>
      <c r="B4411">
        <v>1713358</v>
      </c>
      <c r="C4411" t="s">
        <v>8088</v>
      </c>
      <c r="D4411" t="s">
        <v>76</v>
      </c>
      <c r="E4411" s="2">
        <v>37529</v>
      </c>
      <c r="F4411" t="str">
        <f>"9781317873983"</f>
        <v>9781317873983</v>
      </c>
      <c r="G4411" t="str">
        <f>"9780582438248"</f>
        <v>9780582438248</v>
      </c>
      <c r="H4411" t="s">
        <v>419</v>
      </c>
      <c r="I4411">
        <v>323</v>
      </c>
      <c r="J4411" t="s">
        <v>8089</v>
      </c>
      <c r="K4411" t="s">
        <v>44</v>
      </c>
      <c r="N4411" t="s">
        <v>45</v>
      </c>
      <c r="O4411" t="s">
        <v>46</v>
      </c>
      <c r="P4411" t="s">
        <v>45</v>
      </c>
      <c r="Q4411" t="s">
        <v>47</v>
      </c>
      <c r="R4411" t="s">
        <v>44</v>
      </c>
      <c r="S4411">
        <v>0</v>
      </c>
      <c r="W4411" s="3">
        <v>1.3078703703703705E-3</v>
      </c>
      <c r="X4411" t="s">
        <v>9005</v>
      </c>
      <c r="Y4411">
        <v>9</v>
      </c>
      <c r="Z4411">
        <v>0</v>
      </c>
      <c r="AA4411" t="s">
        <v>49</v>
      </c>
      <c r="AB4411">
        <v>0</v>
      </c>
      <c r="AC4411" t="s">
        <v>9006</v>
      </c>
      <c r="AD4411">
        <v>2</v>
      </c>
      <c r="AE4411">
        <v>10885818</v>
      </c>
      <c r="AF4411" t="s">
        <v>50</v>
      </c>
      <c r="AG4411" t="s">
        <v>8799</v>
      </c>
    </row>
    <row r="4412" spans="1:33" x14ac:dyDescent="0.35">
      <c r="A4412" s="1">
        <v>44606.798611111109</v>
      </c>
      <c r="B4412">
        <v>3339142</v>
      </c>
      <c r="C4412" t="s">
        <v>7658</v>
      </c>
      <c r="D4412" t="s">
        <v>303</v>
      </c>
      <c r="E4412" s="2">
        <v>40025</v>
      </c>
      <c r="F4412" t="str">
        <f>"9780262270830"</f>
        <v>9780262270830</v>
      </c>
      <c r="G4412" t="str">
        <f>"9780262033848"</f>
        <v>9780262033848</v>
      </c>
      <c r="H4412" t="s">
        <v>138</v>
      </c>
      <c r="I4412">
        <v>5.0999999999999996</v>
      </c>
      <c r="J4412" t="s">
        <v>7659</v>
      </c>
      <c r="K4412" t="s">
        <v>44</v>
      </c>
      <c r="N4412" t="s">
        <v>45</v>
      </c>
      <c r="O4412" t="s">
        <v>46</v>
      </c>
      <c r="P4412" t="s">
        <v>45</v>
      </c>
      <c r="Q4412" t="s">
        <v>47</v>
      </c>
      <c r="R4412" t="s">
        <v>44</v>
      </c>
      <c r="S4412">
        <v>0</v>
      </c>
      <c r="W4412" s="3">
        <v>1.087962962962963E-2</v>
      </c>
      <c r="X4412" t="s">
        <v>9007</v>
      </c>
      <c r="Y4412">
        <v>14</v>
      </c>
      <c r="Z4412">
        <v>0</v>
      </c>
      <c r="AA4412" t="s">
        <v>49</v>
      </c>
      <c r="AB4412">
        <v>0</v>
      </c>
      <c r="AC4412" t="s">
        <v>49</v>
      </c>
      <c r="AD4412">
        <v>0</v>
      </c>
      <c r="AE4412">
        <v>10397652</v>
      </c>
      <c r="AF4412" t="s">
        <v>63</v>
      </c>
      <c r="AG4412" t="s">
        <v>8908</v>
      </c>
    </row>
    <row r="4413" spans="1:33" x14ac:dyDescent="0.35">
      <c r="A4413" s="1">
        <v>44606.796527777777</v>
      </c>
      <c r="B4413">
        <v>182841</v>
      </c>
      <c r="C4413" t="s">
        <v>8753</v>
      </c>
      <c r="D4413" t="s">
        <v>76</v>
      </c>
      <c r="E4413" s="2">
        <v>37680</v>
      </c>
      <c r="F4413" t="str">
        <f>"9780203504239"</f>
        <v>9780203504239</v>
      </c>
      <c r="G4413" t="str">
        <f>"9780415945295"</f>
        <v>9780415945295</v>
      </c>
      <c r="H4413" t="s">
        <v>712</v>
      </c>
      <c r="I4413" t="s">
        <v>8754</v>
      </c>
      <c r="J4413" t="s">
        <v>8755</v>
      </c>
      <c r="K4413" t="s">
        <v>44</v>
      </c>
      <c r="N4413" t="s">
        <v>45</v>
      </c>
      <c r="O4413" t="s">
        <v>46</v>
      </c>
      <c r="P4413" t="s">
        <v>45</v>
      </c>
      <c r="Q4413" t="s">
        <v>47</v>
      </c>
      <c r="R4413" t="s">
        <v>44</v>
      </c>
      <c r="S4413">
        <v>0</v>
      </c>
      <c r="W4413" s="3">
        <v>6.9444444444444444E-5</v>
      </c>
      <c r="X4413" t="s">
        <v>121</v>
      </c>
      <c r="Y4413">
        <v>1</v>
      </c>
      <c r="Z4413">
        <v>0</v>
      </c>
      <c r="AA4413" t="s">
        <v>49</v>
      </c>
      <c r="AB4413">
        <v>0</v>
      </c>
      <c r="AC4413" t="s">
        <v>49</v>
      </c>
      <c r="AD4413">
        <v>0</v>
      </c>
      <c r="AE4413">
        <v>10986557</v>
      </c>
      <c r="AF4413" t="s">
        <v>50</v>
      </c>
      <c r="AG4413" t="s">
        <v>8332</v>
      </c>
    </row>
    <row r="4414" spans="1:33" x14ac:dyDescent="0.35">
      <c r="A4414" s="1">
        <v>44606.795138888891</v>
      </c>
      <c r="B4414">
        <v>5796941</v>
      </c>
      <c r="C4414" t="s">
        <v>7395</v>
      </c>
      <c r="D4414" t="s">
        <v>844</v>
      </c>
      <c r="E4414" s="2">
        <v>43656</v>
      </c>
      <c r="F4414" t="str">
        <f>"9781787566811"</f>
        <v>9781787566811</v>
      </c>
      <c r="G4414" t="str">
        <f>"9781787566804"</f>
        <v>9781787566804</v>
      </c>
      <c r="H4414" t="s">
        <v>900</v>
      </c>
      <c r="I4414">
        <v>337.51056</v>
      </c>
      <c r="J4414" t="s">
        <v>1794</v>
      </c>
      <c r="K4414" t="s">
        <v>44</v>
      </c>
      <c r="N4414" t="s">
        <v>45</v>
      </c>
      <c r="O4414" t="s">
        <v>46</v>
      </c>
      <c r="P4414" t="s">
        <v>45</v>
      </c>
      <c r="Q4414" t="s">
        <v>47</v>
      </c>
      <c r="R4414" t="s">
        <v>44</v>
      </c>
      <c r="S4414">
        <v>0</v>
      </c>
      <c r="W4414" s="3">
        <v>6.9444444444444444E-5</v>
      </c>
      <c r="X4414" t="s">
        <v>8623</v>
      </c>
      <c r="Y4414">
        <v>2</v>
      </c>
      <c r="Z4414">
        <v>0</v>
      </c>
      <c r="AA4414" t="s">
        <v>49</v>
      </c>
      <c r="AB4414">
        <v>0</v>
      </c>
      <c r="AC4414" t="s">
        <v>49</v>
      </c>
      <c r="AD4414">
        <v>0</v>
      </c>
      <c r="AE4414">
        <v>-1</v>
      </c>
      <c r="AF4414" t="s">
        <v>50</v>
      </c>
      <c r="AG4414" t="s">
        <v>300</v>
      </c>
    </row>
    <row r="4415" spans="1:33" x14ac:dyDescent="0.35">
      <c r="A4415" s="1">
        <v>44606.773611111108</v>
      </c>
      <c r="B4415">
        <v>1713358</v>
      </c>
      <c r="C4415" t="s">
        <v>8088</v>
      </c>
      <c r="D4415" t="s">
        <v>76</v>
      </c>
      <c r="E4415" s="2">
        <v>37529</v>
      </c>
      <c r="F4415" t="str">
        <f>"9781317873983"</f>
        <v>9781317873983</v>
      </c>
      <c r="G4415" t="str">
        <f>"9780582438248"</f>
        <v>9780582438248</v>
      </c>
      <c r="H4415" t="s">
        <v>419</v>
      </c>
      <c r="I4415">
        <v>323</v>
      </c>
      <c r="J4415" t="s">
        <v>8089</v>
      </c>
      <c r="K4415" t="s">
        <v>44</v>
      </c>
      <c r="N4415" t="s">
        <v>45</v>
      </c>
      <c r="O4415" t="s">
        <v>46</v>
      </c>
      <c r="P4415" t="s">
        <v>45</v>
      </c>
      <c r="Q4415" t="s">
        <v>47</v>
      </c>
      <c r="R4415" t="s">
        <v>44</v>
      </c>
      <c r="S4415">
        <v>0</v>
      </c>
      <c r="W4415" s="3">
        <v>6.168981481481481E-3</v>
      </c>
      <c r="X4415" t="s">
        <v>9008</v>
      </c>
      <c r="Y4415">
        <v>25</v>
      </c>
      <c r="Z4415">
        <v>0</v>
      </c>
      <c r="AA4415" t="s">
        <v>49</v>
      </c>
      <c r="AB4415">
        <v>0</v>
      </c>
      <c r="AC4415" t="s">
        <v>9006</v>
      </c>
      <c r="AD4415">
        <v>2</v>
      </c>
      <c r="AE4415">
        <v>10885818</v>
      </c>
      <c r="AF4415" t="s">
        <v>50</v>
      </c>
      <c r="AG4415" t="s">
        <v>8799</v>
      </c>
    </row>
    <row r="4416" spans="1:33" x14ac:dyDescent="0.35">
      <c r="A4416" s="1">
        <v>44606.770138888889</v>
      </c>
      <c r="B4416">
        <v>3000465</v>
      </c>
      <c r="C4416" t="s">
        <v>8976</v>
      </c>
      <c r="D4416" t="s">
        <v>3376</v>
      </c>
      <c r="E4416" s="2">
        <v>36923</v>
      </c>
      <c r="F4416" t="str">
        <f>"9780313002762"</f>
        <v>9780313002762</v>
      </c>
      <c r="G4416" t="str">
        <f>"9780897897150"</f>
        <v>9780897897150</v>
      </c>
      <c r="H4416" t="s">
        <v>3944</v>
      </c>
      <c r="I4416" t="s">
        <v>8977</v>
      </c>
      <c r="J4416" t="s">
        <v>8978</v>
      </c>
      <c r="K4416" t="s">
        <v>44</v>
      </c>
      <c r="N4416" t="s">
        <v>45</v>
      </c>
      <c r="O4416" t="s">
        <v>46</v>
      </c>
      <c r="P4416" t="s">
        <v>45</v>
      </c>
      <c r="Q4416" t="s">
        <v>47</v>
      </c>
      <c r="R4416" t="s">
        <v>44</v>
      </c>
      <c r="S4416">
        <v>1</v>
      </c>
      <c r="W4416" s="3">
        <v>2.3032407407407407E-3</v>
      </c>
      <c r="X4416" t="s">
        <v>9009</v>
      </c>
      <c r="Y4416">
        <v>14</v>
      </c>
      <c r="Z4416">
        <v>0</v>
      </c>
      <c r="AA4416" t="s">
        <v>49</v>
      </c>
      <c r="AB4416">
        <v>0</v>
      </c>
      <c r="AC4416" t="s">
        <v>49</v>
      </c>
      <c r="AD4416">
        <v>0</v>
      </c>
      <c r="AE4416">
        <v>10005594</v>
      </c>
      <c r="AF4416" t="s">
        <v>63</v>
      </c>
      <c r="AG4416" t="s">
        <v>8332</v>
      </c>
    </row>
    <row r="4417" spans="1:33" x14ac:dyDescent="0.35">
      <c r="A4417" s="1">
        <v>44606.762499999997</v>
      </c>
      <c r="B4417">
        <v>3000465</v>
      </c>
      <c r="C4417" t="s">
        <v>8976</v>
      </c>
      <c r="D4417" t="s">
        <v>3376</v>
      </c>
      <c r="E4417" s="2">
        <v>36923</v>
      </c>
      <c r="F4417" t="str">
        <f>"9780313002762"</f>
        <v>9780313002762</v>
      </c>
      <c r="G4417" t="str">
        <f>"9780897897150"</f>
        <v>9780897897150</v>
      </c>
      <c r="H4417" t="s">
        <v>3944</v>
      </c>
      <c r="I4417" t="s">
        <v>8977</v>
      </c>
      <c r="J4417" t="s">
        <v>8978</v>
      </c>
      <c r="K4417" t="s">
        <v>44</v>
      </c>
      <c r="N4417" t="s">
        <v>45</v>
      </c>
      <c r="O4417" t="s">
        <v>46</v>
      </c>
      <c r="P4417" t="s">
        <v>45</v>
      </c>
      <c r="Q4417" t="s">
        <v>47</v>
      </c>
      <c r="R4417" t="s">
        <v>44</v>
      </c>
      <c r="S4417">
        <v>0</v>
      </c>
      <c r="W4417" s="3">
        <v>7.1296296296296307E-3</v>
      </c>
      <c r="X4417" t="s">
        <v>9010</v>
      </c>
      <c r="Y4417">
        <v>28</v>
      </c>
      <c r="Z4417">
        <v>2</v>
      </c>
      <c r="AA4417" t="s">
        <v>9011</v>
      </c>
      <c r="AB4417">
        <v>4</v>
      </c>
      <c r="AC4417" t="s">
        <v>49</v>
      </c>
      <c r="AD4417">
        <v>0</v>
      </c>
      <c r="AE4417">
        <v>10005594</v>
      </c>
      <c r="AF4417" t="s">
        <v>63</v>
      </c>
      <c r="AG4417" t="s">
        <v>8332</v>
      </c>
    </row>
    <row r="4418" spans="1:33" x14ac:dyDescent="0.35">
      <c r="A4418" s="1">
        <v>44606.730555555558</v>
      </c>
      <c r="B4418">
        <v>310690</v>
      </c>
      <c r="C4418" t="s">
        <v>3233</v>
      </c>
      <c r="D4418" t="s">
        <v>2754</v>
      </c>
      <c r="E4418" s="2">
        <v>38412</v>
      </c>
      <c r="F4418" t="str">
        <f>"9780816696321"</f>
        <v>9780816696321</v>
      </c>
      <c r="G4418" t="str">
        <f>"9780816644100"</f>
        <v>9780816644100</v>
      </c>
      <c r="H4418" t="s">
        <v>3234</v>
      </c>
      <c r="I4418">
        <v>322.10956099999999</v>
      </c>
      <c r="J4418" t="s">
        <v>3235</v>
      </c>
      <c r="K4418" t="s">
        <v>44</v>
      </c>
      <c r="N4418" t="s">
        <v>45</v>
      </c>
      <c r="O4418" t="s">
        <v>46</v>
      </c>
      <c r="P4418" t="s">
        <v>45</v>
      </c>
      <c r="Q4418" t="s">
        <v>47</v>
      </c>
      <c r="R4418" t="s">
        <v>44</v>
      </c>
      <c r="S4418">
        <v>0</v>
      </c>
      <c r="W4418" s="3">
        <v>3.6527777777777777E-2</v>
      </c>
      <c r="X4418" t="s">
        <v>9012</v>
      </c>
      <c r="Y4418">
        <v>22</v>
      </c>
      <c r="Z4418">
        <v>0</v>
      </c>
      <c r="AA4418" t="s">
        <v>49</v>
      </c>
      <c r="AB4418">
        <v>0</v>
      </c>
      <c r="AC4418" t="s">
        <v>49</v>
      </c>
      <c r="AD4418">
        <v>0</v>
      </c>
      <c r="AE4418">
        <v>10151200</v>
      </c>
      <c r="AF4418" t="s">
        <v>50</v>
      </c>
      <c r="AG4418" t="s">
        <v>8332</v>
      </c>
    </row>
    <row r="4419" spans="1:33" x14ac:dyDescent="0.35">
      <c r="A4419" s="1">
        <v>44606.720138888886</v>
      </c>
      <c r="B4419">
        <v>5796941</v>
      </c>
      <c r="C4419" t="s">
        <v>7395</v>
      </c>
      <c r="D4419" t="s">
        <v>844</v>
      </c>
      <c r="E4419" s="2">
        <v>43656</v>
      </c>
      <c r="F4419" t="str">
        <f>"9781787566811"</f>
        <v>9781787566811</v>
      </c>
      <c r="G4419" t="str">
        <f>"9781787566804"</f>
        <v>9781787566804</v>
      </c>
      <c r="H4419" t="s">
        <v>900</v>
      </c>
      <c r="I4419">
        <v>337.51056</v>
      </c>
      <c r="J4419" t="s">
        <v>1794</v>
      </c>
      <c r="K4419" t="s">
        <v>44</v>
      </c>
      <c r="N4419" t="s">
        <v>45</v>
      </c>
      <c r="O4419" t="s">
        <v>46</v>
      </c>
      <c r="P4419" t="s">
        <v>45</v>
      </c>
      <c r="Q4419" t="s">
        <v>47</v>
      </c>
      <c r="R4419" t="s">
        <v>44</v>
      </c>
      <c r="S4419">
        <v>0</v>
      </c>
      <c r="W4419" s="3">
        <v>4.6296296296296294E-5</v>
      </c>
      <c r="X4419" t="s">
        <v>1841</v>
      </c>
      <c r="Y4419">
        <v>1</v>
      </c>
      <c r="Z4419">
        <v>0</v>
      </c>
      <c r="AA4419" t="s">
        <v>49</v>
      </c>
      <c r="AB4419">
        <v>0</v>
      </c>
      <c r="AC4419" t="s">
        <v>49</v>
      </c>
      <c r="AD4419">
        <v>0</v>
      </c>
      <c r="AE4419">
        <v>-1</v>
      </c>
      <c r="AF4419" t="s">
        <v>50</v>
      </c>
      <c r="AG4419" t="s">
        <v>5467</v>
      </c>
    </row>
    <row r="4420" spans="1:33" x14ac:dyDescent="0.35">
      <c r="A4420" s="1">
        <v>44606.716666666667</v>
      </c>
      <c r="B4420">
        <v>1936135</v>
      </c>
      <c r="C4420" t="s">
        <v>8212</v>
      </c>
      <c r="D4420" t="s">
        <v>473</v>
      </c>
      <c r="E4420" s="2">
        <v>41996</v>
      </c>
      <c r="F4420" t="str">
        <f>"9789004281806"</f>
        <v>9789004281806</v>
      </c>
      <c r="G4420" t="str">
        <f>"9789004277434"</f>
        <v>9789004277434</v>
      </c>
      <c r="H4420" t="s">
        <v>712</v>
      </c>
      <c r="I4420" t="s">
        <v>1490</v>
      </c>
      <c r="J4420" t="s">
        <v>8213</v>
      </c>
      <c r="K4420" t="s">
        <v>44</v>
      </c>
      <c r="N4420" t="s">
        <v>45</v>
      </c>
      <c r="O4420" t="s">
        <v>46</v>
      </c>
      <c r="P4420" t="s">
        <v>45</v>
      </c>
      <c r="Q4420" t="s">
        <v>47</v>
      </c>
      <c r="R4420" t="s">
        <v>44</v>
      </c>
      <c r="S4420">
        <v>0</v>
      </c>
      <c r="W4420" s="3">
        <v>4.6296296296296294E-5</v>
      </c>
      <c r="X4420" t="s">
        <v>3286</v>
      </c>
      <c r="Y4420">
        <v>1</v>
      </c>
      <c r="Z4420">
        <v>0</v>
      </c>
      <c r="AA4420" t="s">
        <v>49</v>
      </c>
      <c r="AB4420">
        <v>0</v>
      </c>
      <c r="AC4420" t="s">
        <v>49</v>
      </c>
      <c r="AD4420">
        <v>0</v>
      </c>
      <c r="AE4420">
        <v>11014919</v>
      </c>
      <c r="AF4420" t="s">
        <v>50</v>
      </c>
      <c r="AG4420" t="s">
        <v>8332</v>
      </c>
    </row>
    <row r="4421" spans="1:33" x14ac:dyDescent="0.35">
      <c r="A4421" s="1">
        <v>44606.71597222222</v>
      </c>
      <c r="B4421">
        <v>4755328</v>
      </c>
      <c r="C4421" t="s">
        <v>8206</v>
      </c>
      <c r="D4421" t="s">
        <v>76</v>
      </c>
      <c r="E4421" s="2">
        <v>38014</v>
      </c>
      <c r="F4421" t="str">
        <f>"9781351889551"</f>
        <v>9781351889551</v>
      </c>
      <c r="G4421" t="str">
        <f>"9780860787143"</f>
        <v>9780860787143</v>
      </c>
      <c r="H4421" t="s">
        <v>712</v>
      </c>
      <c r="I4421" t="s">
        <v>1490</v>
      </c>
      <c r="J4421" t="s">
        <v>8207</v>
      </c>
      <c r="K4421" t="s">
        <v>44</v>
      </c>
      <c r="N4421" t="s">
        <v>45</v>
      </c>
      <c r="O4421" t="s">
        <v>46</v>
      </c>
      <c r="P4421" t="s">
        <v>45</v>
      </c>
      <c r="Q4421" t="s">
        <v>47</v>
      </c>
      <c r="R4421" t="s">
        <v>44</v>
      </c>
      <c r="S4421">
        <v>0</v>
      </c>
      <c r="W4421" s="3">
        <v>4.9768518518518521E-4</v>
      </c>
      <c r="X4421" t="s">
        <v>9013</v>
      </c>
      <c r="Y4421">
        <v>4</v>
      </c>
      <c r="Z4421">
        <v>0</v>
      </c>
      <c r="AA4421" t="s">
        <v>49</v>
      </c>
      <c r="AB4421">
        <v>0</v>
      </c>
      <c r="AC4421" t="s">
        <v>49</v>
      </c>
      <c r="AD4421">
        <v>0</v>
      </c>
      <c r="AE4421">
        <v>11309413</v>
      </c>
      <c r="AF4421" t="s">
        <v>50</v>
      </c>
      <c r="AG4421" t="s">
        <v>8332</v>
      </c>
    </row>
    <row r="4422" spans="1:33" x14ac:dyDescent="0.35">
      <c r="A4422" s="1">
        <v>44606.715277777781</v>
      </c>
      <c r="B4422">
        <v>1209554</v>
      </c>
      <c r="C4422" t="s">
        <v>6919</v>
      </c>
      <c r="D4422" t="s">
        <v>76</v>
      </c>
      <c r="E4422" s="2">
        <v>41425</v>
      </c>
      <c r="F4422" t="str">
        <f>"9781134609987"</f>
        <v>9781134609987</v>
      </c>
      <c r="G4422" t="str">
        <f>"9780415830812"</f>
        <v>9780415830812</v>
      </c>
      <c r="H4422" t="s">
        <v>712</v>
      </c>
      <c r="I4422">
        <v>340.59</v>
      </c>
      <c r="J4422" t="s">
        <v>6920</v>
      </c>
      <c r="K4422" t="s">
        <v>44</v>
      </c>
      <c r="N4422" t="s">
        <v>45</v>
      </c>
      <c r="O4422" t="s">
        <v>46</v>
      </c>
      <c r="P4422" t="s">
        <v>45</v>
      </c>
      <c r="Q4422" t="s">
        <v>47</v>
      </c>
      <c r="R4422" t="s">
        <v>44</v>
      </c>
      <c r="S4422">
        <v>0</v>
      </c>
      <c r="W4422" s="3">
        <v>9.1435185185185185E-4</v>
      </c>
      <c r="X4422" t="s">
        <v>9014</v>
      </c>
      <c r="Y4422">
        <v>12</v>
      </c>
      <c r="Z4422">
        <v>0</v>
      </c>
      <c r="AA4422" t="s">
        <v>49</v>
      </c>
      <c r="AB4422">
        <v>0</v>
      </c>
      <c r="AC4422" t="s">
        <v>49</v>
      </c>
      <c r="AD4422">
        <v>0</v>
      </c>
      <c r="AE4422">
        <v>10716357</v>
      </c>
      <c r="AF4422" t="s">
        <v>50</v>
      </c>
      <c r="AG4422" t="s">
        <v>8332</v>
      </c>
    </row>
    <row r="4423" spans="1:33" x14ac:dyDescent="0.35">
      <c r="A4423" s="1">
        <v>44606.711111111108</v>
      </c>
      <c r="B4423">
        <v>3339142</v>
      </c>
      <c r="C4423" t="s">
        <v>7658</v>
      </c>
      <c r="D4423" t="s">
        <v>303</v>
      </c>
      <c r="E4423" s="2">
        <v>40025</v>
      </c>
      <c r="F4423" t="str">
        <f>"9780262270830"</f>
        <v>9780262270830</v>
      </c>
      <c r="G4423" t="str">
        <f>"9780262033848"</f>
        <v>9780262033848</v>
      </c>
      <c r="H4423" t="s">
        <v>138</v>
      </c>
      <c r="I4423">
        <v>5.0999999999999996</v>
      </c>
      <c r="J4423" t="s">
        <v>7659</v>
      </c>
      <c r="K4423" t="s">
        <v>44</v>
      </c>
      <c r="N4423" t="s">
        <v>45</v>
      </c>
      <c r="O4423" t="s">
        <v>46</v>
      </c>
      <c r="P4423" t="s">
        <v>45</v>
      </c>
      <c r="Q4423" t="s">
        <v>47</v>
      </c>
      <c r="R4423" t="s">
        <v>44</v>
      </c>
      <c r="S4423">
        <v>0</v>
      </c>
      <c r="W4423" s="3">
        <v>3.0462962962962966E-2</v>
      </c>
      <c r="X4423" t="s">
        <v>9015</v>
      </c>
      <c r="Y4423">
        <v>17</v>
      </c>
      <c r="Z4423">
        <v>0</v>
      </c>
      <c r="AA4423" t="s">
        <v>49</v>
      </c>
      <c r="AB4423">
        <v>0</v>
      </c>
      <c r="AC4423" t="s">
        <v>49</v>
      </c>
      <c r="AD4423">
        <v>0</v>
      </c>
      <c r="AE4423">
        <v>10397652</v>
      </c>
      <c r="AF4423" t="s">
        <v>63</v>
      </c>
      <c r="AG4423" t="s">
        <v>8908</v>
      </c>
    </row>
    <row r="4424" spans="1:33" x14ac:dyDescent="0.35">
      <c r="A4424" s="1">
        <v>44606.709722222222</v>
      </c>
      <c r="B4424">
        <v>1713358</v>
      </c>
      <c r="C4424" t="s">
        <v>8088</v>
      </c>
      <c r="D4424" t="s">
        <v>76</v>
      </c>
      <c r="E4424" s="2">
        <v>37529</v>
      </c>
      <c r="F4424" t="str">
        <f>"9781317873983"</f>
        <v>9781317873983</v>
      </c>
      <c r="G4424" t="str">
        <f>"9780582438248"</f>
        <v>9780582438248</v>
      </c>
      <c r="H4424" t="s">
        <v>419</v>
      </c>
      <c r="I4424">
        <v>323</v>
      </c>
      <c r="J4424" t="s">
        <v>8089</v>
      </c>
      <c r="K4424" t="s">
        <v>44</v>
      </c>
      <c r="N4424" t="s">
        <v>45</v>
      </c>
      <c r="O4424" t="s">
        <v>46</v>
      </c>
      <c r="P4424" t="s">
        <v>45</v>
      </c>
      <c r="Q4424" t="s">
        <v>47</v>
      </c>
      <c r="R4424" t="s">
        <v>44</v>
      </c>
      <c r="S4424">
        <v>0</v>
      </c>
      <c r="W4424" s="3">
        <v>5.0000000000000001E-3</v>
      </c>
      <c r="X4424" t="s">
        <v>9016</v>
      </c>
      <c r="Y4424">
        <v>28</v>
      </c>
      <c r="Z4424">
        <v>0</v>
      </c>
      <c r="AA4424" t="s">
        <v>49</v>
      </c>
      <c r="AB4424">
        <v>0</v>
      </c>
      <c r="AC4424" t="s">
        <v>49</v>
      </c>
      <c r="AD4424">
        <v>0</v>
      </c>
      <c r="AE4424">
        <v>10885818</v>
      </c>
      <c r="AF4424" t="s">
        <v>50</v>
      </c>
      <c r="AG4424" t="s">
        <v>8799</v>
      </c>
    </row>
    <row r="4425" spans="1:33" x14ac:dyDescent="0.35">
      <c r="A4425" s="1">
        <v>44606.638194444444</v>
      </c>
      <c r="B4425">
        <v>5796941</v>
      </c>
      <c r="C4425" t="s">
        <v>7395</v>
      </c>
      <c r="D4425" t="s">
        <v>844</v>
      </c>
      <c r="E4425" s="2">
        <v>43656</v>
      </c>
      <c r="F4425" t="str">
        <f>"9781787566811"</f>
        <v>9781787566811</v>
      </c>
      <c r="G4425" t="str">
        <f>"9781787566804"</f>
        <v>9781787566804</v>
      </c>
      <c r="H4425" t="s">
        <v>900</v>
      </c>
      <c r="I4425">
        <v>337.51056</v>
      </c>
      <c r="J4425" t="s">
        <v>1794</v>
      </c>
      <c r="K4425" t="s">
        <v>44</v>
      </c>
      <c r="N4425" t="s">
        <v>45</v>
      </c>
      <c r="O4425" t="s">
        <v>46</v>
      </c>
      <c r="P4425" t="s">
        <v>45</v>
      </c>
      <c r="Q4425" t="s">
        <v>47</v>
      </c>
      <c r="R4425" t="s">
        <v>44</v>
      </c>
      <c r="S4425">
        <v>0</v>
      </c>
      <c r="W4425" s="3">
        <v>8.1018518518518516E-5</v>
      </c>
      <c r="X4425" t="s">
        <v>196</v>
      </c>
      <c r="Y4425">
        <v>2</v>
      </c>
      <c r="Z4425">
        <v>0</v>
      </c>
      <c r="AA4425" t="s">
        <v>49</v>
      </c>
      <c r="AB4425">
        <v>0</v>
      </c>
      <c r="AC4425" t="s">
        <v>49</v>
      </c>
      <c r="AD4425">
        <v>0</v>
      </c>
      <c r="AE4425">
        <v>-1</v>
      </c>
      <c r="AF4425" t="s">
        <v>50</v>
      </c>
      <c r="AG4425" t="s">
        <v>8332</v>
      </c>
    </row>
    <row r="4426" spans="1:33" x14ac:dyDescent="0.35">
      <c r="A4426" s="1">
        <v>44606.589583333334</v>
      </c>
      <c r="B4426">
        <v>3051909</v>
      </c>
      <c r="C4426" t="s">
        <v>8423</v>
      </c>
      <c r="D4426" t="s">
        <v>125</v>
      </c>
      <c r="E4426" s="2">
        <v>37210</v>
      </c>
      <c r="F4426" t="str">
        <f>"9780198032076"</f>
        <v>9780198032076</v>
      </c>
      <c r="G4426" t="str">
        <f>"9780195140002"</f>
        <v>9780195140002</v>
      </c>
      <c r="H4426" t="s">
        <v>425</v>
      </c>
      <c r="I4426" t="s">
        <v>8424</v>
      </c>
      <c r="J4426" t="s">
        <v>8425</v>
      </c>
      <c r="K4426" t="s">
        <v>44</v>
      </c>
      <c r="N4426" t="s">
        <v>45</v>
      </c>
      <c r="O4426" t="s">
        <v>46</v>
      </c>
      <c r="P4426" t="s">
        <v>45</v>
      </c>
      <c r="Q4426" t="s">
        <v>47</v>
      </c>
      <c r="R4426" t="s">
        <v>44</v>
      </c>
      <c r="S4426">
        <v>0</v>
      </c>
      <c r="W4426" s="3">
        <v>2.3912037037037034E-2</v>
      </c>
      <c r="X4426" t="s">
        <v>9017</v>
      </c>
      <c r="Y4426">
        <v>27</v>
      </c>
      <c r="Z4426">
        <v>0</v>
      </c>
      <c r="AA4426" t="s">
        <v>49</v>
      </c>
      <c r="AB4426">
        <v>0</v>
      </c>
      <c r="AC4426" t="s">
        <v>9018</v>
      </c>
      <c r="AD4426">
        <v>10</v>
      </c>
      <c r="AE4426">
        <v>10086983</v>
      </c>
      <c r="AF4426" t="s">
        <v>50</v>
      </c>
      <c r="AG4426" t="s">
        <v>8332</v>
      </c>
    </row>
    <row r="4427" spans="1:33" x14ac:dyDescent="0.35">
      <c r="A4427" s="1">
        <v>44606.547222222223</v>
      </c>
      <c r="B4427">
        <v>1075025</v>
      </c>
      <c r="C4427" t="s">
        <v>9019</v>
      </c>
      <c r="D4427" t="s">
        <v>76</v>
      </c>
      <c r="E4427" s="2">
        <v>41193</v>
      </c>
      <c r="F4427" t="str">
        <f>"9781136195259"</f>
        <v>9781136195259</v>
      </c>
      <c r="G4427" t="str">
        <f>"9780415636780"</f>
        <v>9780415636780</v>
      </c>
      <c r="H4427" t="s">
        <v>1069</v>
      </c>
      <c r="I4427">
        <v>801.95082000000002</v>
      </c>
      <c r="J4427" t="s">
        <v>9020</v>
      </c>
      <c r="K4427" t="s">
        <v>44</v>
      </c>
      <c r="N4427" t="s">
        <v>45</v>
      </c>
      <c r="O4427" t="s">
        <v>46</v>
      </c>
      <c r="P4427" t="s">
        <v>45</v>
      </c>
      <c r="Q4427" t="s">
        <v>47</v>
      </c>
      <c r="R4427" t="s">
        <v>44</v>
      </c>
      <c r="S4427">
        <v>0</v>
      </c>
      <c r="W4427" s="3">
        <v>5.0231481481481481E-3</v>
      </c>
      <c r="X4427" t="s">
        <v>9021</v>
      </c>
      <c r="Y4427">
        <v>16</v>
      </c>
      <c r="Z4427">
        <v>0</v>
      </c>
      <c r="AA4427" t="s">
        <v>49</v>
      </c>
      <c r="AB4427">
        <v>0</v>
      </c>
      <c r="AC4427" t="s">
        <v>49</v>
      </c>
      <c r="AD4427">
        <v>0</v>
      </c>
      <c r="AE4427">
        <v>10630849</v>
      </c>
      <c r="AF4427" t="s">
        <v>50</v>
      </c>
      <c r="AG4427" t="s">
        <v>8923</v>
      </c>
    </row>
    <row r="4428" spans="1:33" x14ac:dyDescent="0.35">
      <c r="A4428" s="1">
        <v>44606.534722222219</v>
      </c>
      <c r="B4428">
        <v>1203904</v>
      </c>
      <c r="C4428" t="s">
        <v>9022</v>
      </c>
      <c r="D4428" t="s">
        <v>6671</v>
      </c>
      <c r="E4428" s="2">
        <v>41368</v>
      </c>
      <c r="F4428" t="str">
        <f>"9780739176375"</f>
        <v>9780739176375</v>
      </c>
      <c r="G4428" t="str">
        <f>"9780739191309"</f>
        <v>9780739191309</v>
      </c>
      <c r="H4428" t="s">
        <v>1046</v>
      </c>
      <c r="I4428">
        <v>301.08199999999999</v>
      </c>
      <c r="J4428" t="s">
        <v>9023</v>
      </c>
      <c r="K4428" t="s">
        <v>44</v>
      </c>
      <c r="N4428" t="s">
        <v>45</v>
      </c>
      <c r="O4428" t="s">
        <v>46</v>
      </c>
      <c r="P4428" t="s">
        <v>45</v>
      </c>
      <c r="Q4428" t="s">
        <v>47</v>
      </c>
      <c r="R4428" t="s">
        <v>44</v>
      </c>
      <c r="S4428">
        <v>0</v>
      </c>
      <c r="W4428" s="3">
        <v>3.7037037037037035E-4</v>
      </c>
      <c r="X4428" t="s">
        <v>9024</v>
      </c>
      <c r="Y4428">
        <v>3</v>
      </c>
      <c r="Z4428">
        <v>0</v>
      </c>
      <c r="AA4428" t="s">
        <v>49</v>
      </c>
      <c r="AB4428">
        <v>0</v>
      </c>
      <c r="AC4428" t="s">
        <v>49</v>
      </c>
      <c r="AD4428">
        <v>0</v>
      </c>
      <c r="AE4428">
        <v>10698643</v>
      </c>
      <c r="AF4428" t="s">
        <v>50</v>
      </c>
      <c r="AG4428" t="s">
        <v>8923</v>
      </c>
    </row>
    <row r="4429" spans="1:33" x14ac:dyDescent="0.35">
      <c r="A4429" s="1">
        <v>44606.530555555553</v>
      </c>
      <c r="B4429">
        <v>1092686</v>
      </c>
      <c r="C4429" t="s">
        <v>9025</v>
      </c>
      <c r="D4429" t="s">
        <v>76</v>
      </c>
      <c r="E4429" s="2">
        <v>41193</v>
      </c>
      <c r="F4429" t="str">
        <f>"9781136204432"</f>
        <v>9781136204432</v>
      </c>
      <c r="G4429" t="str">
        <f>"9780415635127"</f>
        <v>9780415635127</v>
      </c>
      <c r="H4429" t="s">
        <v>1046</v>
      </c>
      <c r="I4429" t="s">
        <v>9026</v>
      </c>
      <c r="J4429" t="s">
        <v>9027</v>
      </c>
      <c r="K4429" t="s">
        <v>44</v>
      </c>
      <c r="N4429" t="s">
        <v>45</v>
      </c>
      <c r="O4429" t="s">
        <v>46</v>
      </c>
      <c r="P4429" t="s">
        <v>45</v>
      </c>
      <c r="Q4429" t="s">
        <v>47</v>
      </c>
      <c r="R4429" t="s">
        <v>44</v>
      </c>
      <c r="S4429">
        <v>0</v>
      </c>
      <c r="W4429" s="3">
        <v>3.1018518518518522E-3</v>
      </c>
      <c r="X4429" t="s">
        <v>9028</v>
      </c>
      <c r="Y4429">
        <v>24</v>
      </c>
      <c r="Z4429">
        <v>0</v>
      </c>
      <c r="AA4429" t="s">
        <v>49</v>
      </c>
      <c r="AB4429">
        <v>0</v>
      </c>
      <c r="AC4429" t="s">
        <v>49</v>
      </c>
      <c r="AD4429">
        <v>0</v>
      </c>
      <c r="AE4429">
        <v>10632407</v>
      </c>
      <c r="AF4429" t="s">
        <v>50</v>
      </c>
      <c r="AG4429" t="s">
        <v>8923</v>
      </c>
    </row>
    <row r="4430" spans="1:33" x14ac:dyDescent="0.35">
      <c r="A4430" s="1">
        <v>44606.517361111109</v>
      </c>
      <c r="B4430">
        <v>310690</v>
      </c>
      <c r="C4430" t="s">
        <v>3233</v>
      </c>
      <c r="D4430" t="s">
        <v>2754</v>
      </c>
      <c r="E4430" s="2">
        <v>38412</v>
      </c>
      <c r="F4430" t="str">
        <f>"9780816696321"</f>
        <v>9780816696321</v>
      </c>
      <c r="G4430" t="str">
        <f>"9780816644100"</f>
        <v>9780816644100</v>
      </c>
      <c r="H4430" t="s">
        <v>3234</v>
      </c>
      <c r="I4430">
        <v>322.10956099999999</v>
      </c>
      <c r="J4430" t="s">
        <v>3235</v>
      </c>
      <c r="K4430" t="s">
        <v>44</v>
      </c>
      <c r="N4430" t="s">
        <v>45</v>
      </c>
      <c r="O4430" t="s">
        <v>46</v>
      </c>
      <c r="P4430" t="s">
        <v>45</v>
      </c>
      <c r="Q4430" t="s">
        <v>47</v>
      </c>
      <c r="R4430" t="s">
        <v>44</v>
      </c>
      <c r="S4430">
        <v>1</v>
      </c>
      <c r="W4430" s="3">
        <v>0</v>
      </c>
      <c r="X4430" t="s">
        <v>49</v>
      </c>
      <c r="Y4430">
        <v>0</v>
      </c>
      <c r="Z4430">
        <v>0</v>
      </c>
      <c r="AA4430" t="s">
        <v>49</v>
      </c>
      <c r="AB4430">
        <v>0</v>
      </c>
      <c r="AC4430" t="s">
        <v>49</v>
      </c>
      <c r="AD4430">
        <v>0</v>
      </c>
      <c r="AE4430">
        <v>10151200</v>
      </c>
      <c r="AF4430" t="s">
        <v>63</v>
      </c>
      <c r="AG4430" t="s">
        <v>8332</v>
      </c>
    </row>
    <row r="4431" spans="1:33" x14ac:dyDescent="0.35">
      <c r="A4431" s="1">
        <v>44606.501388888886</v>
      </c>
      <c r="B4431">
        <v>5796941</v>
      </c>
      <c r="C4431" t="s">
        <v>7395</v>
      </c>
      <c r="D4431" t="s">
        <v>844</v>
      </c>
      <c r="E4431" s="2">
        <v>43656</v>
      </c>
      <c r="F4431" t="str">
        <f>"9781787566811"</f>
        <v>9781787566811</v>
      </c>
      <c r="G4431" t="str">
        <f>"9781787566804"</f>
        <v>9781787566804</v>
      </c>
      <c r="H4431" t="s">
        <v>900</v>
      </c>
      <c r="I4431">
        <v>337.51056</v>
      </c>
      <c r="J4431" t="s">
        <v>1794</v>
      </c>
      <c r="K4431" t="s">
        <v>44</v>
      </c>
      <c r="N4431" t="s">
        <v>45</v>
      </c>
      <c r="O4431" t="s">
        <v>46</v>
      </c>
      <c r="P4431" t="s">
        <v>45</v>
      </c>
      <c r="Q4431" t="s">
        <v>47</v>
      </c>
      <c r="R4431" t="s">
        <v>44</v>
      </c>
      <c r="S4431">
        <v>2</v>
      </c>
      <c r="W4431" s="3">
        <v>1.7361111111111112E-4</v>
      </c>
      <c r="X4431" t="s">
        <v>1283</v>
      </c>
      <c r="Y4431">
        <v>3</v>
      </c>
      <c r="Z4431">
        <v>0</v>
      </c>
      <c r="AA4431" t="s">
        <v>49</v>
      </c>
      <c r="AB4431">
        <v>0</v>
      </c>
      <c r="AC4431" t="s">
        <v>49</v>
      </c>
      <c r="AD4431">
        <v>0</v>
      </c>
      <c r="AE4431">
        <v>-1</v>
      </c>
      <c r="AF4431" t="s">
        <v>63</v>
      </c>
      <c r="AG4431" t="s">
        <v>9029</v>
      </c>
    </row>
    <row r="4432" spans="1:33" x14ac:dyDescent="0.35">
      <c r="A4432" s="1">
        <v>44606.499305555553</v>
      </c>
      <c r="B4432">
        <v>3564235</v>
      </c>
      <c r="C4432" t="s">
        <v>9030</v>
      </c>
      <c r="D4432" t="s">
        <v>175</v>
      </c>
      <c r="E4432" s="2">
        <v>40817</v>
      </c>
      <c r="F4432" t="str">
        <f>"9780309209427"</f>
        <v>9780309209427</v>
      </c>
      <c r="G4432" t="str">
        <f>"9780309209410"</f>
        <v>9780309209410</v>
      </c>
      <c r="H4432" t="s">
        <v>176</v>
      </c>
      <c r="I4432">
        <v>362.196980973</v>
      </c>
      <c r="K4432" t="s">
        <v>44</v>
      </c>
      <c r="N4432" t="s">
        <v>45</v>
      </c>
      <c r="O4432" t="s">
        <v>46</v>
      </c>
      <c r="P4432" t="s">
        <v>177</v>
      </c>
      <c r="Q4432" t="s">
        <v>47</v>
      </c>
      <c r="R4432" t="s">
        <v>55</v>
      </c>
      <c r="S4432">
        <v>0</v>
      </c>
      <c r="W4432" s="3">
        <v>5.6712962962962956E-4</v>
      </c>
      <c r="X4432" t="s">
        <v>5090</v>
      </c>
      <c r="Y4432">
        <v>2</v>
      </c>
      <c r="Z4432">
        <v>0</v>
      </c>
      <c r="AA4432" t="s">
        <v>49</v>
      </c>
      <c r="AB4432">
        <v>0</v>
      </c>
      <c r="AC4432" t="s">
        <v>49</v>
      </c>
      <c r="AD4432">
        <v>0</v>
      </c>
      <c r="AE4432">
        <v>10500215</v>
      </c>
      <c r="AF4432" t="s">
        <v>50</v>
      </c>
      <c r="AG4432" t="s">
        <v>9031</v>
      </c>
    </row>
    <row r="4433" spans="1:33" x14ac:dyDescent="0.35">
      <c r="A4433" s="1">
        <v>44606.495138888888</v>
      </c>
      <c r="B4433">
        <v>5796941</v>
      </c>
      <c r="C4433" t="s">
        <v>7395</v>
      </c>
      <c r="D4433" t="s">
        <v>844</v>
      </c>
      <c r="E4433" s="2">
        <v>43656</v>
      </c>
      <c r="F4433" t="str">
        <f t="shared" ref="F4433:F4444" si="16">"9781787566811"</f>
        <v>9781787566811</v>
      </c>
      <c r="G4433" t="str">
        <f t="shared" ref="G4433:G4444" si="17">"9781787566804"</f>
        <v>9781787566804</v>
      </c>
      <c r="H4433" t="s">
        <v>900</v>
      </c>
      <c r="I4433">
        <v>337.51056</v>
      </c>
      <c r="J4433" t="s">
        <v>1794</v>
      </c>
      <c r="K4433" t="s">
        <v>44</v>
      </c>
      <c r="N4433" t="s">
        <v>45</v>
      </c>
      <c r="O4433" t="s">
        <v>46</v>
      </c>
      <c r="P4433" t="s">
        <v>45</v>
      </c>
      <c r="Q4433" t="s">
        <v>47</v>
      </c>
      <c r="R4433" t="s">
        <v>44</v>
      </c>
      <c r="S4433">
        <v>0</v>
      </c>
      <c r="W4433" s="3">
        <v>4.7569444444444447E-3</v>
      </c>
      <c r="X4433" t="s">
        <v>9032</v>
      </c>
      <c r="Y4433">
        <v>7</v>
      </c>
      <c r="Z4433">
        <v>0</v>
      </c>
      <c r="AA4433" t="s">
        <v>49</v>
      </c>
      <c r="AB4433">
        <v>0</v>
      </c>
      <c r="AC4433" t="s">
        <v>49</v>
      </c>
      <c r="AD4433">
        <v>0</v>
      </c>
      <c r="AE4433">
        <v>-1</v>
      </c>
      <c r="AF4433" t="s">
        <v>50</v>
      </c>
      <c r="AG4433" t="s">
        <v>8332</v>
      </c>
    </row>
    <row r="4434" spans="1:33" x14ac:dyDescent="0.35">
      <c r="A4434" s="1">
        <v>44606.493750000001</v>
      </c>
      <c r="B4434">
        <v>5796941</v>
      </c>
      <c r="C4434" t="s">
        <v>7395</v>
      </c>
      <c r="D4434" t="s">
        <v>844</v>
      </c>
      <c r="E4434" s="2">
        <v>43656</v>
      </c>
      <c r="F4434" t="str">
        <f t="shared" si="16"/>
        <v>9781787566811</v>
      </c>
      <c r="G4434" t="str">
        <f t="shared" si="17"/>
        <v>9781787566804</v>
      </c>
      <c r="H4434" t="s">
        <v>900</v>
      </c>
      <c r="I4434">
        <v>337.51056</v>
      </c>
      <c r="J4434" t="s">
        <v>1794</v>
      </c>
      <c r="K4434" t="s">
        <v>44</v>
      </c>
      <c r="N4434" t="s">
        <v>45</v>
      </c>
      <c r="O4434" t="s">
        <v>46</v>
      </c>
      <c r="P4434" t="s">
        <v>45</v>
      </c>
      <c r="Q4434" t="s">
        <v>47</v>
      </c>
      <c r="R4434" t="s">
        <v>44</v>
      </c>
      <c r="S4434">
        <v>0</v>
      </c>
      <c r="W4434" s="3">
        <v>2.0833333333333335E-4</v>
      </c>
      <c r="X4434" t="s">
        <v>5599</v>
      </c>
      <c r="Y4434">
        <v>4</v>
      </c>
      <c r="Z4434">
        <v>0</v>
      </c>
      <c r="AA4434" t="s">
        <v>49</v>
      </c>
      <c r="AB4434">
        <v>0</v>
      </c>
      <c r="AC4434" t="s">
        <v>49</v>
      </c>
      <c r="AD4434">
        <v>0</v>
      </c>
      <c r="AE4434">
        <v>-1</v>
      </c>
      <c r="AF4434" t="s">
        <v>50</v>
      </c>
      <c r="AG4434" t="s">
        <v>9033</v>
      </c>
    </row>
    <row r="4435" spans="1:33" x14ac:dyDescent="0.35">
      <c r="A4435" s="1">
        <v>44606.491666666669</v>
      </c>
      <c r="B4435">
        <v>5796941</v>
      </c>
      <c r="C4435" t="s">
        <v>7395</v>
      </c>
      <c r="D4435" t="s">
        <v>844</v>
      </c>
      <c r="E4435" s="2">
        <v>43656</v>
      </c>
      <c r="F4435" t="str">
        <f t="shared" si="16"/>
        <v>9781787566811</v>
      </c>
      <c r="G4435" t="str">
        <f t="shared" si="17"/>
        <v>9781787566804</v>
      </c>
      <c r="H4435" t="s">
        <v>900</v>
      </c>
      <c r="I4435">
        <v>337.51056</v>
      </c>
      <c r="J4435" t="s">
        <v>1794</v>
      </c>
      <c r="K4435" t="s">
        <v>44</v>
      </c>
      <c r="N4435" t="s">
        <v>45</v>
      </c>
      <c r="O4435" t="s">
        <v>46</v>
      </c>
      <c r="P4435" t="s">
        <v>45</v>
      </c>
      <c r="Q4435" t="s">
        <v>47</v>
      </c>
      <c r="R4435" t="s">
        <v>44</v>
      </c>
      <c r="S4435">
        <v>0</v>
      </c>
      <c r="W4435" s="3">
        <v>1.1458333333333334E-2</v>
      </c>
      <c r="X4435" t="s">
        <v>9034</v>
      </c>
      <c r="Y4435">
        <v>5</v>
      </c>
      <c r="Z4435">
        <v>0</v>
      </c>
      <c r="AA4435" t="s">
        <v>49</v>
      </c>
      <c r="AB4435">
        <v>0</v>
      </c>
      <c r="AC4435" t="s">
        <v>49</v>
      </c>
      <c r="AD4435">
        <v>0</v>
      </c>
      <c r="AE4435">
        <v>-1</v>
      </c>
      <c r="AF4435" t="s">
        <v>50</v>
      </c>
      <c r="AG4435" t="s">
        <v>5467</v>
      </c>
    </row>
    <row r="4436" spans="1:33" x14ac:dyDescent="0.35">
      <c r="A4436" s="1">
        <v>44606.491666666669</v>
      </c>
      <c r="B4436">
        <v>5796941</v>
      </c>
      <c r="C4436" t="s">
        <v>7395</v>
      </c>
      <c r="D4436" t="s">
        <v>844</v>
      </c>
      <c r="E4436" s="2">
        <v>43656</v>
      </c>
      <c r="F4436" t="str">
        <f t="shared" si="16"/>
        <v>9781787566811</v>
      </c>
      <c r="G4436" t="str">
        <f t="shared" si="17"/>
        <v>9781787566804</v>
      </c>
      <c r="H4436" t="s">
        <v>900</v>
      </c>
      <c r="I4436">
        <v>337.51056</v>
      </c>
      <c r="J4436" t="s">
        <v>1794</v>
      </c>
      <c r="K4436" t="s">
        <v>44</v>
      </c>
      <c r="N4436" t="s">
        <v>45</v>
      </c>
      <c r="O4436" t="s">
        <v>46</v>
      </c>
      <c r="P4436" t="s">
        <v>45</v>
      </c>
      <c r="Q4436" t="s">
        <v>47</v>
      </c>
      <c r="R4436" t="s">
        <v>44</v>
      </c>
      <c r="S4436">
        <v>0</v>
      </c>
      <c r="W4436" s="3">
        <v>1.6342592592592593E-2</v>
      </c>
      <c r="X4436" t="s">
        <v>9035</v>
      </c>
      <c r="Y4436">
        <v>8</v>
      </c>
      <c r="Z4436">
        <v>0</v>
      </c>
      <c r="AA4436" t="s">
        <v>49</v>
      </c>
      <c r="AB4436">
        <v>0</v>
      </c>
      <c r="AC4436" t="s">
        <v>49</v>
      </c>
      <c r="AD4436">
        <v>0</v>
      </c>
      <c r="AE4436">
        <v>-1</v>
      </c>
      <c r="AF4436" t="s">
        <v>50</v>
      </c>
      <c r="AG4436" t="s">
        <v>8332</v>
      </c>
    </row>
    <row r="4437" spans="1:33" x14ac:dyDescent="0.35">
      <c r="A4437" s="1">
        <v>44606.488888888889</v>
      </c>
      <c r="B4437">
        <v>5796941</v>
      </c>
      <c r="C4437" t="s">
        <v>7395</v>
      </c>
      <c r="D4437" t="s">
        <v>844</v>
      </c>
      <c r="E4437" s="2">
        <v>43656</v>
      </c>
      <c r="F4437" t="str">
        <f t="shared" si="16"/>
        <v>9781787566811</v>
      </c>
      <c r="G4437" t="str">
        <f t="shared" si="17"/>
        <v>9781787566804</v>
      </c>
      <c r="H4437" t="s">
        <v>900</v>
      </c>
      <c r="I4437">
        <v>337.51056</v>
      </c>
      <c r="J4437" t="s">
        <v>1794</v>
      </c>
      <c r="K4437" t="s">
        <v>44</v>
      </c>
      <c r="N4437" t="s">
        <v>45</v>
      </c>
      <c r="O4437" t="s">
        <v>46</v>
      </c>
      <c r="P4437" t="s">
        <v>45</v>
      </c>
      <c r="Q4437" t="s">
        <v>47</v>
      </c>
      <c r="R4437" t="s">
        <v>44</v>
      </c>
      <c r="S4437">
        <v>0</v>
      </c>
      <c r="W4437" s="3">
        <v>7.6388888888888886E-3</v>
      </c>
      <c r="X4437" t="s">
        <v>9036</v>
      </c>
      <c r="Y4437">
        <v>18</v>
      </c>
      <c r="Z4437">
        <v>0</v>
      </c>
      <c r="AA4437" t="s">
        <v>49</v>
      </c>
      <c r="AB4437">
        <v>0</v>
      </c>
      <c r="AC4437" t="s">
        <v>49</v>
      </c>
      <c r="AD4437">
        <v>0</v>
      </c>
      <c r="AE4437">
        <v>-1</v>
      </c>
      <c r="AF4437" t="s">
        <v>63</v>
      </c>
      <c r="AG4437" t="s">
        <v>300</v>
      </c>
    </row>
    <row r="4438" spans="1:33" x14ac:dyDescent="0.35">
      <c r="A4438" s="1">
        <v>44606.488194444442</v>
      </c>
      <c r="B4438">
        <v>5796941</v>
      </c>
      <c r="C4438" t="s">
        <v>7395</v>
      </c>
      <c r="D4438" t="s">
        <v>844</v>
      </c>
      <c r="E4438" s="2">
        <v>43656</v>
      </c>
      <c r="F4438" t="str">
        <f t="shared" si="16"/>
        <v>9781787566811</v>
      </c>
      <c r="G4438" t="str">
        <f t="shared" si="17"/>
        <v>9781787566804</v>
      </c>
      <c r="H4438" t="s">
        <v>900</v>
      </c>
      <c r="I4438">
        <v>337.51056</v>
      </c>
      <c r="J4438" t="s">
        <v>1794</v>
      </c>
      <c r="K4438" t="s">
        <v>44</v>
      </c>
      <c r="N4438" t="s">
        <v>45</v>
      </c>
      <c r="O4438" t="s">
        <v>46</v>
      </c>
      <c r="P4438" t="s">
        <v>45</v>
      </c>
      <c r="Q4438" t="s">
        <v>47</v>
      </c>
      <c r="R4438" t="s">
        <v>44</v>
      </c>
      <c r="S4438">
        <v>0</v>
      </c>
      <c r="W4438" s="3">
        <v>8.1018518518518514E-3</v>
      </c>
      <c r="X4438" t="s">
        <v>9037</v>
      </c>
      <c r="Y4438">
        <v>13</v>
      </c>
      <c r="Z4438">
        <v>0</v>
      </c>
      <c r="AA4438" t="s">
        <v>49</v>
      </c>
      <c r="AB4438">
        <v>0</v>
      </c>
      <c r="AC4438" t="s">
        <v>49</v>
      </c>
      <c r="AD4438">
        <v>0</v>
      </c>
      <c r="AE4438">
        <v>-1</v>
      </c>
      <c r="AF4438" t="s">
        <v>50</v>
      </c>
      <c r="AG4438" t="s">
        <v>8332</v>
      </c>
    </row>
    <row r="4439" spans="1:33" x14ac:dyDescent="0.35">
      <c r="A4439" s="1">
        <v>44606.487500000003</v>
      </c>
      <c r="B4439">
        <v>5796941</v>
      </c>
      <c r="C4439" t="s">
        <v>7395</v>
      </c>
      <c r="D4439" t="s">
        <v>844</v>
      </c>
      <c r="E4439" s="2">
        <v>43656</v>
      </c>
      <c r="F4439" t="str">
        <f t="shared" si="16"/>
        <v>9781787566811</v>
      </c>
      <c r="G4439" t="str">
        <f t="shared" si="17"/>
        <v>9781787566804</v>
      </c>
      <c r="H4439" t="s">
        <v>900</v>
      </c>
      <c r="I4439">
        <v>337.51056</v>
      </c>
      <c r="J4439" t="s">
        <v>1794</v>
      </c>
      <c r="K4439" t="s">
        <v>44</v>
      </c>
      <c r="N4439" t="s">
        <v>45</v>
      </c>
      <c r="O4439" t="s">
        <v>46</v>
      </c>
      <c r="P4439" t="s">
        <v>45</v>
      </c>
      <c r="Q4439" t="s">
        <v>47</v>
      </c>
      <c r="R4439" t="s">
        <v>44</v>
      </c>
      <c r="S4439">
        <v>0</v>
      </c>
      <c r="W4439" s="3">
        <v>5.7870370370370366E-5</v>
      </c>
      <c r="X4439" t="s">
        <v>196</v>
      </c>
      <c r="Y4439">
        <v>2</v>
      </c>
      <c r="Z4439">
        <v>0</v>
      </c>
      <c r="AA4439" t="s">
        <v>49</v>
      </c>
      <c r="AB4439">
        <v>0</v>
      </c>
      <c r="AC4439" t="s">
        <v>49</v>
      </c>
      <c r="AD4439">
        <v>0</v>
      </c>
      <c r="AE4439">
        <v>-1</v>
      </c>
      <c r="AF4439" t="s">
        <v>50</v>
      </c>
      <c r="AG4439" t="s">
        <v>8624</v>
      </c>
    </row>
    <row r="4440" spans="1:33" x14ac:dyDescent="0.35">
      <c r="A4440" s="1">
        <v>44606.48541666667</v>
      </c>
      <c r="B4440">
        <v>5796941</v>
      </c>
      <c r="C4440" t="s">
        <v>7395</v>
      </c>
      <c r="D4440" t="s">
        <v>844</v>
      </c>
      <c r="E4440" s="2">
        <v>43656</v>
      </c>
      <c r="F4440" t="str">
        <f t="shared" si="16"/>
        <v>9781787566811</v>
      </c>
      <c r="G4440" t="str">
        <f t="shared" si="17"/>
        <v>9781787566804</v>
      </c>
      <c r="H4440" t="s">
        <v>900</v>
      </c>
      <c r="I4440">
        <v>337.51056</v>
      </c>
      <c r="J4440" t="s">
        <v>1794</v>
      </c>
      <c r="K4440" t="s">
        <v>44</v>
      </c>
      <c r="N4440" t="s">
        <v>45</v>
      </c>
      <c r="O4440" t="s">
        <v>46</v>
      </c>
      <c r="P4440" t="s">
        <v>45</v>
      </c>
      <c r="Q4440" t="s">
        <v>47</v>
      </c>
      <c r="R4440" t="s">
        <v>44</v>
      </c>
      <c r="S4440">
        <v>0</v>
      </c>
      <c r="W4440" s="3">
        <v>1.8078703703703704E-2</v>
      </c>
      <c r="X4440" t="s">
        <v>9038</v>
      </c>
      <c r="Y4440">
        <v>26</v>
      </c>
      <c r="Z4440">
        <v>0</v>
      </c>
      <c r="AA4440" t="s">
        <v>49</v>
      </c>
      <c r="AB4440">
        <v>0</v>
      </c>
      <c r="AC4440" t="s">
        <v>49</v>
      </c>
      <c r="AD4440">
        <v>0</v>
      </c>
      <c r="AE4440">
        <v>-1</v>
      </c>
      <c r="AF4440" t="s">
        <v>50</v>
      </c>
      <c r="AG4440" t="s">
        <v>8576</v>
      </c>
    </row>
    <row r="4441" spans="1:33" x14ac:dyDescent="0.35">
      <c r="A4441" s="1">
        <v>44606.48333333333</v>
      </c>
      <c r="B4441">
        <v>5796941</v>
      </c>
      <c r="C4441" t="s">
        <v>7395</v>
      </c>
      <c r="D4441" t="s">
        <v>844</v>
      </c>
      <c r="E4441" s="2">
        <v>43656</v>
      </c>
      <c r="F4441" t="str">
        <f t="shared" si="16"/>
        <v>9781787566811</v>
      </c>
      <c r="G4441" t="str">
        <f t="shared" si="17"/>
        <v>9781787566804</v>
      </c>
      <c r="H4441" t="s">
        <v>900</v>
      </c>
      <c r="I4441">
        <v>337.51056</v>
      </c>
      <c r="J4441" t="s">
        <v>1794</v>
      </c>
      <c r="K4441" t="s">
        <v>44</v>
      </c>
      <c r="N4441" t="s">
        <v>45</v>
      </c>
      <c r="O4441" t="s">
        <v>46</v>
      </c>
      <c r="P4441" t="s">
        <v>45</v>
      </c>
      <c r="Q4441" t="s">
        <v>47</v>
      </c>
      <c r="R4441" t="s">
        <v>44</v>
      </c>
      <c r="S4441">
        <v>0</v>
      </c>
      <c r="W4441" s="3">
        <v>2.1238425925925924E-2</v>
      </c>
      <c r="X4441" t="s">
        <v>9039</v>
      </c>
      <c r="Y4441">
        <v>22</v>
      </c>
      <c r="Z4441">
        <v>0</v>
      </c>
      <c r="AA4441" t="s">
        <v>49</v>
      </c>
      <c r="AB4441">
        <v>0</v>
      </c>
      <c r="AC4441" t="s">
        <v>49</v>
      </c>
      <c r="AD4441">
        <v>0</v>
      </c>
      <c r="AE4441">
        <v>-1</v>
      </c>
      <c r="AF4441" t="s">
        <v>50</v>
      </c>
      <c r="AG4441" t="s">
        <v>5467</v>
      </c>
    </row>
    <row r="4442" spans="1:33" x14ac:dyDescent="0.35">
      <c r="A4442" s="1">
        <v>44606.469444444447</v>
      </c>
      <c r="B4442">
        <v>5796941</v>
      </c>
      <c r="C4442" t="s">
        <v>7395</v>
      </c>
      <c r="D4442" t="s">
        <v>844</v>
      </c>
      <c r="E4442" s="2">
        <v>43656</v>
      </c>
      <c r="F4442" t="str">
        <f t="shared" si="16"/>
        <v>9781787566811</v>
      </c>
      <c r="G4442" t="str">
        <f t="shared" si="17"/>
        <v>9781787566804</v>
      </c>
      <c r="H4442" t="s">
        <v>900</v>
      </c>
      <c r="I4442">
        <v>337.51056</v>
      </c>
      <c r="J4442" t="s">
        <v>1794</v>
      </c>
      <c r="K4442" t="s">
        <v>44</v>
      </c>
      <c r="N4442" t="s">
        <v>45</v>
      </c>
      <c r="O4442" t="s">
        <v>46</v>
      </c>
      <c r="P4442" t="s">
        <v>45</v>
      </c>
      <c r="Q4442" t="s">
        <v>47</v>
      </c>
      <c r="R4442" t="s">
        <v>44</v>
      </c>
      <c r="S4442">
        <v>0</v>
      </c>
      <c r="W4442" s="3">
        <v>9.2939814814814812E-3</v>
      </c>
      <c r="X4442" t="s">
        <v>9040</v>
      </c>
      <c r="Y4442">
        <v>15</v>
      </c>
      <c r="Z4442">
        <v>0</v>
      </c>
      <c r="AA4442" t="s">
        <v>49</v>
      </c>
      <c r="AB4442">
        <v>0</v>
      </c>
      <c r="AC4442" t="s">
        <v>49</v>
      </c>
      <c r="AD4442">
        <v>0</v>
      </c>
      <c r="AE4442">
        <v>-1</v>
      </c>
      <c r="AF4442" t="s">
        <v>50</v>
      </c>
      <c r="AG4442" t="s">
        <v>8332</v>
      </c>
    </row>
    <row r="4443" spans="1:33" x14ac:dyDescent="0.35">
      <c r="A4443" s="1">
        <v>44606.469444444447</v>
      </c>
      <c r="B4443">
        <v>5796941</v>
      </c>
      <c r="C4443" t="s">
        <v>7395</v>
      </c>
      <c r="D4443" t="s">
        <v>844</v>
      </c>
      <c r="E4443" s="2">
        <v>43656</v>
      </c>
      <c r="F4443" t="str">
        <f t="shared" si="16"/>
        <v>9781787566811</v>
      </c>
      <c r="G4443" t="str">
        <f t="shared" si="17"/>
        <v>9781787566804</v>
      </c>
      <c r="H4443" t="s">
        <v>900</v>
      </c>
      <c r="I4443">
        <v>337.51056</v>
      </c>
      <c r="J4443" t="s">
        <v>1794</v>
      </c>
      <c r="K4443" t="s">
        <v>44</v>
      </c>
      <c r="N4443" t="s">
        <v>45</v>
      </c>
      <c r="O4443" t="s">
        <v>46</v>
      </c>
      <c r="P4443" t="s">
        <v>45</v>
      </c>
      <c r="Q4443" t="s">
        <v>47</v>
      </c>
      <c r="R4443" t="s">
        <v>44</v>
      </c>
      <c r="S4443">
        <v>0</v>
      </c>
      <c r="W4443" s="3">
        <v>3.5034722222222224E-2</v>
      </c>
      <c r="X4443" t="s">
        <v>9041</v>
      </c>
      <c r="Y4443">
        <v>23</v>
      </c>
      <c r="Z4443">
        <v>0</v>
      </c>
      <c r="AA4443" t="s">
        <v>49</v>
      </c>
      <c r="AB4443">
        <v>0</v>
      </c>
      <c r="AC4443" t="s">
        <v>49</v>
      </c>
      <c r="AD4443">
        <v>0</v>
      </c>
      <c r="AE4443">
        <v>-1</v>
      </c>
      <c r="AF4443" t="s">
        <v>63</v>
      </c>
      <c r="AG4443" t="s">
        <v>1451</v>
      </c>
    </row>
    <row r="4444" spans="1:33" x14ac:dyDescent="0.35">
      <c r="A4444" s="1">
        <v>44606.46875</v>
      </c>
      <c r="B4444">
        <v>5796941</v>
      </c>
      <c r="C4444" t="s">
        <v>7395</v>
      </c>
      <c r="D4444" t="s">
        <v>844</v>
      </c>
      <c r="E4444" s="2">
        <v>43656</v>
      </c>
      <c r="F4444" t="str">
        <f t="shared" si="16"/>
        <v>9781787566811</v>
      </c>
      <c r="G4444" t="str">
        <f t="shared" si="17"/>
        <v>9781787566804</v>
      </c>
      <c r="H4444" t="s">
        <v>900</v>
      </c>
      <c r="I4444">
        <v>337.51056</v>
      </c>
      <c r="J4444" t="s">
        <v>1794</v>
      </c>
      <c r="K4444" t="s">
        <v>44</v>
      </c>
      <c r="N4444" t="s">
        <v>45</v>
      </c>
      <c r="O4444" t="s">
        <v>46</v>
      </c>
      <c r="P4444" t="s">
        <v>45</v>
      </c>
      <c r="Q4444" t="s">
        <v>47</v>
      </c>
      <c r="R4444" t="s">
        <v>44</v>
      </c>
      <c r="S4444">
        <v>0</v>
      </c>
      <c r="W4444" s="3">
        <v>9.2592592592592588E-5</v>
      </c>
      <c r="X4444" t="s">
        <v>1841</v>
      </c>
      <c r="Y4444">
        <v>1</v>
      </c>
      <c r="Z4444">
        <v>1</v>
      </c>
      <c r="AA4444" t="s">
        <v>8835</v>
      </c>
      <c r="AB4444">
        <v>28</v>
      </c>
      <c r="AC4444" t="s">
        <v>49</v>
      </c>
      <c r="AD4444">
        <v>0</v>
      </c>
      <c r="AE4444">
        <v>-1</v>
      </c>
      <c r="AF4444" t="s">
        <v>50</v>
      </c>
      <c r="AG4444" t="s">
        <v>1691</v>
      </c>
    </row>
    <row r="4445" spans="1:33" x14ac:dyDescent="0.35">
      <c r="A4445" s="1">
        <v>44606.460416666669</v>
      </c>
      <c r="B4445">
        <v>5092478</v>
      </c>
      <c r="C4445" t="s">
        <v>8783</v>
      </c>
      <c r="D4445" t="s">
        <v>8784</v>
      </c>
      <c r="E4445" s="2">
        <v>41513</v>
      </c>
      <c r="F4445" t="str">
        <f>"9781780843407"</f>
        <v>9781780843407</v>
      </c>
      <c r="G4445" t="str">
        <f>"9781780843414"</f>
        <v>9781780843414</v>
      </c>
      <c r="H4445" t="s">
        <v>77</v>
      </c>
      <c r="I4445">
        <v>616.83299999999895</v>
      </c>
      <c r="J4445" t="s">
        <v>8785</v>
      </c>
      <c r="K4445" t="s">
        <v>44</v>
      </c>
      <c r="N4445" t="s">
        <v>45</v>
      </c>
      <c r="O4445" t="s">
        <v>46</v>
      </c>
      <c r="P4445" t="s">
        <v>45</v>
      </c>
      <c r="Q4445" t="s">
        <v>47</v>
      </c>
      <c r="R4445" t="s">
        <v>44</v>
      </c>
      <c r="S4445">
        <v>0</v>
      </c>
      <c r="W4445" s="3">
        <v>4.1319444444444442E-3</v>
      </c>
      <c r="X4445" t="s">
        <v>4621</v>
      </c>
      <c r="Y4445">
        <v>4</v>
      </c>
      <c r="Z4445">
        <v>0</v>
      </c>
      <c r="AA4445" t="s">
        <v>49</v>
      </c>
      <c r="AB4445">
        <v>0</v>
      </c>
      <c r="AC4445" t="s">
        <v>1011</v>
      </c>
      <c r="AD4445">
        <v>1</v>
      </c>
      <c r="AE4445">
        <v>11451926</v>
      </c>
      <c r="AF4445" t="s">
        <v>50</v>
      </c>
      <c r="AG4445" t="s">
        <v>8332</v>
      </c>
    </row>
    <row r="4446" spans="1:33" x14ac:dyDescent="0.35">
      <c r="A4446" s="1">
        <v>44606.451388888891</v>
      </c>
      <c r="B4446">
        <v>880725</v>
      </c>
      <c r="C4446" t="s">
        <v>8726</v>
      </c>
      <c r="D4446" t="s">
        <v>502</v>
      </c>
      <c r="E4446" s="2">
        <v>41029</v>
      </c>
      <c r="F4446" t="str">
        <f>"9781139375573"</f>
        <v>9781139375573</v>
      </c>
      <c r="G4446" t="str">
        <f>"9781107008427"</f>
        <v>9781107008427</v>
      </c>
      <c r="H4446" t="s">
        <v>712</v>
      </c>
      <c r="I4446" t="s">
        <v>8727</v>
      </c>
      <c r="J4446" t="s">
        <v>8728</v>
      </c>
      <c r="K4446" t="s">
        <v>44</v>
      </c>
      <c r="N4446" t="s">
        <v>45</v>
      </c>
      <c r="O4446" t="s">
        <v>46</v>
      </c>
      <c r="P4446" t="s">
        <v>45</v>
      </c>
      <c r="Q4446" t="s">
        <v>47</v>
      </c>
      <c r="R4446" t="s">
        <v>44</v>
      </c>
      <c r="S4446">
        <v>0</v>
      </c>
      <c r="W4446" s="3">
        <v>5.7870370370370366E-5</v>
      </c>
      <c r="X4446" t="s">
        <v>121</v>
      </c>
      <c r="Y4446">
        <v>1</v>
      </c>
      <c r="Z4446">
        <v>0</v>
      </c>
      <c r="AA4446" t="s">
        <v>49</v>
      </c>
      <c r="AB4446">
        <v>0</v>
      </c>
      <c r="AC4446" t="s">
        <v>49</v>
      </c>
      <c r="AD4446">
        <v>0</v>
      </c>
      <c r="AE4446">
        <v>10565106</v>
      </c>
      <c r="AF4446" t="s">
        <v>50</v>
      </c>
      <c r="AG4446" t="s">
        <v>8332</v>
      </c>
    </row>
    <row r="4447" spans="1:33" x14ac:dyDescent="0.35">
      <c r="A4447" s="1">
        <v>44606.446527777778</v>
      </c>
      <c r="B4447">
        <v>182841</v>
      </c>
      <c r="C4447" t="s">
        <v>8753</v>
      </c>
      <c r="D4447" t="s">
        <v>76</v>
      </c>
      <c r="E4447" s="2">
        <v>37680</v>
      </c>
      <c r="F4447" t="str">
        <f>"9780203504239"</f>
        <v>9780203504239</v>
      </c>
      <c r="G4447" t="str">
        <f>"9780415945295"</f>
        <v>9780415945295</v>
      </c>
      <c r="H4447" t="s">
        <v>712</v>
      </c>
      <c r="I4447" t="s">
        <v>8754</v>
      </c>
      <c r="J4447" t="s">
        <v>8755</v>
      </c>
      <c r="K4447" t="s">
        <v>44</v>
      </c>
      <c r="N4447" t="s">
        <v>45</v>
      </c>
      <c r="O4447" t="s">
        <v>46</v>
      </c>
      <c r="P4447" t="s">
        <v>45</v>
      </c>
      <c r="Q4447" t="s">
        <v>47</v>
      </c>
      <c r="R4447" t="s">
        <v>44</v>
      </c>
      <c r="S4447">
        <v>0</v>
      </c>
      <c r="W4447" s="3">
        <v>8.1018518518518516E-5</v>
      </c>
      <c r="X4447" t="s">
        <v>113</v>
      </c>
      <c r="Y4447">
        <v>2</v>
      </c>
      <c r="Z4447">
        <v>0</v>
      </c>
      <c r="AA4447" t="s">
        <v>49</v>
      </c>
      <c r="AB4447">
        <v>0</v>
      </c>
      <c r="AC4447" t="s">
        <v>49</v>
      </c>
      <c r="AD4447">
        <v>0</v>
      </c>
      <c r="AE4447">
        <v>10986557</v>
      </c>
      <c r="AF4447" t="s">
        <v>50</v>
      </c>
      <c r="AG4447" t="s">
        <v>8332</v>
      </c>
    </row>
    <row r="4448" spans="1:33" x14ac:dyDescent="0.35">
      <c r="A4448" s="1">
        <v>44606.430555555555</v>
      </c>
      <c r="B4448">
        <v>689479</v>
      </c>
      <c r="C4448" t="s">
        <v>9042</v>
      </c>
      <c r="D4448" t="s">
        <v>150</v>
      </c>
      <c r="E4448" s="2">
        <v>36423</v>
      </c>
      <c r="F4448" t="str">
        <f>"9781446210420"</f>
        <v>9781446210420</v>
      </c>
      <c r="G4448" t="str">
        <f>"9780761963349"</f>
        <v>9780761963349</v>
      </c>
      <c r="H4448" t="s">
        <v>1046</v>
      </c>
      <c r="I4448">
        <v>305.42</v>
      </c>
      <c r="J4448" t="s">
        <v>9043</v>
      </c>
      <c r="K4448" t="s">
        <v>44</v>
      </c>
      <c r="N4448" t="s">
        <v>45</v>
      </c>
      <c r="O4448" t="s">
        <v>46</v>
      </c>
      <c r="P4448" t="s">
        <v>45</v>
      </c>
      <c r="Q4448" t="s">
        <v>47</v>
      </c>
      <c r="R4448" t="s">
        <v>44</v>
      </c>
      <c r="S4448">
        <v>0</v>
      </c>
      <c r="W4448" s="3">
        <v>5.5208333333333333E-3</v>
      </c>
      <c r="X4448" t="s">
        <v>9044</v>
      </c>
      <c r="Y4448">
        <v>27</v>
      </c>
      <c r="Z4448">
        <v>0</v>
      </c>
      <c r="AA4448" t="s">
        <v>49</v>
      </c>
      <c r="AB4448">
        <v>0</v>
      </c>
      <c r="AC4448" t="s">
        <v>49</v>
      </c>
      <c r="AD4448">
        <v>0</v>
      </c>
      <c r="AE4448">
        <v>10468626</v>
      </c>
      <c r="AF4448" t="s">
        <v>50</v>
      </c>
      <c r="AG4448" t="s">
        <v>9045</v>
      </c>
    </row>
    <row r="4449" spans="1:33" x14ac:dyDescent="0.35">
      <c r="A4449" s="1">
        <v>44606.384027777778</v>
      </c>
      <c r="B4449">
        <v>290717</v>
      </c>
      <c r="C4449" t="s">
        <v>9046</v>
      </c>
      <c r="D4449" t="s">
        <v>266</v>
      </c>
      <c r="E4449" s="2">
        <v>38601</v>
      </c>
      <c r="F4449" t="str">
        <f>"9781846422348"</f>
        <v>9781846422348</v>
      </c>
      <c r="G4449" t="str">
        <f>"9781843104087"</f>
        <v>9781843104087</v>
      </c>
      <c r="H4449" t="s">
        <v>9047</v>
      </c>
      <c r="I4449" t="s">
        <v>9048</v>
      </c>
      <c r="J4449" t="s">
        <v>9049</v>
      </c>
      <c r="K4449" t="s">
        <v>44</v>
      </c>
      <c r="N4449" t="s">
        <v>45</v>
      </c>
      <c r="O4449" t="s">
        <v>46</v>
      </c>
      <c r="P4449" t="s">
        <v>45</v>
      </c>
      <c r="Q4449" t="s">
        <v>47</v>
      </c>
      <c r="R4449" t="s">
        <v>44</v>
      </c>
      <c r="S4449">
        <v>0</v>
      </c>
      <c r="W4449" s="3">
        <v>1.6203703703703703E-4</v>
      </c>
      <c r="X4449" t="s">
        <v>9050</v>
      </c>
      <c r="Y4449">
        <v>3</v>
      </c>
      <c r="Z4449">
        <v>0</v>
      </c>
      <c r="AA4449" t="s">
        <v>49</v>
      </c>
      <c r="AB4449">
        <v>0</v>
      </c>
      <c r="AC4449" t="s">
        <v>49</v>
      </c>
      <c r="AD4449">
        <v>0</v>
      </c>
      <c r="AE4449">
        <v>10130561</v>
      </c>
      <c r="AF4449" t="s">
        <v>50</v>
      </c>
      <c r="AG4449" t="s">
        <v>8332</v>
      </c>
    </row>
    <row r="4450" spans="1:33" x14ac:dyDescent="0.35">
      <c r="A4450" s="1">
        <v>44606.381944444445</v>
      </c>
      <c r="B4450">
        <v>4856329</v>
      </c>
      <c r="C4450" t="s">
        <v>569</v>
      </c>
      <c r="D4450" t="s">
        <v>59</v>
      </c>
      <c r="E4450" s="2">
        <v>42940</v>
      </c>
      <c r="F4450" t="str">
        <f>"9781119280361"</f>
        <v>9781119280361</v>
      </c>
      <c r="G4450" t="str">
        <f>"9781119280347"</f>
        <v>9781119280347</v>
      </c>
      <c r="H4450" t="s">
        <v>546</v>
      </c>
      <c r="I4450">
        <v>621.31244000000004</v>
      </c>
      <c r="J4450" t="s">
        <v>570</v>
      </c>
      <c r="K4450" t="s">
        <v>44</v>
      </c>
      <c r="N4450" t="s">
        <v>45</v>
      </c>
      <c r="O4450" t="s">
        <v>46</v>
      </c>
      <c r="P4450" t="s">
        <v>45</v>
      </c>
      <c r="Q4450" t="s">
        <v>47</v>
      </c>
      <c r="R4450" t="s">
        <v>44</v>
      </c>
      <c r="S4450">
        <v>1</v>
      </c>
      <c r="W4450" s="3">
        <v>0</v>
      </c>
      <c r="X4450" t="s">
        <v>49</v>
      </c>
      <c r="Y4450">
        <v>0</v>
      </c>
      <c r="Z4450">
        <v>1</v>
      </c>
      <c r="AA4450" t="s">
        <v>9051</v>
      </c>
      <c r="AB4450">
        <v>70</v>
      </c>
      <c r="AC4450" t="s">
        <v>49</v>
      </c>
      <c r="AD4450">
        <v>0</v>
      </c>
      <c r="AE4450">
        <v>11382948</v>
      </c>
      <c r="AF4450" t="s">
        <v>63</v>
      </c>
      <c r="AG4450" t="s">
        <v>8332</v>
      </c>
    </row>
    <row r="4451" spans="1:33" x14ac:dyDescent="0.35">
      <c r="A4451" s="1">
        <v>44606.053472222222</v>
      </c>
      <c r="B4451">
        <v>1693657</v>
      </c>
      <c r="C4451" t="s">
        <v>9052</v>
      </c>
      <c r="D4451" t="s">
        <v>473</v>
      </c>
      <c r="E4451" s="2">
        <v>41754</v>
      </c>
      <c r="F4451" t="str">
        <f>"9789004271371"</f>
        <v>9789004271371</v>
      </c>
      <c r="G4451" t="str">
        <f>"9789004269569"</f>
        <v>9789004269569</v>
      </c>
      <c r="H4451" t="s">
        <v>162</v>
      </c>
      <c r="I4451">
        <v>201.7</v>
      </c>
      <c r="J4451" t="s">
        <v>9053</v>
      </c>
      <c r="K4451" t="s">
        <v>44</v>
      </c>
      <c r="N4451" t="s">
        <v>45</v>
      </c>
      <c r="O4451" t="s">
        <v>46</v>
      </c>
      <c r="P4451" t="s">
        <v>45</v>
      </c>
      <c r="Q4451" t="s">
        <v>47</v>
      </c>
      <c r="R4451" t="s">
        <v>44</v>
      </c>
      <c r="S4451">
        <v>0</v>
      </c>
      <c r="W4451" s="3">
        <v>1.2268518518518518E-3</v>
      </c>
      <c r="X4451" t="s">
        <v>9054</v>
      </c>
      <c r="Y4451">
        <v>21</v>
      </c>
      <c r="Z4451">
        <v>0</v>
      </c>
      <c r="AA4451" t="s">
        <v>49</v>
      </c>
      <c r="AB4451">
        <v>0</v>
      </c>
      <c r="AC4451" t="s">
        <v>49</v>
      </c>
      <c r="AD4451">
        <v>0</v>
      </c>
      <c r="AE4451">
        <v>10873765</v>
      </c>
      <c r="AF4451" t="s">
        <v>50</v>
      </c>
      <c r="AG4451" t="s">
        <v>8332</v>
      </c>
    </row>
    <row r="4452" spans="1:33" x14ac:dyDescent="0.35">
      <c r="A4452" s="1">
        <v>44606.036805555559</v>
      </c>
      <c r="B4452">
        <v>1486532</v>
      </c>
      <c r="C4452" t="s">
        <v>9055</v>
      </c>
      <c r="D4452" t="s">
        <v>2919</v>
      </c>
      <c r="E4452" s="2">
        <v>41559</v>
      </c>
      <c r="F4452" t="str">
        <f>"9780860375821"</f>
        <v>9780860375821</v>
      </c>
      <c r="G4452" t="str">
        <f>""</f>
        <v/>
      </c>
      <c r="H4452" t="s">
        <v>162</v>
      </c>
      <c r="I4452">
        <v>200</v>
      </c>
      <c r="J4452" t="s">
        <v>9056</v>
      </c>
      <c r="K4452" t="s">
        <v>44</v>
      </c>
      <c r="N4452" t="s">
        <v>45</v>
      </c>
      <c r="O4452" t="s">
        <v>46</v>
      </c>
      <c r="P4452" t="s">
        <v>45</v>
      </c>
      <c r="Q4452" t="s">
        <v>47</v>
      </c>
      <c r="R4452" t="s">
        <v>44</v>
      </c>
      <c r="S4452">
        <v>0</v>
      </c>
      <c r="W4452" s="3">
        <v>5.9027777777777778E-4</v>
      </c>
      <c r="X4452" t="s">
        <v>9057</v>
      </c>
      <c r="Y4452">
        <v>11</v>
      </c>
      <c r="Z4452">
        <v>0</v>
      </c>
      <c r="AA4452" t="s">
        <v>49</v>
      </c>
      <c r="AB4452">
        <v>0</v>
      </c>
      <c r="AC4452" t="s">
        <v>49</v>
      </c>
      <c r="AD4452">
        <v>0</v>
      </c>
      <c r="AE4452">
        <v>10787749</v>
      </c>
      <c r="AF4452" t="s">
        <v>50</v>
      </c>
      <c r="AG4452" t="s">
        <v>1691</v>
      </c>
    </row>
    <row r="4453" spans="1:33" x14ac:dyDescent="0.35">
      <c r="A4453" s="1">
        <v>44605.964583333334</v>
      </c>
      <c r="B4453">
        <v>310690</v>
      </c>
      <c r="C4453" t="s">
        <v>3233</v>
      </c>
      <c r="D4453" t="s">
        <v>2754</v>
      </c>
      <c r="E4453" s="2">
        <v>38412</v>
      </c>
      <c r="F4453" t="str">
        <f>"9780816696321"</f>
        <v>9780816696321</v>
      </c>
      <c r="G4453" t="str">
        <f>"9780816644100"</f>
        <v>9780816644100</v>
      </c>
      <c r="H4453" t="s">
        <v>3234</v>
      </c>
      <c r="I4453">
        <v>322.10956099999999</v>
      </c>
      <c r="J4453" t="s">
        <v>3235</v>
      </c>
      <c r="K4453" t="s">
        <v>44</v>
      </c>
      <c r="N4453" t="s">
        <v>45</v>
      </c>
      <c r="O4453" t="s">
        <v>46</v>
      </c>
      <c r="P4453" t="s">
        <v>45</v>
      </c>
      <c r="Q4453" t="s">
        <v>47</v>
      </c>
      <c r="R4453" t="s">
        <v>44</v>
      </c>
      <c r="S4453">
        <v>0</v>
      </c>
      <c r="W4453" s="3">
        <v>6.4467592592592597E-3</v>
      </c>
      <c r="X4453" t="s">
        <v>9058</v>
      </c>
      <c r="Y4453">
        <v>10</v>
      </c>
      <c r="Z4453">
        <v>0</v>
      </c>
      <c r="AA4453" t="s">
        <v>49</v>
      </c>
      <c r="AB4453">
        <v>0</v>
      </c>
      <c r="AC4453" t="s">
        <v>49</v>
      </c>
      <c r="AD4453">
        <v>0</v>
      </c>
      <c r="AE4453">
        <v>10151200</v>
      </c>
      <c r="AF4453" t="s">
        <v>50</v>
      </c>
      <c r="AG4453" t="s">
        <v>8799</v>
      </c>
    </row>
    <row r="4454" spans="1:33" x14ac:dyDescent="0.35">
      <c r="A4454" s="1">
        <v>44605.931250000001</v>
      </c>
      <c r="B4454">
        <v>310690</v>
      </c>
      <c r="C4454" t="s">
        <v>3233</v>
      </c>
      <c r="D4454" t="s">
        <v>2754</v>
      </c>
      <c r="E4454" s="2">
        <v>38412</v>
      </c>
      <c r="F4454" t="str">
        <f>"9780816696321"</f>
        <v>9780816696321</v>
      </c>
      <c r="G4454" t="str">
        <f>"9780816644100"</f>
        <v>9780816644100</v>
      </c>
      <c r="H4454" t="s">
        <v>3234</v>
      </c>
      <c r="I4454">
        <v>322.10956099999999</v>
      </c>
      <c r="J4454" t="s">
        <v>3235</v>
      </c>
      <c r="K4454" t="s">
        <v>44</v>
      </c>
      <c r="N4454" t="s">
        <v>45</v>
      </c>
      <c r="O4454" t="s">
        <v>46</v>
      </c>
      <c r="P4454" t="s">
        <v>45</v>
      </c>
      <c r="Q4454" t="s">
        <v>47</v>
      </c>
      <c r="R4454" t="s">
        <v>44</v>
      </c>
      <c r="S4454">
        <v>0</v>
      </c>
      <c r="W4454" s="3">
        <v>2.2337962962962967E-3</v>
      </c>
      <c r="X4454" t="s">
        <v>3748</v>
      </c>
      <c r="Y4454">
        <v>12</v>
      </c>
      <c r="Z4454">
        <v>0</v>
      </c>
      <c r="AA4454" t="s">
        <v>49</v>
      </c>
      <c r="AB4454">
        <v>0</v>
      </c>
      <c r="AC4454" t="s">
        <v>49</v>
      </c>
      <c r="AD4454">
        <v>0</v>
      </c>
      <c r="AE4454">
        <v>10151200</v>
      </c>
      <c r="AF4454" t="s">
        <v>50</v>
      </c>
      <c r="AG4454" t="s">
        <v>8799</v>
      </c>
    </row>
    <row r="4455" spans="1:33" x14ac:dyDescent="0.35">
      <c r="A4455" s="1">
        <v>44605.865972222222</v>
      </c>
      <c r="B4455">
        <v>1681016</v>
      </c>
      <c r="C4455" t="s">
        <v>9059</v>
      </c>
      <c r="D4455" t="s">
        <v>71</v>
      </c>
      <c r="E4455" s="2">
        <v>39330</v>
      </c>
      <c r="F4455" t="str">
        <f>"9789812709592"</f>
        <v>9789812709592</v>
      </c>
      <c r="G4455" t="str">
        <f>"9789812709585"</f>
        <v>9789812709585</v>
      </c>
      <c r="H4455" t="s">
        <v>72</v>
      </c>
      <c r="I4455">
        <v>530.41</v>
      </c>
      <c r="J4455" t="s">
        <v>9060</v>
      </c>
      <c r="K4455" t="s">
        <v>44</v>
      </c>
      <c r="N4455" t="s">
        <v>45</v>
      </c>
      <c r="O4455" t="s">
        <v>46</v>
      </c>
      <c r="P4455" t="s">
        <v>45</v>
      </c>
      <c r="Q4455" t="s">
        <v>47</v>
      </c>
      <c r="R4455" t="s">
        <v>44</v>
      </c>
      <c r="S4455">
        <v>0</v>
      </c>
      <c r="W4455" s="3">
        <v>2.199074074074074E-4</v>
      </c>
      <c r="X4455" t="s">
        <v>9061</v>
      </c>
      <c r="Y4455">
        <v>3</v>
      </c>
      <c r="Z4455">
        <v>0</v>
      </c>
      <c r="AA4455" t="s">
        <v>49</v>
      </c>
      <c r="AB4455">
        <v>0</v>
      </c>
      <c r="AC4455" t="s">
        <v>49</v>
      </c>
      <c r="AD4455">
        <v>0</v>
      </c>
      <c r="AE4455">
        <v>10256006</v>
      </c>
      <c r="AF4455" t="s">
        <v>50</v>
      </c>
      <c r="AG4455" t="s">
        <v>8923</v>
      </c>
    </row>
    <row r="4456" spans="1:33" x14ac:dyDescent="0.35">
      <c r="A4456" s="1">
        <v>44605.823611111111</v>
      </c>
      <c r="B4456">
        <v>3443457</v>
      </c>
      <c r="C4456" t="s">
        <v>9062</v>
      </c>
      <c r="D4456" t="s">
        <v>2871</v>
      </c>
      <c r="E4456" s="2">
        <v>40154</v>
      </c>
      <c r="F4456" t="str">
        <f>"9780292793514"</f>
        <v>9780292793514</v>
      </c>
      <c r="G4456" t="str">
        <f>"9780292721197"</f>
        <v>9780292721197</v>
      </c>
      <c r="H4456" t="s">
        <v>90</v>
      </c>
      <c r="I4456">
        <v>371.82799999999997</v>
      </c>
      <c r="J4456" t="s">
        <v>9063</v>
      </c>
      <c r="K4456" t="s">
        <v>44</v>
      </c>
      <c r="N4456" t="s">
        <v>45</v>
      </c>
      <c r="O4456" t="s">
        <v>46</v>
      </c>
      <c r="P4456" t="s">
        <v>45</v>
      </c>
      <c r="Q4456" t="s">
        <v>47</v>
      </c>
      <c r="R4456" t="s">
        <v>44</v>
      </c>
      <c r="S4456">
        <v>0</v>
      </c>
      <c r="W4456" s="3">
        <v>1.4004629629629629E-3</v>
      </c>
      <c r="X4456" t="s">
        <v>9064</v>
      </c>
      <c r="Y4456">
        <v>27</v>
      </c>
      <c r="Z4456">
        <v>0</v>
      </c>
      <c r="AA4456" t="s">
        <v>49</v>
      </c>
      <c r="AB4456">
        <v>0</v>
      </c>
      <c r="AC4456" t="s">
        <v>49</v>
      </c>
      <c r="AD4456">
        <v>0</v>
      </c>
      <c r="AE4456">
        <v>10364076</v>
      </c>
      <c r="AF4456" t="s">
        <v>50</v>
      </c>
      <c r="AG4456" t="s">
        <v>8332</v>
      </c>
    </row>
    <row r="4457" spans="1:33" x14ac:dyDescent="0.35">
      <c r="A4457" s="1">
        <v>44605.797222222223</v>
      </c>
      <c r="B4457">
        <v>1681016</v>
      </c>
      <c r="C4457" t="s">
        <v>9059</v>
      </c>
      <c r="D4457" t="s">
        <v>71</v>
      </c>
      <c r="E4457" s="2">
        <v>39330</v>
      </c>
      <c r="F4457" t="str">
        <f>"9789812709592"</f>
        <v>9789812709592</v>
      </c>
      <c r="G4457" t="str">
        <f>"9789812709585"</f>
        <v>9789812709585</v>
      </c>
      <c r="H4457" t="s">
        <v>72</v>
      </c>
      <c r="I4457">
        <v>530.41</v>
      </c>
      <c r="J4457" t="s">
        <v>9060</v>
      </c>
      <c r="K4457" t="s">
        <v>44</v>
      </c>
      <c r="N4457" t="s">
        <v>45</v>
      </c>
      <c r="O4457" t="s">
        <v>46</v>
      </c>
      <c r="P4457" t="s">
        <v>45</v>
      </c>
      <c r="Q4457" t="s">
        <v>47</v>
      </c>
      <c r="R4457" t="s">
        <v>44</v>
      </c>
      <c r="S4457">
        <v>0</v>
      </c>
      <c r="W4457" s="3">
        <v>2.1064814814814813E-3</v>
      </c>
      <c r="X4457" t="s">
        <v>9065</v>
      </c>
      <c r="Y4457">
        <v>11</v>
      </c>
      <c r="Z4457">
        <v>0</v>
      </c>
      <c r="AA4457" t="s">
        <v>49</v>
      </c>
      <c r="AB4457">
        <v>0</v>
      </c>
      <c r="AC4457" t="s">
        <v>49</v>
      </c>
      <c r="AD4457">
        <v>0</v>
      </c>
      <c r="AE4457">
        <v>10256006</v>
      </c>
      <c r="AF4457" t="s">
        <v>50</v>
      </c>
      <c r="AG4457" t="s">
        <v>8923</v>
      </c>
    </row>
    <row r="4458" spans="1:33" x14ac:dyDescent="0.35">
      <c r="A4458" s="1">
        <v>44605.619444444441</v>
      </c>
      <c r="B4458">
        <v>882731</v>
      </c>
      <c r="C4458" t="s">
        <v>8947</v>
      </c>
      <c r="D4458" t="s">
        <v>59</v>
      </c>
      <c r="E4458" s="2">
        <v>40973</v>
      </c>
      <c r="F4458" t="str">
        <f>"9781444355857"</f>
        <v>9781444355857</v>
      </c>
      <c r="G4458" t="str">
        <f>"9781444332872"</f>
        <v>9781444332872</v>
      </c>
      <c r="H4458" t="s">
        <v>8948</v>
      </c>
      <c r="I4458">
        <v>175</v>
      </c>
      <c r="J4458" t="s">
        <v>8949</v>
      </c>
      <c r="K4458" t="s">
        <v>44</v>
      </c>
      <c r="N4458" t="s">
        <v>45</v>
      </c>
      <c r="O4458" t="s">
        <v>46</v>
      </c>
      <c r="P4458" t="s">
        <v>45</v>
      </c>
      <c r="Q4458" t="s">
        <v>47</v>
      </c>
      <c r="R4458" t="s">
        <v>44</v>
      </c>
      <c r="S4458">
        <v>1</v>
      </c>
      <c r="W4458" s="3">
        <v>0</v>
      </c>
      <c r="X4458" t="s">
        <v>49</v>
      </c>
      <c r="Y4458">
        <v>0</v>
      </c>
      <c r="Z4458">
        <v>0</v>
      </c>
      <c r="AA4458" t="s">
        <v>49</v>
      </c>
      <c r="AB4458">
        <v>0</v>
      </c>
      <c r="AC4458" t="s">
        <v>49</v>
      </c>
      <c r="AD4458">
        <v>0</v>
      </c>
      <c r="AE4458">
        <v>10630487</v>
      </c>
      <c r="AF4458" t="s">
        <v>63</v>
      </c>
      <c r="AG4458" t="s">
        <v>8332</v>
      </c>
    </row>
    <row r="4459" spans="1:33" x14ac:dyDescent="0.35">
      <c r="A4459" s="1">
        <v>44605.453472222223</v>
      </c>
      <c r="B4459">
        <v>413144</v>
      </c>
      <c r="C4459" t="s">
        <v>5322</v>
      </c>
      <c r="D4459" t="s">
        <v>76</v>
      </c>
      <c r="E4459" s="2">
        <v>39923</v>
      </c>
      <c r="F4459" t="str">
        <f>"9780203881552"</f>
        <v>9780203881552</v>
      </c>
      <c r="G4459" t="str">
        <f>"9780415484718"</f>
        <v>9780415484718</v>
      </c>
      <c r="H4459" t="s">
        <v>162</v>
      </c>
      <c r="I4459" t="s">
        <v>5323</v>
      </c>
      <c r="J4459" t="s">
        <v>5324</v>
      </c>
      <c r="K4459" t="s">
        <v>44</v>
      </c>
      <c r="N4459" t="s">
        <v>45</v>
      </c>
      <c r="O4459" t="s">
        <v>46</v>
      </c>
      <c r="P4459" t="s">
        <v>45</v>
      </c>
      <c r="Q4459" t="s">
        <v>47</v>
      </c>
      <c r="R4459" t="s">
        <v>44</v>
      </c>
      <c r="S4459">
        <v>0</v>
      </c>
      <c r="W4459" s="3">
        <v>3.5196759259259254E-2</v>
      </c>
      <c r="X4459" t="s">
        <v>9066</v>
      </c>
      <c r="Y4459">
        <v>36</v>
      </c>
      <c r="Z4459">
        <v>1</v>
      </c>
      <c r="AA4459" t="s">
        <v>9067</v>
      </c>
      <c r="AB4459">
        <v>30</v>
      </c>
      <c r="AC4459" t="s">
        <v>49</v>
      </c>
      <c r="AD4459">
        <v>0</v>
      </c>
      <c r="AE4459">
        <v>10282390</v>
      </c>
      <c r="AF4459" t="s">
        <v>50</v>
      </c>
      <c r="AG4459" t="s">
        <v>2642</v>
      </c>
    </row>
    <row r="4460" spans="1:33" x14ac:dyDescent="0.35">
      <c r="A4460" s="1">
        <v>44605.449305555558</v>
      </c>
      <c r="B4460">
        <v>3060819</v>
      </c>
      <c r="C4460" t="s">
        <v>9068</v>
      </c>
      <c r="D4460" t="s">
        <v>76</v>
      </c>
      <c r="E4460" s="2">
        <v>39324</v>
      </c>
      <c r="F4460" t="str">
        <f>"9781845537487"</f>
        <v>9781845537487</v>
      </c>
      <c r="G4460" t="str">
        <f>"9781845532598"</f>
        <v>9781845532598</v>
      </c>
      <c r="H4460" t="s">
        <v>162</v>
      </c>
      <c r="I4460">
        <v>297.07100000000003</v>
      </c>
      <c r="J4460" t="s">
        <v>9069</v>
      </c>
      <c r="K4460" t="s">
        <v>44</v>
      </c>
      <c r="N4460" t="s">
        <v>45</v>
      </c>
      <c r="O4460" t="s">
        <v>46</v>
      </c>
      <c r="P4460" t="s">
        <v>45</v>
      </c>
      <c r="Q4460" t="s">
        <v>47</v>
      </c>
      <c r="R4460" t="s">
        <v>44</v>
      </c>
      <c r="S4460">
        <v>0</v>
      </c>
      <c r="W4460" s="3">
        <v>4.2361111111111106E-3</v>
      </c>
      <c r="X4460" t="s">
        <v>9070</v>
      </c>
      <c r="Y4460">
        <v>5</v>
      </c>
      <c r="Z4460">
        <v>0</v>
      </c>
      <c r="AA4460" t="s">
        <v>49</v>
      </c>
      <c r="AB4460">
        <v>0</v>
      </c>
      <c r="AC4460" t="s">
        <v>49</v>
      </c>
      <c r="AD4460">
        <v>0</v>
      </c>
      <c r="AE4460">
        <v>10386863</v>
      </c>
      <c r="AF4460" t="s">
        <v>50</v>
      </c>
      <c r="AG4460" t="s">
        <v>2642</v>
      </c>
    </row>
    <row r="4461" spans="1:33" x14ac:dyDescent="0.35">
      <c r="A4461" s="1">
        <v>44605.442361111112</v>
      </c>
      <c r="B4461">
        <v>254445</v>
      </c>
      <c r="C4461" t="s">
        <v>9071</v>
      </c>
      <c r="D4461" t="s">
        <v>76</v>
      </c>
      <c r="E4461" s="2">
        <v>35510</v>
      </c>
      <c r="F4461" t="str">
        <f>"9780203976739"</f>
        <v>9780203976739</v>
      </c>
      <c r="G4461" t="str">
        <f>"9780415133418"</f>
        <v>9780415133418</v>
      </c>
      <c r="H4461" t="s">
        <v>498</v>
      </c>
      <c r="I4461">
        <v>160</v>
      </c>
      <c r="J4461" t="s">
        <v>9072</v>
      </c>
      <c r="K4461" t="s">
        <v>44</v>
      </c>
      <c r="N4461" t="s">
        <v>45</v>
      </c>
      <c r="O4461" t="s">
        <v>46</v>
      </c>
      <c r="P4461" t="s">
        <v>45</v>
      </c>
      <c r="Q4461" t="s">
        <v>47</v>
      </c>
      <c r="R4461" t="s">
        <v>44</v>
      </c>
      <c r="S4461">
        <v>0</v>
      </c>
      <c r="W4461" s="3">
        <v>1.0208333333333333E-2</v>
      </c>
      <c r="X4461" t="s">
        <v>9073</v>
      </c>
      <c r="Y4461">
        <v>15</v>
      </c>
      <c r="Z4461">
        <v>0</v>
      </c>
      <c r="AA4461" t="s">
        <v>49</v>
      </c>
      <c r="AB4461">
        <v>0</v>
      </c>
      <c r="AC4461" t="s">
        <v>49</v>
      </c>
      <c r="AD4461">
        <v>0</v>
      </c>
      <c r="AE4461">
        <v>10017151</v>
      </c>
      <c r="AF4461" t="s">
        <v>50</v>
      </c>
      <c r="AG4461" t="s">
        <v>8332</v>
      </c>
    </row>
    <row r="4462" spans="1:33" x14ac:dyDescent="0.35">
      <c r="A4462" s="1">
        <v>44605.442361111112</v>
      </c>
      <c r="B4462">
        <v>1767596</v>
      </c>
      <c r="C4462" t="s">
        <v>9074</v>
      </c>
      <c r="D4462" t="s">
        <v>1224</v>
      </c>
      <c r="E4462" s="2">
        <v>41772</v>
      </c>
      <c r="F4462" t="str">
        <f>"9783110354096"</f>
        <v>9783110354096</v>
      </c>
      <c r="G4462" t="str">
        <f>"9783110354089"</f>
        <v>9783110354089</v>
      </c>
      <c r="H4462" t="s">
        <v>498</v>
      </c>
      <c r="I4462">
        <v>160</v>
      </c>
      <c r="J4462" t="s">
        <v>9075</v>
      </c>
      <c r="K4462" t="s">
        <v>44</v>
      </c>
      <c r="N4462" t="s">
        <v>45</v>
      </c>
      <c r="O4462" t="s">
        <v>46</v>
      </c>
      <c r="P4462" t="s">
        <v>45</v>
      </c>
      <c r="Q4462" t="s">
        <v>47</v>
      </c>
      <c r="R4462" t="s">
        <v>44</v>
      </c>
      <c r="S4462">
        <v>0</v>
      </c>
      <c r="W4462" s="3">
        <v>6.9444444444444444E-5</v>
      </c>
      <c r="X4462" t="s">
        <v>196</v>
      </c>
      <c r="Y4462">
        <v>2</v>
      </c>
      <c r="Z4462">
        <v>0</v>
      </c>
      <c r="AA4462" t="s">
        <v>49</v>
      </c>
      <c r="AB4462">
        <v>0</v>
      </c>
      <c r="AC4462" t="s">
        <v>49</v>
      </c>
      <c r="AD4462">
        <v>0</v>
      </c>
      <c r="AE4462">
        <v>11013901</v>
      </c>
      <c r="AF4462" t="s">
        <v>50</v>
      </c>
      <c r="AG4462" t="s">
        <v>8332</v>
      </c>
    </row>
    <row r="4463" spans="1:33" x14ac:dyDescent="0.35">
      <c r="A4463" s="1">
        <v>44605.142361111109</v>
      </c>
      <c r="B4463">
        <v>803218</v>
      </c>
      <c r="C4463" t="s">
        <v>9076</v>
      </c>
      <c r="D4463" t="s">
        <v>502</v>
      </c>
      <c r="E4463" s="2">
        <v>39422</v>
      </c>
      <c r="F4463" t="str">
        <f>"9780511369582"</f>
        <v>9780511369582</v>
      </c>
      <c r="G4463" t="str">
        <f>"9780521875288"</f>
        <v>9780521875288</v>
      </c>
      <c r="H4463" t="s">
        <v>419</v>
      </c>
      <c r="I4463">
        <v>320.51</v>
      </c>
      <c r="J4463" t="s">
        <v>9077</v>
      </c>
      <c r="K4463" t="s">
        <v>44</v>
      </c>
      <c r="N4463" t="s">
        <v>45</v>
      </c>
      <c r="O4463" t="s">
        <v>46</v>
      </c>
      <c r="P4463" t="s">
        <v>45</v>
      </c>
      <c r="Q4463" t="s">
        <v>47</v>
      </c>
      <c r="R4463" t="s">
        <v>44</v>
      </c>
      <c r="S4463">
        <v>0</v>
      </c>
      <c r="W4463" s="3">
        <v>6.5972222222222213E-4</v>
      </c>
      <c r="X4463" t="s">
        <v>9078</v>
      </c>
      <c r="Y4463">
        <v>6</v>
      </c>
      <c r="Z4463">
        <v>0</v>
      </c>
      <c r="AA4463" t="s">
        <v>49</v>
      </c>
      <c r="AB4463">
        <v>0</v>
      </c>
      <c r="AC4463" t="s">
        <v>49</v>
      </c>
      <c r="AD4463">
        <v>0</v>
      </c>
      <c r="AE4463">
        <v>10213908</v>
      </c>
      <c r="AF4463" t="s">
        <v>50</v>
      </c>
      <c r="AG4463" t="s">
        <v>9079</v>
      </c>
    </row>
    <row r="4464" spans="1:33" x14ac:dyDescent="0.35">
      <c r="A4464" s="1">
        <v>44604.994444444441</v>
      </c>
      <c r="B4464">
        <v>517191</v>
      </c>
      <c r="C4464" t="s">
        <v>9080</v>
      </c>
      <c r="D4464" t="s">
        <v>76</v>
      </c>
      <c r="E4464" s="2">
        <v>40266</v>
      </c>
      <c r="F4464" t="str">
        <f>"9781849774949"</f>
        <v>9781849774949</v>
      </c>
      <c r="G4464" t="str">
        <f>"9781844076802"</f>
        <v>9781844076802</v>
      </c>
      <c r="H4464" t="s">
        <v>1112</v>
      </c>
      <c r="I4464" t="s">
        <v>4858</v>
      </c>
      <c r="J4464" t="s">
        <v>9081</v>
      </c>
      <c r="K4464" t="s">
        <v>44</v>
      </c>
      <c r="N4464" t="s">
        <v>45</v>
      </c>
      <c r="O4464" t="s">
        <v>46</v>
      </c>
      <c r="P4464" t="s">
        <v>45</v>
      </c>
      <c r="Q4464" t="s">
        <v>47</v>
      </c>
      <c r="R4464" t="s">
        <v>44</v>
      </c>
      <c r="S4464">
        <v>0</v>
      </c>
      <c r="W4464" s="3">
        <v>1.6203703703703703E-4</v>
      </c>
      <c r="X4464" t="s">
        <v>9082</v>
      </c>
      <c r="Y4464">
        <v>3</v>
      </c>
      <c r="Z4464">
        <v>0</v>
      </c>
      <c r="AA4464" t="s">
        <v>49</v>
      </c>
      <c r="AB4464">
        <v>0</v>
      </c>
      <c r="AC4464" t="s">
        <v>49</v>
      </c>
      <c r="AD4464">
        <v>0</v>
      </c>
      <c r="AE4464">
        <v>10392060</v>
      </c>
      <c r="AF4464" t="s">
        <v>50</v>
      </c>
      <c r="AG4464" t="s">
        <v>8710</v>
      </c>
    </row>
    <row r="4465" spans="1:33" x14ac:dyDescent="0.35">
      <c r="A4465" s="1">
        <v>44604.945833333331</v>
      </c>
      <c r="B4465">
        <v>446895</v>
      </c>
      <c r="C4465" t="s">
        <v>9083</v>
      </c>
      <c r="D4465" t="s">
        <v>76</v>
      </c>
      <c r="E4465" s="2">
        <v>40042</v>
      </c>
      <c r="F4465" t="str">
        <f>"9780203873328"</f>
        <v>9780203873328</v>
      </c>
      <c r="G4465" t="str">
        <f>"9780415957045"</f>
        <v>9780415957045</v>
      </c>
      <c r="H4465" t="s">
        <v>9084</v>
      </c>
      <c r="I4465">
        <v>370.11500000000001</v>
      </c>
      <c r="J4465" t="s">
        <v>9085</v>
      </c>
      <c r="K4465" t="s">
        <v>44</v>
      </c>
      <c r="N4465" t="s">
        <v>45</v>
      </c>
      <c r="O4465" t="s">
        <v>46</v>
      </c>
      <c r="P4465" t="s">
        <v>45</v>
      </c>
      <c r="Q4465" t="s">
        <v>47</v>
      </c>
      <c r="R4465" t="s">
        <v>44</v>
      </c>
      <c r="S4465">
        <v>0</v>
      </c>
      <c r="W4465" s="3">
        <v>4.2824074074074075E-4</v>
      </c>
      <c r="X4465" t="s">
        <v>9086</v>
      </c>
      <c r="Y4465">
        <v>3</v>
      </c>
      <c r="Z4465">
        <v>0</v>
      </c>
      <c r="AA4465" t="s">
        <v>49</v>
      </c>
      <c r="AB4465">
        <v>0</v>
      </c>
      <c r="AC4465" t="s">
        <v>49</v>
      </c>
      <c r="AD4465">
        <v>0</v>
      </c>
      <c r="AE4465">
        <v>10326766</v>
      </c>
      <c r="AF4465" t="s">
        <v>50</v>
      </c>
      <c r="AG4465" t="s">
        <v>9079</v>
      </c>
    </row>
    <row r="4466" spans="1:33" x14ac:dyDescent="0.35">
      <c r="A4466" s="1">
        <v>44604.912499999999</v>
      </c>
      <c r="B4466">
        <v>1884177</v>
      </c>
      <c r="C4466" t="s">
        <v>8382</v>
      </c>
      <c r="D4466" t="s">
        <v>8383</v>
      </c>
      <c r="E4466" s="2">
        <v>41378</v>
      </c>
      <c r="F4466" t="str">
        <f>"9780873898805"</f>
        <v>9780873898805</v>
      </c>
      <c r="G4466" t="str">
        <f>"9780873898539"</f>
        <v>9780873898539</v>
      </c>
      <c r="H4466" t="s">
        <v>60</v>
      </c>
      <c r="I4466" t="s">
        <v>8384</v>
      </c>
      <c r="J4466" t="s">
        <v>8385</v>
      </c>
      <c r="K4466" t="s">
        <v>44</v>
      </c>
      <c r="N4466" t="s">
        <v>45</v>
      </c>
      <c r="O4466" t="s">
        <v>46</v>
      </c>
      <c r="P4466" t="s">
        <v>45</v>
      </c>
      <c r="Q4466" t="s">
        <v>47</v>
      </c>
      <c r="R4466" t="s">
        <v>44</v>
      </c>
      <c r="S4466">
        <v>0</v>
      </c>
      <c r="W4466" s="3">
        <v>4.0624999999999993E-3</v>
      </c>
      <c r="X4466" t="s">
        <v>9087</v>
      </c>
      <c r="Y4466">
        <v>9</v>
      </c>
      <c r="Z4466">
        <v>0</v>
      </c>
      <c r="AA4466" t="s">
        <v>49</v>
      </c>
      <c r="AB4466">
        <v>0</v>
      </c>
      <c r="AC4466" t="s">
        <v>49</v>
      </c>
      <c r="AD4466">
        <v>0</v>
      </c>
      <c r="AE4466">
        <v>10929588</v>
      </c>
      <c r="AF4466" t="s">
        <v>50</v>
      </c>
      <c r="AG4466" t="s">
        <v>8799</v>
      </c>
    </row>
    <row r="4467" spans="1:33" x14ac:dyDescent="0.35">
      <c r="A4467" s="1">
        <v>44604.898611111108</v>
      </c>
      <c r="B4467">
        <v>333143</v>
      </c>
      <c r="C4467" t="s">
        <v>9088</v>
      </c>
      <c r="D4467" t="s">
        <v>1918</v>
      </c>
      <c r="E4467" s="2">
        <v>38484</v>
      </c>
      <c r="F4467" t="str">
        <f>"9788122423242"</f>
        <v>9788122423242</v>
      </c>
      <c r="G4467" t="str">
        <f>"9788122416008"</f>
        <v>9788122416008</v>
      </c>
      <c r="H4467" t="s">
        <v>60</v>
      </c>
      <c r="I4467" t="s">
        <v>9089</v>
      </c>
      <c r="J4467" t="s">
        <v>9090</v>
      </c>
      <c r="K4467" t="s">
        <v>44</v>
      </c>
      <c r="N4467" t="s">
        <v>45</v>
      </c>
      <c r="O4467" t="s">
        <v>46</v>
      </c>
      <c r="P4467" t="s">
        <v>45</v>
      </c>
      <c r="Q4467" t="s">
        <v>47</v>
      </c>
      <c r="R4467" t="s">
        <v>44</v>
      </c>
      <c r="S4467">
        <v>0</v>
      </c>
      <c r="W4467" s="3">
        <v>1.7986111111111109E-2</v>
      </c>
      <c r="X4467" t="s">
        <v>9091</v>
      </c>
      <c r="Y4467">
        <v>35</v>
      </c>
      <c r="Z4467">
        <v>0</v>
      </c>
      <c r="AA4467" t="s">
        <v>49</v>
      </c>
      <c r="AB4467">
        <v>0</v>
      </c>
      <c r="AC4467" t="s">
        <v>49</v>
      </c>
      <c r="AD4467">
        <v>0</v>
      </c>
      <c r="AE4467">
        <v>10323346</v>
      </c>
      <c r="AF4467" t="s">
        <v>50</v>
      </c>
      <c r="AG4467" t="s">
        <v>8799</v>
      </c>
    </row>
    <row r="4468" spans="1:33" x14ac:dyDescent="0.35">
      <c r="A4468" s="1">
        <v>44604.890972222223</v>
      </c>
      <c r="B4468">
        <v>3002541</v>
      </c>
      <c r="C4468" t="s">
        <v>9092</v>
      </c>
      <c r="D4468" t="s">
        <v>8383</v>
      </c>
      <c r="E4468" s="2">
        <v>38471</v>
      </c>
      <c r="F4468" t="str">
        <f>"9780873896634"</f>
        <v>9780873896634</v>
      </c>
      <c r="G4468" t="str">
        <f>"9780873896634"</f>
        <v>9780873896634</v>
      </c>
      <c r="H4468" t="s">
        <v>60</v>
      </c>
      <c r="I4468" t="s">
        <v>9093</v>
      </c>
      <c r="J4468" t="s">
        <v>9094</v>
      </c>
      <c r="K4468" t="s">
        <v>44</v>
      </c>
      <c r="N4468" t="s">
        <v>45</v>
      </c>
      <c r="O4468" t="s">
        <v>46</v>
      </c>
      <c r="P4468" t="s">
        <v>45</v>
      </c>
      <c r="Q4468" t="s">
        <v>47</v>
      </c>
      <c r="R4468" t="s">
        <v>44</v>
      </c>
      <c r="S4468">
        <v>0</v>
      </c>
      <c r="W4468" s="3">
        <v>7.69675925925926E-3</v>
      </c>
      <c r="X4468" t="s">
        <v>9095</v>
      </c>
      <c r="Y4468">
        <v>31</v>
      </c>
      <c r="Z4468">
        <v>0</v>
      </c>
      <c r="AA4468" t="s">
        <v>49</v>
      </c>
      <c r="AB4468">
        <v>0</v>
      </c>
      <c r="AC4468" t="s">
        <v>49</v>
      </c>
      <c r="AD4468">
        <v>0</v>
      </c>
      <c r="AE4468">
        <v>10907768</v>
      </c>
      <c r="AF4468" t="s">
        <v>50</v>
      </c>
      <c r="AG4468" t="s">
        <v>8799</v>
      </c>
    </row>
    <row r="4469" spans="1:33" x14ac:dyDescent="0.35">
      <c r="A4469" s="1">
        <v>44604.854861111111</v>
      </c>
      <c r="B4469">
        <v>957520</v>
      </c>
      <c r="C4469" t="s">
        <v>3161</v>
      </c>
      <c r="D4469" t="s">
        <v>76</v>
      </c>
      <c r="E4469" s="2">
        <v>40891</v>
      </c>
      <c r="F4469" t="str">
        <f>"9780203802861"</f>
        <v>9780203802861</v>
      </c>
      <c r="G4469" t="str">
        <f>"9780415589758"</f>
        <v>9780415589758</v>
      </c>
      <c r="H4469" t="s">
        <v>1046</v>
      </c>
      <c r="I4469">
        <v>307.76010000000002</v>
      </c>
      <c r="J4469" t="s">
        <v>3162</v>
      </c>
      <c r="K4469" t="s">
        <v>44</v>
      </c>
      <c r="N4469" t="s">
        <v>45</v>
      </c>
      <c r="O4469" t="s">
        <v>46</v>
      </c>
      <c r="P4469" t="s">
        <v>45</v>
      </c>
      <c r="Q4469" t="s">
        <v>47</v>
      </c>
      <c r="R4469" t="s">
        <v>44</v>
      </c>
      <c r="S4469">
        <v>0</v>
      </c>
      <c r="W4469" s="3">
        <v>8.3333333333333339E-4</v>
      </c>
      <c r="X4469" t="s">
        <v>9096</v>
      </c>
      <c r="Y4469">
        <v>9</v>
      </c>
      <c r="Z4469">
        <v>0</v>
      </c>
      <c r="AA4469" t="s">
        <v>49</v>
      </c>
      <c r="AB4469">
        <v>0</v>
      </c>
      <c r="AC4469" t="s">
        <v>49</v>
      </c>
      <c r="AD4469">
        <v>0</v>
      </c>
      <c r="AE4469">
        <v>10542221</v>
      </c>
      <c r="AF4469" t="s">
        <v>50</v>
      </c>
      <c r="AG4469" t="s">
        <v>9079</v>
      </c>
    </row>
    <row r="4470" spans="1:33" x14ac:dyDescent="0.35">
      <c r="A4470" s="1">
        <v>44604.813888888886</v>
      </c>
      <c r="B4470">
        <v>4043002</v>
      </c>
      <c r="C4470" t="s">
        <v>7814</v>
      </c>
      <c r="D4470" t="s">
        <v>59</v>
      </c>
      <c r="E4470" s="2">
        <v>42388</v>
      </c>
      <c r="F4470" t="str">
        <f>"9781119045076"</f>
        <v>9781119045076</v>
      </c>
      <c r="G4470" t="str">
        <f>"9781119045069"</f>
        <v>9781119045069</v>
      </c>
      <c r="H4470" t="s">
        <v>1046</v>
      </c>
      <c r="I4470" t="s">
        <v>3427</v>
      </c>
      <c r="J4470" t="s">
        <v>7815</v>
      </c>
      <c r="K4470" t="s">
        <v>44</v>
      </c>
      <c r="N4470" t="s">
        <v>45</v>
      </c>
      <c r="O4470" t="s">
        <v>46</v>
      </c>
      <c r="P4470" t="s">
        <v>45</v>
      </c>
      <c r="Q4470" t="s">
        <v>47</v>
      </c>
      <c r="R4470" t="s">
        <v>44</v>
      </c>
      <c r="S4470">
        <v>1</v>
      </c>
      <c r="W4470" s="3">
        <v>5.7870370370370378E-4</v>
      </c>
      <c r="X4470" t="s">
        <v>9097</v>
      </c>
      <c r="Y4470">
        <v>8</v>
      </c>
      <c r="Z4470">
        <v>1</v>
      </c>
      <c r="AA4470" t="s">
        <v>9098</v>
      </c>
      <c r="AB4470">
        <v>18</v>
      </c>
      <c r="AC4470" t="s">
        <v>49</v>
      </c>
      <c r="AD4470">
        <v>0</v>
      </c>
      <c r="AE4470">
        <v>11115179</v>
      </c>
      <c r="AF4470" t="s">
        <v>63</v>
      </c>
      <c r="AG4470" t="s">
        <v>9079</v>
      </c>
    </row>
    <row r="4471" spans="1:33" x14ac:dyDescent="0.35">
      <c r="A4471" s="1">
        <v>44604.811111111114</v>
      </c>
      <c r="B4471">
        <v>4043002</v>
      </c>
      <c r="C4471" t="s">
        <v>7814</v>
      </c>
      <c r="D4471" t="s">
        <v>59</v>
      </c>
      <c r="E4471" s="2">
        <v>42388</v>
      </c>
      <c r="F4471" t="str">
        <f>"9781119045076"</f>
        <v>9781119045076</v>
      </c>
      <c r="G4471" t="str">
        <f>"9781119045069"</f>
        <v>9781119045069</v>
      </c>
      <c r="H4471" t="s">
        <v>1046</v>
      </c>
      <c r="I4471" t="s">
        <v>3427</v>
      </c>
      <c r="J4471" t="s">
        <v>7815</v>
      </c>
      <c r="K4471" t="s">
        <v>44</v>
      </c>
      <c r="N4471" t="s">
        <v>45</v>
      </c>
      <c r="O4471" t="s">
        <v>46</v>
      </c>
      <c r="P4471" t="s">
        <v>45</v>
      </c>
      <c r="Q4471" t="s">
        <v>47</v>
      </c>
      <c r="R4471" t="s">
        <v>44</v>
      </c>
      <c r="S4471">
        <v>0</v>
      </c>
      <c r="W4471" s="3">
        <v>2.9166666666666668E-3</v>
      </c>
      <c r="X4471" t="s">
        <v>9099</v>
      </c>
      <c r="Y4471">
        <v>3</v>
      </c>
      <c r="Z4471">
        <v>0</v>
      </c>
      <c r="AA4471" t="s">
        <v>49</v>
      </c>
      <c r="AB4471">
        <v>0</v>
      </c>
      <c r="AC4471" t="s">
        <v>49</v>
      </c>
      <c r="AD4471">
        <v>0</v>
      </c>
      <c r="AE4471">
        <v>11115179</v>
      </c>
      <c r="AF4471" t="s">
        <v>50</v>
      </c>
      <c r="AG4471" t="s">
        <v>9079</v>
      </c>
    </row>
    <row r="4472" spans="1:33" x14ac:dyDescent="0.35">
      <c r="A4472" s="1">
        <v>44604.720138888886</v>
      </c>
      <c r="B4472">
        <v>238743</v>
      </c>
      <c r="C4472" t="s">
        <v>9100</v>
      </c>
      <c r="D4472" t="s">
        <v>76</v>
      </c>
      <c r="E4472" s="2">
        <v>34716</v>
      </c>
      <c r="F4472" t="str">
        <f>"9780203986011"</f>
        <v>9780203986011</v>
      </c>
      <c r="G4472" t="str">
        <f>"9780700701636"</f>
        <v>9780700701636</v>
      </c>
      <c r="H4472" t="s">
        <v>162</v>
      </c>
      <c r="I4472">
        <v>294.52199999999999</v>
      </c>
      <c r="J4472" t="s">
        <v>9101</v>
      </c>
      <c r="K4472" t="s">
        <v>44</v>
      </c>
      <c r="N4472" t="s">
        <v>45</v>
      </c>
      <c r="O4472" t="s">
        <v>46</v>
      </c>
      <c r="P4472" t="s">
        <v>45</v>
      </c>
      <c r="Q4472" t="s">
        <v>47</v>
      </c>
      <c r="R4472" t="s">
        <v>44</v>
      </c>
      <c r="S4472">
        <v>0</v>
      </c>
      <c r="W4472" s="3">
        <v>8.449074074074075E-4</v>
      </c>
      <c r="X4472" t="s">
        <v>1637</v>
      </c>
      <c r="Y4472">
        <v>8</v>
      </c>
      <c r="Z4472">
        <v>0</v>
      </c>
      <c r="AA4472" t="s">
        <v>49</v>
      </c>
      <c r="AB4472">
        <v>0</v>
      </c>
      <c r="AC4472" t="s">
        <v>49</v>
      </c>
      <c r="AD4472">
        <v>0</v>
      </c>
      <c r="AE4472">
        <v>10093538</v>
      </c>
      <c r="AF4472" t="s">
        <v>50</v>
      </c>
      <c r="AG4472" t="s">
        <v>8332</v>
      </c>
    </row>
    <row r="4473" spans="1:33" x14ac:dyDescent="0.35">
      <c r="A4473" s="1">
        <v>44604.676388888889</v>
      </c>
      <c r="B4473">
        <v>6809737</v>
      </c>
      <c r="C4473" t="s">
        <v>9102</v>
      </c>
      <c r="D4473" t="s">
        <v>76</v>
      </c>
      <c r="E4473" s="2">
        <v>44531</v>
      </c>
      <c r="F4473" t="str">
        <f>"9781000529739"</f>
        <v>9781000529739</v>
      </c>
      <c r="G4473" t="str">
        <f>"9781032026169"</f>
        <v>9781032026169</v>
      </c>
      <c r="H4473" t="s">
        <v>498</v>
      </c>
      <c r="I4473">
        <v>110</v>
      </c>
      <c r="J4473" t="s">
        <v>9103</v>
      </c>
      <c r="K4473" t="s">
        <v>55</v>
      </c>
      <c r="N4473" t="s">
        <v>79</v>
      </c>
      <c r="P4473" t="s">
        <v>80</v>
      </c>
      <c r="Q4473" t="s">
        <v>47</v>
      </c>
      <c r="R4473" t="s">
        <v>44</v>
      </c>
      <c r="S4473">
        <v>0</v>
      </c>
      <c r="W4473" s="3">
        <v>1.238425925925926E-2</v>
      </c>
      <c r="X4473" t="s">
        <v>9104</v>
      </c>
      <c r="Y4473">
        <v>20</v>
      </c>
      <c r="Z4473">
        <v>0</v>
      </c>
      <c r="AA4473" t="s">
        <v>49</v>
      </c>
      <c r="AB4473">
        <v>0</v>
      </c>
      <c r="AC4473" t="s">
        <v>49</v>
      </c>
      <c r="AD4473">
        <v>0</v>
      </c>
      <c r="AE4473">
        <v>-1</v>
      </c>
      <c r="AF4473" t="s">
        <v>50</v>
      </c>
      <c r="AG4473" t="s">
        <v>8332</v>
      </c>
    </row>
    <row r="4474" spans="1:33" x14ac:dyDescent="0.35">
      <c r="A4474" s="1">
        <v>44604.643055555556</v>
      </c>
      <c r="B4474">
        <v>4843210</v>
      </c>
      <c r="C4474" t="s">
        <v>9105</v>
      </c>
      <c r="D4474" t="s">
        <v>1224</v>
      </c>
      <c r="E4474" s="2">
        <v>42835</v>
      </c>
      <c r="F4474" t="str">
        <f>"9781501500060"</f>
        <v>9781501500060</v>
      </c>
      <c r="G4474" t="str">
        <f>"9781501510397"</f>
        <v>9781501510397</v>
      </c>
      <c r="H4474" t="s">
        <v>1046</v>
      </c>
      <c r="I4474">
        <v>302.2</v>
      </c>
      <c r="J4474" t="s">
        <v>9106</v>
      </c>
      <c r="K4474" t="s">
        <v>44</v>
      </c>
      <c r="N4474" t="s">
        <v>45</v>
      </c>
      <c r="O4474" t="s">
        <v>46</v>
      </c>
      <c r="P4474" t="s">
        <v>45</v>
      </c>
      <c r="Q4474" t="s">
        <v>47</v>
      </c>
      <c r="R4474" t="s">
        <v>44</v>
      </c>
      <c r="S4474">
        <v>0</v>
      </c>
      <c r="W4474" s="3">
        <v>3.5995370370370369E-3</v>
      </c>
      <c r="X4474" t="s">
        <v>9107</v>
      </c>
      <c r="Y4474">
        <v>18</v>
      </c>
      <c r="Z4474">
        <v>0</v>
      </c>
      <c r="AA4474" t="s">
        <v>49</v>
      </c>
      <c r="AB4474">
        <v>0</v>
      </c>
      <c r="AC4474" t="s">
        <v>9108</v>
      </c>
      <c r="AD4474">
        <v>1</v>
      </c>
      <c r="AE4474">
        <v>11375520</v>
      </c>
      <c r="AF4474" t="s">
        <v>50</v>
      </c>
      <c r="AG4474" t="s">
        <v>8332</v>
      </c>
    </row>
    <row r="4475" spans="1:33" x14ac:dyDescent="0.35">
      <c r="A4475" s="1">
        <v>44604.64166666667</v>
      </c>
      <c r="B4475">
        <v>380615</v>
      </c>
      <c r="C4475" t="s">
        <v>9109</v>
      </c>
      <c r="D4475" t="s">
        <v>3134</v>
      </c>
      <c r="E4475" s="2">
        <v>39387</v>
      </c>
      <c r="F4475" t="str">
        <f>"9781781388082"</f>
        <v>9781781388082</v>
      </c>
      <c r="G4475" t="str">
        <f>"9781846311154"</f>
        <v>9781846311154</v>
      </c>
      <c r="H4475" t="s">
        <v>1069</v>
      </c>
      <c r="I4475">
        <v>811.00900000000001</v>
      </c>
      <c r="K4475" t="s">
        <v>44</v>
      </c>
      <c r="N4475" t="s">
        <v>45</v>
      </c>
      <c r="O4475" t="s">
        <v>46</v>
      </c>
      <c r="P4475" t="s">
        <v>45</v>
      </c>
      <c r="Q4475" t="s">
        <v>47</v>
      </c>
      <c r="R4475" t="s">
        <v>44</v>
      </c>
      <c r="S4475">
        <v>0</v>
      </c>
      <c r="W4475" s="3">
        <v>2.4305555555555552E-4</v>
      </c>
      <c r="X4475" t="s">
        <v>9110</v>
      </c>
      <c r="Y4475">
        <v>3</v>
      </c>
      <c r="Z4475">
        <v>0</v>
      </c>
      <c r="AA4475" t="s">
        <v>49</v>
      </c>
      <c r="AB4475">
        <v>0</v>
      </c>
      <c r="AC4475" t="s">
        <v>49</v>
      </c>
      <c r="AD4475">
        <v>0</v>
      </c>
      <c r="AE4475">
        <v>10369093</v>
      </c>
      <c r="AF4475" t="s">
        <v>50</v>
      </c>
      <c r="AG4475" t="s">
        <v>8332</v>
      </c>
    </row>
    <row r="4476" spans="1:33" x14ac:dyDescent="0.35">
      <c r="A4476" s="1">
        <v>44604.640972222223</v>
      </c>
      <c r="B4476">
        <v>6809737</v>
      </c>
      <c r="C4476" t="s">
        <v>9102</v>
      </c>
      <c r="D4476" t="s">
        <v>76</v>
      </c>
      <c r="E4476" s="2">
        <v>44531</v>
      </c>
      <c r="F4476" t="str">
        <f>"9781000529739"</f>
        <v>9781000529739</v>
      </c>
      <c r="G4476" t="str">
        <f>"9781032026169"</f>
        <v>9781032026169</v>
      </c>
      <c r="H4476" t="s">
        <v>498</v>
      </c>
      <c r="I4476">
        <v>110</v>
      </c>
      <c r="J4476" t="s">
        <v>9103</v>
      </c>
      <c r="K4476" t="s">
        <v>55</v>
      </c>
      <c r="N4476" t="s">
        <v>79</v>
      </c>
      <c r="P4476" t="s">
        <v>80</v>
      </c>
      <c r="Q4476" t="s">
        <v>47</v>
      </c>
      <c r="R4476" t="s">
        <v>44</v>
      </c>
      <c r="S4476">
        <v>0</v>
      </c>
      <c r="W4476" s="3">
        <v>6.9560185185185185E-3</v>
      </c>
      <c r="X4476" t="s">
        <v>9111</v>
      </c>
      <c r="Y4476">
        <v>14</v>
      </c>
      <c r="Z4476">
        <v>0</v>
      </c>
      <c r="AA4476" t="s">
        <v>49</v>
      </c>
      <c r="AB4476">
        <v>0</v>
      </c>
      <c r="AC4476" t="s">
        <v>49</v>
      </c>
      <c r="AD4476">
        <v>0</v>
      </c>
      <c r="AE4476">
        <v>-1</v>
      </c>
      <c r="AF4476" t="s">
        <v>50</v>
      </c>
      <c r="AG4476" t="s">
        <v>8332</v>
      </c>
    </row>
    <row r="4477" spans="1:33" x14ac:dyDescent="0.35">
      <c r="A4477" s="1">
        <v>44604.640277777777</v>
      </c>
      <c r="B4477">
        <v>4504725</v>
      </c>
      <c r="C4477" t="s">
        <v>9112</v>
      </c>
      <c r="D4477" t="s">
        <v>9113</v>
      </c>
      <c r="E4477" s="2">
        <v>42471</v>
      </c>
      <c r="F4477" t="str">
        <f>"9782806274502"</f>
        <v>9782806274502</v>
      </c>
      <c r="G4477" t="str">
        <f>""</f>
        <v/>
      </c>
      <c r="H4477" t="s">
        <v>60</v>
      </c>
      <c r="I4477">
        <v>658.31401900000003</v>
      </c>
      <c r="J4477" t="s">
        <v>9114</v>
      </c>
      <c r="K4477" t="s">
        <v>44</v>
      </c>
      <c r="N4477" t="s">
        <v>45</v>
      </c>
      <c r="O4477" t="s">
        <v>46</v>
      </c>
      <c r="P4477" t="s">
        <v>45</v>
      </c>
      <c r="Q4477" t="s">
        <v>47</v>
      </c>
      <c r="R4477" t="s">
        <v>44</v>
      </c>
      <c r="S4477">
        <v>2</v>
      </c>
      <c r="W4477" s="3">
        <v>1.4166666666666666E-2</v>
      </c>
      <c r="X4477" t="s">
        <v>9115</v>
      </c>
      <c r="Y4477">
        <v>21</v>
      </c>
      <c r="Z4477">
        <v>0</v>
      </c>
      <c r="AA4477" t="s">
        <v>49</v>
      </c>
      <c r="AB4477">
        <v>0</v>
      </c>
      <c r="AC4477" t="s">
        <v>49</v>
      </c>
      <c r="AD4477">
        <v>0</v>
      </c>
      <c r="AE4477">
        <v>11207014</v>
      </c>
      <c r="AF4477" t="s">
        <v>63</v>
      </c>
      <c r="AG4477" t="s">
        <v>8332</v>
      </c>
    </row>
    <row r="4478" spans="1:33" x14ac:dyDescent="0.35">
      <c r="A4478" s="1">
        <v>44604.625</v>
      </c>
      <c r="B4478">
        <v>1186056</v>
      </c>
      <c r="C4478" t="s">
        <v>9116</v>
      </c>
      <c r="D4478" t="s">
        <v>465</v>
      </c>
      <c r="E4478" s="2">
        <v>40246</v>
      </c>
      <c r="F4478" t="str">
        <f>"9781849731133"</f>
        <v>9781849731133</v>
      </c>
      <c r="G4478" t="str">
        <f>"9781847552402"</f>
        <v>9781847552402</v>
      </c>
      <c r="H4478" t="s">
        <v>9117</v>
      </c>
      <c r="I4478">
        <v>620.5</v>
      </c>
      <c r="J4478" t="s">
        <v>9118</v>
      </c>
      <c r="K4478" t="s">
        <v>44</v>
      </c>
      <c r="N4478" t="s">
        <v>45</v>
      </c>
      <c r="O4478" t="s">
        <v>46</v>
      </c>
      <c r="P4478" t="s">
        <v>45</v>
      </c>
      <c r="Q4478" t="s">
        <v>47</v>
      </c>
      <c r="R4478" t="s">
        <v>44</v>
      </c>
      <c r="S4478">
        <v>0</v>
      </c>
      <c r="W4478" s="3">
        <v>1.4004629629629629E-3</v>
      </c>
      <c r="X4478" t="s">
        <v>9119</v>
      </c>
      <c r="Y4478">
        <v>13</v>
      </c>
      <c r="Z4478">
        <v>0</v>
      </c>
      <c r="AA4478" t="s">
        <v>49</v>
      </c>
      <c r="AB4478">
        <v>0</v>
      </c>
      <c r="AC4478" t="s">
        <v>49</v>
      </c>
      <c r="AD4478">
        <v>0</v>
      </c>
      <c r="AE4478">
        <v>10627738</v>
      </c>
      <c r="AF4478" t="s">
        <v>50</v>
      </c>
      <c r="AG4478" t="s">
        <v>9079</v>
      </c>
    </row>
    <row r="4479" spans="1:33" x14ac:dyDescent="0.35">
      <c r="A4479" s="1">
        <v>44604.615972222222</v>
      </c>
      <c r="B4479">
        <v>4672367</v>
      </c>
      <c r="C4479" t="s">
        <v>9120</v>
      </c>
      <c r="D4479" t="s">
        <v>9121</v>
      </c>
      <c r="E4479" s="2">
        <v>39410</v>
      </c>
      <c r="F4479" t="str">
        <f>"9781442684911"</f>
        <v>9781442684911</v>
      </c>
      <c r="G4479" t="str">
        <f>"9780802096432"</f>
        <v>9780802096432</v>
      </c>
      <c r="H4479" t="s">
        <v>171</v>
      </c>
      <c r="I4479">
        <v>401</v>
      </c>
      <c r="J4479" t="s">
        <v>9122</v>
      </c>
      <c r="K4479" t="s">
        <v>55</v>
      </c>
      <c r="N4479" t="s">
        <v>79</v>
      </c>
      <c r="P4479" t="s">
        <v>97</v>
      </c>
      <c r="Q4479" t="s">
        <v>47</v>
      </c>
      <c r="R4479" t="s">
        <v>44</v>
      </c>
      <c r="S4479">
        <v>0</v>
      </c>
      <c r="W4479" s="3">
        <v>7.407407407407407E-4</v>
      </c>
      <c r="X4479" t="s">
        <v>9123</v>
      </c>
      <c r="Y4479">
        <v>6</v>
      </c>
      <c r="Z4479">
        <v>0</v>
      </c>
      <c r="AA4479" t="s">
        <v>49</v>
      </c>
      <c r="AB4479">
        <v>0</v>
      </c>
      <c r="AC4479" t="s">
        <v>49</v>
      </c>
      <c r="AD4479">
        <v>0</v>
      </c>
      <c r="AE4479">
        <v>11258036</v>
      </c>
      <c r="AF4479" t="s">
        <v>50</v>
      </c>
      <c r="AG4479" t="s">
        <v>8332</v>
      </c>
    </row>
    <row r="4480" spans="1:33" x14ac:dyDescent="0.35">
      <c r="A4480" s="1">
        <v>44604.579861111109</v>
      </c>
      <c r="B4480">
        <v>1414170</v>
      </c>
      <c r="C4480" t="s">
        <v>9124</v>
      </c>
      <c r="D4480" t="s">
        <v>132</v>
      </c>
      <c r="E4480" s="2">
        <v>41577</v>
      </c>
      <c r="F4480" t="str">
        <f>"9780804788854"</f>
        <v>9780804788854</v>
      </c>
      <c r="G4480" t="str">
        <f>"9780804775670"</f>
        <v>9780804775670</v>
      </c>
      <c r="H4480" t="s">
        <v>667</v>
      </c>
      <c r="I4480">
        <v>955.72</v>
      </c>
      <c r="J4480" t="s">
        <v>9125</v>
      </c>
      <c r="K4480" t="s">
        <v>44</v>
      </c>
      <c r="N4480" t="s">
        <v>45</v>
      </c>
      <c r="O4480" t="s">
        <v>46</v>
      </c>
      <c r="P4480" t="s">
        <v>45</v>
      </c>
      <c r="Q4480" t="s">
        <v>47</v>
      </c>
      <c r="R4480" t="s">
        <v>44</v>
      </c>
      <c r="S4480">
        <v>0</v>
      </c>
      <c r="W4480" s="3">
        <v>1.1666666666666667E-2</v>
      </c>
      <c r="X4480" t="s">
        <v>9126</v>
      </c>
      <c r="Y4480">
        <v>12</v>
      </c>
      <c r="Z4480">
        <v>0</v>
      </c>
      <c r="AA4480" t="s">
        <v>49</v>
      </c>
      <c r="AB4480">
        <v>0</v>
      </c>
      <c r="AC4480" t="s">
        <v>49</v>
      </c>
      <c r="AD4480">
        <v>0</v>
      </c>
      <c r="AE4480">
        <v>10773545</v>
      </c>
      <c r="AF4480" t="s">
        <v>50</v>
      </c>
      <c r="AG4480" t="s">
        <v>5698</v>
      </c>
    </row>
    <row r="4481" spans="1:33" x14ac:dyDescent="0.35">
      <c r="A4481" s="1">
        <v>44604.578472222223</v>
      </c>
      <c r="B4481">
        <v>801923</v>
      </c>
      <c r="C4481" t="s">
        <v>9127</v>
      </c>
      <c r="D4481" t="s">
        <v>76</v>
      </c>
      <c r="E4481" s="2">
        <v>40641</v>
      </c>
      <c r="F4481" t="str">
        <f>"9780203832394"</f>
        <v>9780203832394</v>
      </c>
      <c r="G4481" t="str">
        <f>"9780415609746"</f>
        <v>9780415609746</v>
      </c>
      <c r="H4481" t="s">
        <v>3476</v>
      </c>
      <c r="I4481">
        <v>491.1</v>
      </c>
      <c r="J4481" t="s">
        <v>9128</v>
      </c>
      <c r="K4481" t="s">
        <v>44</v>
      </c>
      <c r="N4481" t="s">
        <v>45</v>
      </c>
      <c r="O4481" t="s">
        <v>46</v>
      </c>
      <c r="P4481" t="s">
        <v>45</v>
      </c>
      <c r="Q4481" t="s">
        <v>47</v>
      </c>
      <c r="R4481" t="s">
        <v>44</v>
      </c>
      <c r="S4481">
        <v>0</v>
      </c>
      <c r="W4481" s="3">
        <v>6.018518518518519E-4</v>
      </c>
      <c r="X4481" t="s">
        <v>9129</v>
      </c>
      <c r="Y4481">
        <v>6</v>
      </c>
      <c r="Z4481">
        <v>0</v>
      </c>
      <c r="AA4481" t="s">
        <v>49</v>
      </c>
      <c r="AB4481">
        <v>0</v>
      </c>
      <c r="AC4481" t="s">
        <v>49</v>
      </c>
      <c r="AD4481">
        <v>0</v>
      </c>
      <c r="AE4481">
        <v>10558494</v>
      </c>
      <c r="AF4481" t="s">
        <v>50</v>
      </c>
      <c r="AG4481" t="s">
        <v>5698</v>
      </c>
    </row>
    <row r="4482" spans="1:33" x14ac:dyDescent="0.35">
      <c r="A4482" s="1">
        <v>44604.439583333333</v>
      </c>
      <c r="B4482">
        <v>1446399</v>
      </c>
      <c r="C4482" t="s">
        <v>9130</v>
      </c>
      <c r="D4482" t="s">
        <v>76</v>
      </c>
      <c r="E4482" s="2">
        <v>41225</v>
      </c>
      <c r="F4482" t="str">
        <f>"9781439881767"</f>
        <v>9781439881767</v>
      </c>
      <c r="G4482" t="str">
        <f>"9781439881750"</f>
        <v>9781439881750</v>
      </c>
      <c r="H4482" t="s">
        <v>120</v>
      </c>
      <c r="I4482">
        <v>620.5</v>
      </c>
      <c r="J4482" t="s">
        <v>9131</v>
      </c>
      <c r="K4482" t="s">
        <v>44</v>
      </c>
      <c r="N4482" t="s">
        <v>45</v>
      </c>
      <c r="O4482" t="s">
        <v>46</v>
      </c>
      <c r="P4482" t="s">
        <v>45</v>
      </c>
      <c r="Q4482" t="s">
        <v>47</v>
      </c>
      <c r="R4482" t="s">
        <v>44</v>
      </c>
      <c r="S4482">
        <v>0</v>
      </c>
      <c r="W4482" s="3">
        <v>1.3518518518518518E-2</v>
      </c>
      <c r="X4482" t="s">
        <v>9132</v>
      </c>
      <c r="Y4482">
        <v>17</v>
      </c>
      <c r="Z4482">
        <v>0</v>
      </c>
      <c r="AA4482" t="s">
        <v>49</v>
      </c>
      <c r="AB4482">
        <v>0</v>
      </c>
      <c r="AC4482" t="s">
        <v>49</v>
      </c>
      <c r="AD4482">
        <v>0</v>
      </c>
      <c r="AE4482">
        <v>11166009</v>
      </c>
      <c r="AF4482" t="s">
        <v>50</v>
      </c>
      <c r="AG4482" t="s">
        <v>9079</v>
      </c>
    </row>
    <row r="4483" spans="1:33" x14ac:dyDescent="0.35">
      <c r="A4483" s="1">
        <v>44603.936111111114</v>
      </c>
      <c r="B4483">
        <v>467629</v>
      </c>
      <c r="C4483" t="s">
        <v>9133</v>
      </c>
      <c r="D4483" t="s">
        <v>473</v>
      </c>
      <c r="E4483" s="2">
        <v>39506</v>
      </c>
      <c r="F4483" t="str">
        <f>"9789047431350"</f>
        <v>9789047431350</v>
      </c>
      <c r="G4483" t="str">
        <f>"9789004162341"</f>
        <v>9789004162341</v>
      </c>
      <c r="H4483" t="s">
        <v>1046</v>
      </c>
      <c r="I4483" t="s">
        <v>9134</v>
      </c>
      <c r="J4483" t="s">
        <v>9135</v>
      </c>
      <c r="K4483" t="s">
        <v>44</v>
      </c>
      <c r="N4483" t="s">
        <v>45</v>
      </c>
      <c r="O4483" t="s">
        <v>46</v>
      </c>
      <c r="P4483" t="s">
        <v>45</v>
      </c>
      <c r="Q4483" t="s">
        <v>47</v>
      </c>
      <c r="R4483" t="s">
        <v>44</v>
      </c>
      <c r="S4483">
        <v>0</v>
      </c>
      <c r="W4483" s="3">
        <v>1.0763888888888889E-3</v>
      </c>
      <c r="X4483" t="s">
        <v>9136</v>
      </c>
      <c r="Y4483">
        <v>5</v>
      </c>
      <c r="Z4483">
        <v>0</v>
      </c>
      <c r="AA4483" t="s">
        <v>49</v>
      </c>
      <c r="AB4483">
        <v>0</v>
      </c>
      <c r="AC4483" t="s">
        <v>2333</v>
      </c>
      <c r="AD4483">
        <v>1</v>
      </c>
      <c r="AE4483">
        <v>10359116</v>
      </c>
      <c r="AF4483" t="s">
        <v>50</v>
      </c>
      <c r="AG4483" t="s">
        <v>8332</v>
      </c>
    </row>
    <row r="4484" spans="1:33" x14ac:dyDescent="0.35">
      <c r="A4484" s="1">
        <v>44603.899305555555</v>
      </c>
      <c r="B4484">
        <v>1897054</v>
      </c>
      <c r="C4484" t="s">
        <v>9137</v>
      </c>
      <c r="D4484" t="s">
        <v>9138</v>
      </c>
      <c r="E4484" s="2">
        <v>41306</v>
      </c>
      <c r="F4484" t="str">
        <f>"9783842829893"</f>
        <v>9783842829893</v>
      </c>
      <c r="G4484" t="str">
        <f>"9783842879898"</f>
        <v>9783842879898</v>
      </c>
      <c r="H4484" t="s">
        <v>9139</v>
      </c>
      <c r="I4484">
        <v>363.7</v>
      </c>
      <c r="J4484" t="s">
        <v>9140</v>
      </c>
      <c r="K4484" t="s">
        <v>44</v>
      </c>
      <c r="N4484" t="s">
        <v>45</v>
      </c>
      <c r="O4484" t="s">
        <v>46</v>
      </c>
      <c r="P4484" t="s">
        <v>177</v>
      </c>
      <c r="Q4484" t="s">
        <v>47</v>
      </c>
      <c r="R4484" t="s">
        <v>55</v>
      </c>
      <c r="S4484">
        <v>0</v>
      </c>
      <c r="W4484" s="3">
        <v>1.5046296296296297E-4</v>
      </c>
      <c r="X4484" t="s">
        <v>56</v>
      </c>
      <c r="Y4484">
        <v>3</v>
      </c>
      <c r="Z4484">
        <v>0</v>
      </c>
      <c r="AA4484" t="s">
        <v>49</v>
      </c>
      <c r="AB4484">
        <v>0</v>
      </c>
      <c r="AC4484" t="s">
        <v>49</v>
      </c>
      <c r="AD4484">
        <v>0</v>
      </c>
      <c r="AE4484">
        <v>11020242</v>
      </c>
      <c r="AF4484" t="s">
        <v>50</v>
      </c>
      <c r="AG4484" t="s">
        <v>9141</v>
      </c>
    </row>
    <row r="4485" spans="1:33" x14ac:dyDescent="0.35">
      <c r="A4485" s="1">
        <v>44603.806250000001</v>
      </c>
      <c r="B4485">
        <v>4946361</v>
      </c>
      <c r="C4485" t="s">
        <v>9142</v>
      </c>
      <c r="D4485" t="s">
        <v>9143</v>
      </c>
      <c r="E4485" s="2">
        <v>42124</v>
      </c>
      <c r="F4485" t="str">
        <f>"9781119089438"</f>
        <v>9781119089438</v>
      </c>
      <c r="G4485" t="str">
        <f>"9781118993095"</f>
        <v>9781118993095</v>
      </c>
      <c r="H4485" t="s">
        <v>60</v>
      </c>
      <c r="I4485">
        <v>658.42100000000005</v>
      </c>
      <c r="J4485" t="s">
        <v>9144</v>
      </c>
      <c r="K4485" t="s">
        <v>44</v>
      </c>
      <c r="N4485" t="s">
        <v>45</v>
      </c>
      <c r="O4485" t="s">
        <v>46</v>
      </c>
      <c r="P4485" t="s">
        <v>45</v>
      </c>
      <c r="Q4485" t="s">
        <v>47</v>
      </c>
      <c r="R4485" t="s">
        <v>44</v>
      </c>
      <c r="S4485">
        <v>1</v>
      </c>
      <c r="W4485" s="3">
        <v>0</v>
      </c>
      <c r="X4485" t="s">
        <v>49</v>
      </c>
      <c r="Y4485">
        <v>0</v>
      </c>
      <c r="Z4485">
        <v>0</v>
      </c>
      <c r="AA4485" t="s">
        <v>49</v>
      </c>
      <c r="AB4485">
        <v>0</v>
      </c>
      <c r="AC4485" t="s">
        <v>49</v>
      </c>
      <c r="AD4485">
        <v>0</v>
      </c>
      <c r="AE4485">
        <v>11423608</v>
      </c>
      <c r="AF4485" t="s">
        <v>63</v>
      </c>
      <c r="AG4485" t="s">
        <v>9079</v>
      </c>
    </row>
    <row r="4486" spans="1:33" x14ac:dyDescent="0.35">
      <c r="A4486" s="1">
        <v>44603.765972222223</v>
      </c>
      <c r="B4486">
        <v>6809737</v>
      </c>
      <c r="C4486" t="s">
        <v>9102</v>
      </c>
      <c r="D4486" t="s">
        <v>76</v>
      </c>
      <c r="E4486" s="2">
        <v>44531</v>
      </c>
      <c r="F4486" t="str">
        <f>"9781000529739"</f>
        <v>9781000529739</v>
      </c>
      <c r="G4486" t="str">
        <f>"9781032026169"</f>
        <v>9781032026169</v>
      </c>
      <c r="H4486" t="s">
        <v>498</v>
      </c>
      <c r="I4486">
        <v>110</v>
      </c>
      <c r="J4486" t="s">
        <v>9103</v>
      </c>
      <c r="K4486" t="s">
        <v>55</v>
      </c>
      <c r="N4486" t="s">
        <v>79</v>
      </c>
      <c r="P4486" t="s">
        <v>80</v>
      </c>
      <c r="Q4486" t="s">
        <v>47</v>
      </c>
      <c r="R4486" t="s">
        <v>44</v>
      </c>
      <c r="S4486">
        <v>0</v>
      </c>
      <c r="W4486" s="3">
        <v>5.451388888888889E-2</v>
      </c>
      <c r="X4486" t="s">
        <v>9145</v>
      </c>
      <c r="Y4486">
        <v>41</v>
      </c>
      <c r="Z4486">
        <v>0</v>
      </c>
      <c r="AA4486" t="s">
        <v>49</v>
      </c>
      <c r="AB4486">
        <v>0</v>
      </c>
      <c r="AC4486" t="s">
        <v>49</v>
      </c>
      <c r="AD4486">
        <v>0</v>
      </c>
      <c r="AE4486">
        <v>-1</v>
      </c>
      <c r="AF4486" t="s">
        <v>50</v>
      </c>
      <c r="AG4486" t="s">
        <v>8332</v>
      </c>
    </row>
    <row r="4487" spans="1:33" x14ac:dyDescent="0.35">
      <c r="A4487" s="1">
        <v>44603.722916666666</v>
      </c>
      <c r="B4487">
        <v>668812</v>
      </c>
      <c r="C4487" t="s">
        <v>9146</v>
      </c>
      <c r="D4487" t="s">
        <v>76</v>
      </c>
      <c r="E4487" s="2">
        <v>40639</v>
      </c>
      <c r="F4487" t="str">
        <f>"9780203830147"</f>
        <v>9780203830147</v>
      </c>
      <c r="G4487" t="str">
        <f>"9780415603683"</f>
        <v>9780415603683</v>
      </c>
      <c r="H4487" t="s">
        <v>157</v>
      </c>
      <c r="I4487" t="s">
        <v>9147</v>
      </c>
      <c r="J4487" t="s">
        <v>9148</v>
      </c>
      <c r="K4487" t="s">
        <v>44</v>
      </c>
      <c r="N4487" t="s">
        <v>45</v>
      </c>
      <c r="O4487" t="s">
        <v>46</v>
      </c>
      <c r="P4487" t="s">
        <v>45</v>
      </c>
      <c r="Q4487" t="s">
        <v>47</v>
      </c>
      <c r="R4487" t="s">
        <v>44</v>
      </c>
      <c r="S4487">
        <v>1</v>
      </c>
      <c r="W4487" s="3">
        <v>0</v>
      </c>
      <c r="X4487" t="s">
        <v>752</v>
      </c>
      <c r="Y4487">
        <v>1</v>
      </c>
      <c r="Z4487">
        <v>0</v>
      </c>
      <c r="AA4487" t="s">
        <v>49</v>
      </c>
      <c r="AB4487">
        <v>0</v>
      </c>
      <c r="AC4487" t="s">
        <v>49</v>
      </c>
      <c r="AD4487">
        <v>0</v>
      </c>
      <c r="AE4487">
        <v>10462575</v>
      </c>
      <c r="AF4487" t="s">
        <v>63</v>
      </c>
      <c r="AG4487" t="s">
        <v>300</v>
      </c>
    </row>
    <row r="4488" spans="1:33" x14ac:dyDescent="0.35">
      <c r="A4488" s="1">
        <v>44603.720833333333</v>
      </c>
      <c r="B4488">
        <v>668812</v>
      </c>
      <c r="C4488" t="s">
        <v>9146</v>
      </c>
      <c r="D4488" t="s">
        <v>76</v>
      </c>
      <c r="E4488" s="2">
        <v>40639</v>
      </c>
      <c r="F4488" t="str">
        <f>"9780203830147"</f>
        <v>9780203830147</v>
      </c>
      <c r="G4488" t="str">
        <f>"9780415603683"</f>
        <v>9780415603683</v>
      </c>
      <c r="H4488" t="s">
        <v>157</v>
      </c>
      <c r="I4488" t="s">
        <v>9147</v>
      </c>
      <c r="J4488" t="s">
        <v>9148</v>
      </c>
      <c r="K4488" t="s">
        <v>44</v>
      </c>
      <c r="N4488" t="s">
        <v>45</v>
      </c>
      <c r="O4488" t="s">
        <v>46</v>
      </c>
      <c r="P4488" t="s">
        <v>45</v>
      </c>
      <c r="Q4488" t="s">
        <v>47</v>
      </c>
      <c r="R4488" t="s">
        <v>44</v>
      </c>
      <c r="S4488">
        <v>0</v>
      </c>
      <c r="W4488" s="3">
        <v>2.1296296296296298E-3</v>
      </c>
      <c r="X4488" t="s">
        <v>121</v>
      </c>
      <c r="Y4488">
        <v>1</v>
      </c>
      <c r="Z4488">
        <v>0</v>
      </c>
      <c r="AA4488" t="s">
        <v>49</v>
      </c>
      <c r="AB4488">
        <v>0</v>
      </c>
      <c r="AC4488" t="s">
        <v>49</v>
      </c>
      <c r="AD4488">
        <v>0</v>
      </c>
      <c r="AE4488">
        <v>10462575</v>
      </c>
      <c r="AF4488" t="s">
        <v>50</v>
      </c>
      <c r="AG4488" t="s">
        <v>300</v>
      </c>
    </row>
    <row r="4489" spans="1:33" x14ac:dyDescent="0.35">
      <c r="A4489" s="1">
        <v>44603.713888888888</v>
      </c>
      <c r="B4489">
        <v>1185313</v>
      </c>
      <c r="C4489" t="s">
        <v>9149</v>
      </c>
      <c r="D4489" t="s">
        <v>465</v>
      </c>
      <c r="E4489" s="2">
        <v>37447</v>
      </c>
      <c r="F4489" t="str">
        <f>"9781847550361"</f>
        <v>9781847550361</v>
      </c>
      <c r="G4489" t="str">
        <f>"9780854046461"</f>
        <v>9780854046461</v>
      </c>
      <c r="H4489" t="s">
        <v>1040</v>
      </c>
      <c r="I4489">
        <v>543</v>
      </c>
      <c r="J4489" t="s">
        <v>9150</v>
      </c>
      <c r="K4489" t="s">
        <v>44</v>
      </c>
      <c r="N4489" t="s">
        <v>45</v>
      </c>
      <c r="O4489" t="s">
        <v>46</v>
      </c>
      <c r="P4489" t="s">
        <v>45</v>
      </c>
      <c r="Q4489" t="s">
        <v>47</v>
      </c>
      <c r="R4489" t="s">
        <v>44</v>
      </c>
      <c r="S4489">
        <v>0</v>
      </c>
      <c r="W4489" s="3">
        <v>6.7129629629629625E-4</v>
      </c>
      <c r="X4489" t="s">
        <v>9151</v>
      </c>
      <c r="Y4489">
        <v>18</v>
      </c>
      <c r="Z4489">
        <v>0</v>
      </c>
      <c r="AA4489" t="s">
        <v>49</v>
      </c>
      <c r="AB4489">
        <v>0</v>
      </c>
      <c r="AC4489" t="s">
        <v>49</v>
      </c>
      <c r="AD4489">
        <v>0</v>
      </c>
      <c r="AE4489">
        <v>10621226</v>
      </c>
      <c r="AF4489" t="s">
        <v>50</v>
      </c>
      <c r="AG4489" t="s">
        <v>9079</v>
      </c>
    </row>
    <row r="4490" spans="1:33" x14ac:dyDescent="0.35">
      <c r="A4490" s="1">
        <v>44603.679861111108</v>
      </c>
      <c r="B4490">
        <v>617176</v>
      </c>
      <c r="C4490" t="s">
        <v>1520</v>
      </c>
      <c r="D4490" t="s">
        <v>497</v>
      </c>
      <c r="E4490" s="2">
        <v>40542</v>
      </c>
      <c r="F4490" t="str">
        <f>"9781441136251"</f>
        <v>9781441136251</v>
      </c>
      <c r="G4490" t="str">
        <f>"9780826400871"</f>
        <v>9780826400871</v>
      </c>
      <c r="H4490" t="s">
        <v>1186</v>
      </c>
      <c r="I4490" t="s">
        <v>1521</v>
      </c>
      <c r="J4490" t="s">
        <v>1522</v>
      </c>
      <c r="K4490" t="s">
        <v>44</v>
      </c>
      <c r="N4490" t="s">
        <v>45</v>
      </c>
      <c r="O4490" t="s">
        <v>46</v>
      </c>
      <c r="P4490" t="s">
        <v>45</v>
      </c>
      <c r="Q4490" t="s">
        <v>47</v>
      </c>
      <c r="R4490" t="s">
        <v>44</v>
      </c>
      <c r="S4490">
        <v>0</v>
      </c>
      <c r="W4490" s="3">
        <v>4.0509259259259257E-3</v>
      </c>
      <c r="X4490" t="s">
        <v>9152</v>
      </c>
      <c r="Y4490">
        <v>5</v>
      </c>
      <c r="Z4490">
        <v>0</v>
      </c>
      <c r="AA4490" t="s">
        <v>49</v>
      </c>
      <c r="AB4490">
        <v>0</v>
      </c>
      <c r="AC4490" t="s">
        <v>49</v>
      </c>
      <c r="AD4490">
        <v>0</v>
      </c>
      <c r="AE4490">
        <v>10432531</v>
      </c>
      <c r="AF4490" t="s">
        <v>50</v>
      </c>
      <c r="AG4490" t="s">
        <v>8332</v>
      </c>
    </row>
    <row r="4491" spans="1:33" x14ac:dyDescent="0.35">
      <c r="A4491" s="1">
        <v>44603.670138888891</v>
      </c>
      <c r="B4491">
        <v>3408517</v>
      </c>
      <c r="C4491" t="s">
        <v>6481</v>
      </c>
      <c r="D4491" t="s">
        <v>645</v>
      </c>
      <c r="E4491" s="2">
        <v>38201</v>
      </c>
      <c r="F4491" t="str">
        <f>"9780791485040"</f>
        <v>9780791485040</v>
      </c>
      <c r="G4491" t="str">
        <f>"9780791460955"</f>
        <v>9780791460955</v>
      </c>
      <c r="H4491" t="s">
        <v>162</v>
      </c>
      <c r="I4491" t="s">
        <v>6482</v>
      </c>
      <c r="J4491" t="s">
        <v>6483</v>
      </c>
      <c r="K4491" t="s">
        <v>44</v>
      </c>
      <c r="N4491" t="s">
        <v>45</v>
      </c>
      <c r="O4491" t="s">
        <v>46</v>
      </c>
      <c r="P4491" t="s">
        <v>45</v>
      </c>
      <c r="Q4491" t="s">
        <v>47</v>
      </c>
      <c r="R4491" t="s">
        <v>44</v>
      </c>
      <c r="S4491">
        <v>0</v>
      </c>
      <c r="W4491" s="3">
        <v>1.3819444444444445E-2</v>
      </c>
      <c r="X4491" t="s">
        <v>9153</v>
      </c>
      <c r="Y4491">
        <v>5</v>
      </c>
      <c r="Z4491">
        <v>0</v>
      </c>
      <c r="AA4491" t="s">
        <v>49</v>
      </c>
      <c r="AB4491">
        <v>0</v>
      </c>
      <c r="AC4491" t="s">
        <v>49</v>
      </c>
      <c r="AD4491">
        <v>0</v>
      </c>
      <c r="AE4491">
        <v>10594845</v>
      </c>
      <c r="AF4491" t="s">
        <v>50</v>
      </c>
      <c r="AG4491" t="s">
        <v>8332</v>
      </c>
    </row>
    <row r="4492" spans="1:33" x14ac:dyDescent="0.35">
      <c r="A4492" s="1">
        <v>44603.46597222222</v>
      </c>
      <c r="B4492">
        <v>3408517</v>
      </c>
      <c r="C4492" t="s">
        <v>6481</v>
      </c>
      <c r="D4492" t="s">
        <v>645</v>
      </c>
      <c r="E4492" s="2">
        <v>38201</v>
      </c>
      <c r="F4492" t="str">
        <f>"9780791485040"</f>
        <v>9780791485040</v>
      </c>
      <c r="G4492" t="str">
        <f>"9780791460955"</f>
        <v>9780791460955</v>
      </c>
      <c r="H4492" t="s">
        <v>162</v>
      </c>
      <c r="I4492" t="s">
        <v>6482</v>
      </c>
      <c r="J4492" t="s">
        <v>6483</v>
      </c>
      <c r="K4492" t="s">
        <v>44</v>
      </c>
      <c r="N4492" t="s">
        <v>45</v>
      </c>
      <c r="O4492" t="s">
        <v>46</v>
      </c>
      <c r="P4492" t="s">
        <v>45</v>
      </c>
      <c r="Q4492" t="s">
        <v>47</v>
      </c>
      <c r="R4492" t="s">
        <v>44</v>
      </c>
      <c r="S4492">
        <v>0</v>
      </c>
      <c r="W4492" s="3">
        <v>4.6296296296296294E-5</v>
      </c>
      <c r="X4492" t="s">
        <v>121</v>
      </c>
      <c r="Y4492">
        <v>1</v>
      </c>
      <c r="Z4492">
        <v>0</v>
      </c>
      <c r="AA4492" t="s">
        <v>49</v>
      </c>
      <c r="AB4492">
        <v>0</v>
      </c>
      <c r="AC4492" t="s">
        <v>49</v>
      </c>
      <c r="AD4492">
        <v>0</v>
      </c>
      <c r="AE4492">
        <v>10594845</v>
      </c>
      <c r="AF4492" t="s">
        <v>50</v>
      </c>
      <c r="AG4492" t="s">
        <v>8332</v>
      </c>
    </row>
    <row r="4493" spans="1:33" x14ac:dyDescent="0.35">
      <c r="A4493" s="1">
        <v>44603.462500000001</v>
      </c>
      <c r="B4493">
        <v>1699226</v>
      </c>
      <c r="C4493" t="s">
        <v>6670</v>
      </c>
      <c r="D4493" t="s">
        <v>6671</v>
      </c>
      <c r="E4493" s="2">
        <v>41780</v>
      </c>
      <c r="F4493" t="str">
        <f>"9780739179079"</f>
        <v>9780739179079</v>
      </c>
      <c r="G4493" t="str">
        <f>"9780739179062"</f>
        <v>9780739179062</v>
      </c>
      <c r="H4493" t="s">
        <v>162</v>
      </c>
      <c r="I4493">
        <v>297.08199999999999</v>
      </c>
      <c r="J4493" t="s">
        <v>6672</v>
      </c>
      <c r="K4493" t="s">
        <v>44</v>
      </c>
      <c r="N4493" t="s">
        <v>45</v>
      </c>
      <c r="O4493" t="s">
        <v>46</v>
      </c>
      <c r="P4493" t="s">
        <v>45</v>
      </c>
      <c r="Q4493" t="s">
        <v>47</v>
      </c>
      <c r="R4493" t="s">
        <v>44</v>
      </c>
      <c r="S4493">
        <v>0</v>
      </c>
      <c r="W4493" s="3">
        <v>1.9791666666666668E-3</v>
      </c>
      <c r="X4493" t="s">
        <v>9154</v>
      </c>
      <c r="Y4493">
        <v>6</v>
      </c>
      <c r="Z4493">
        <v>0</v>
      </c>
      <c r="AA4493" t="s">
        <v>49</v>
      </c>
      <c r="AB4493">
        <v>0</v>
      </c>
      <c r="AC4493" t="s">
        <v>49</v>
      </c>
      <c r="AD4493">
        <v>0</v>
      </c>
      <c r="AE4493">
        <v>10878893</v>
      </c>
      <c r="AF4493" t="s">
        <v>50</v>
      </c>
      <c r="AG4493" t="s">
        <v>8332</v>
      </c>
    </row>
    <row r="4494" spans="1:33" x14ac:dyDescent="0.35">
      <c r="A4494" s="1">
        <v>44603.434027777781</v>
      </c>
      <c r="B4494">
        <v>6809737</v>
      </c>
      <c r="C4494" t="s">
        <v>9102</v>
      </c>
      <c r="D4494" t="s">
        <v>76</v>
      </c>
      <c r="E4494" s="2">
        <v>44531</v>
      </c>
      <c r="F4494" t="str">
        <f>"9781000529739"</f>
        <v>9781000529739</v>
      </c>
      <c r="G4494" t="str">
        <f>"9781032026169"</f>
        <v>9781032026169</v>
      </c>
      <c r="H4494" t="s">
        <v>498</v>
      </c>
      <c r="I4494">
        <v>110</v>
      </c>
      <c r="J4494" t="s">
        <v>9103</v>
      </c>
      <c r="K4494" t="s">
        <v>55</v>
      </c>
      <c r="N4494" t="s">
        <v>79</v>
      </c>
      <c r="P4494" t="s">
        <v>80</v>
      </c>
      <c r="Q4494" t="s">
        <v>47</v>
      </c>
      <c r="R4494" t="s">
        <v>44</v>
      </c>
      <c r="S4494">
        <v>1</v>
      </c>
      <c r="T4494">
        <v>90</v>
      </c>
      <c r="U4494" s="1">
        <v>44602.697916666664</v>
      </c>
      <c r="V4494" s="1">
        <v>44692.697916666664</v>
      </c>
      <c r="W4494" s="3">
        <v>0</v>
      </c>
      <c r="X4494" t="s">
        <v>49</v>
      </c>
      <c r="Y4494">
        <v>0</v>
      </c>
      <c r="Z4494">
        <v>0</v>
      </c>
      <c r="AA4494" t="s">
        <v>49</v>
      </c>
      <c r="AB4494">
        <v>0</v>
      </c>
      <c r="AC4494" t="s">
        <v>49</v>
      </c>
      <c r="AD4494">
        <v>0</v>
      </c>
      <c r="AE4494">
        <v>-1</v>
      </c>
      <c r="AF4494" t="s">
        <v>63</v>
      </c>
      <c r="AG4494" t="s">
        <v>8332</v>
      </c>
    </row>
    <row r="4495" spans="1:33" x14ac:dyDescent="0.35">
      <c r="A4495" s="1">
        <v>44603.00277777778</v>
      </c>
      <c r="B4495">
        <v>3318736</v>
      </c>
      <c r="C4495" t="s">
        <v>9155</v>
      </c>
      <c r="D4495" t="s">
        <v>1390</v>
      </c>
      <c r="E4495" s="2">
        <v>40848</v>
      </c>
      <c r="F4495" t="str">
        <f>"9781421402444"</f>
        <v>9781421402444</v>
      </c>
      <c r="G4495" t="str">
        <f>"9781421401874"</f>
        <v>9781421401874</v>
      </c>
      <c r="H4495" t="s">
        <v>9156</v>
      </c>
      <c r="I4495" t="s">
        <v>9157</v>
      </c>
      <c r="J4495" t="s">
        <v>9158</v>
      </c>
      <c r="K4495" t="s">
        <v>44</v>
      </c>
      <c r="N4495" t="s">
        <v>45</v>
      </c>
      <c r="O4495" t="s">
        <v>46</v>
      </c>
      <c r="P4495" t="s">
        <v>45</v>
      </c>
      <c r="Q4495" t="s">
        <v>47</v>
      </c>
      <c r="R4495" t="s">
        <v>44</v>
      </c>
      <c r="S4495">
        <v>0</v>
      </c>
      <c r="W4495" s="3">
        <v>3.0092592592592595E-4</v>
      </c>
      <c r="X4495" t="s">
        <v>401</v>
      </c>
      <c r="Y4495">
        <v>3</v>
      </c>
      <c r="Z4495">
        <v>0</v>
      </c>
      <c r="AA4495" t="s">
        <v>49</v>
      </c>
      <c r="AB4495">
        <v>0</v>
      </c>
      <c r="AC4495" t="s">
        <v>49</v>
      </c>
      <c r="AD4495">
        <v>0</v>
      </c>
      <c r="AE4495">
        <v>10790449</v>
      </c>
      <c r="AF4495" t="s">
        <v>50</v>
      </c>
      <c r="AG4495" t="s">
        <v>9079</v>
      </c>
    </row>
    <row r="4496" spans="1:33" x14ac:dyDescent="0.35">
      <c r="A4496" s="1">
        <v>44602.927083333336</v>
      </c>
      <c r="B4496">
        <v>5796941</v>
      </c>
      <c r="C4496" t="s">
        <v>7395</v>
      </c>
      <c r="D4496" t="s">
        <v>844</v>
      </c>
      <c r="E4496" s="2">
        <v>43656</v>
      </c>
      <c r="F4496" t="str">
        <f>"9781787566811"</f>
        <v>9781787566811</v>
      </c>
      <c r="G4496" t="str">
        <f>"9781787566804"</f>
        <v>9781787566804</v>
      </c>
      <c r="H4496" t="s">
        <v>900</v>
      </c>
      <c r="I4496">
        <v>337.51056</v>
      </c>
      <c r="J4496" t="s">
        <v>1794</v>
      </c>
      <c r="K4496" t="s">
        <v>44</v>
      </c>
      <c r="N4496" t="s">
        <v>45</v>
      </c>
      <c r="O4496" t="s">
        <v>46</v>
      </c>
      <c r="P4496" t="s">
        <v>45</v>
      </c>
      <c r="Q4496" t="s">
        <v>47</v>
      </c>
      <c r="R4496" t="s">
        <v>44</v>
      </c>
      <c r="S4496">
        <v>0</v>
      </c>
      <c r="W4496" s="3">
        <v>5.5902777777777782E-3</v>
      </c>
      <c r="X4496" t="s">
        <v>9159</v>
      </c>
      <c r="Y4496">
        <v>8</v>
      </c>
      <c r="Z4496">
        <v>1</v>
      </c>
      <c r="AA4496" t="s">
        <v>8835</v>
      </c>
      <c r="AB4496">
        <v>28</v>
      </c>
      <c r="AC4496" t="s">
        <v>49</v>
      </c>
      <c r="AD4496">
        <v>0</v>
      </c>
      <c r="AE4496">
        <v>-1</v>
      </c>
      <c r="AF4496" t="s">
        <v>50</v>
      </c>
      <c r="AG4496" t="s">
        <v>835</v>
      </c>
    </row>
    <row r="4497" spans="1:33" x14ac:dyDescent="0.35">
      <c r="A4497" s="1">
        <v>44602.907638888886</v>
      </c>
      <c r="B4497">
        <v>2039251</v>
      </c>
      <c r="C4497" t="s">
        <v>9160</v>
      </c>
      <c r="D4497" t="s">
        <v>6090</v>
      </c>
      <c r="E4497" s="2">
        <v>41075</v>
      </c>
      <c r="F4497" t="str">
        <f>"9780822977841"</f>
        <v>9780822977841</v>
      </c>
      <c r="G4497" t="str">
        <f>"9780822944133"</f>
        <v>9780822944133</v>
      </c>
      <c r="H4497" t="s">
        <v>7820</v>
      </c>
      <c r="I4497" t="s">
        <v>9161</v>
      </c>
      <c r="J4497" t="s">
        <v>9162</v>
      </c>
      <c r="K4497" t="s">
        <v>44</v>
      </c>
      <c r="N4497" t="s">
        <v>45</v>
      </c>
      <c r="O4497" t="s">
        <v>46</v>
      </c>
      <c r="P4497" t="s">
        <v>45</v>
      </c>
      <c r="Q4497" t="s">
        <v>47</v>
      </c>
      <c r="R4497" t="s">
        <v>44</v>
      </c>
      <c r="S4497">
        <v>0</v>
      </c>
      <c r="W4497" s="3">
        <v>0</v>
      </c>
      <c r="X4497" t="s">
        <v>121</v>
      </c>
      <c r="Y4497">
        <v>1</v>
      </c>
      <c r="Z4497">
        <v>0</v>
      </c>
      <c r="AA4497" t="s">
        <v>49</v>
      </c>
      <c r="AB4497">
        <v>0</v>
      </c>
      <c r="AC4497" t="s">
        <v>49</v>
      </c>
      <c r="AD4497">
        <v>0</v>
      </c>
      <c r="AE4497">
        <v>10852999</v>
      </c>
      <c r="AF4497" t="s">
        <v>50</v>
      </c>
      <c r="AG4497" t="s">
        <v>1476</v>
      </c>
    </row>
    <row r="4498" spans="1:33" x14ac:dyDescent="0.35">
      <c r="A4498" s="1">
        <v>44602.871527777781</v>
      </c>
      <c r="B4498">
        <v>2039251</v>
      </c>
      <c r="C4498" t="s">
        <v>9160</v>
      </c>
      <c r="D4498" t="s">
        <v>6090</v>
      </c>
      <c r="E4498" s="2">
        <v>41075</v>
      </c>
      <c r="F4498" t="str">
        <f>"9780822977841"</f>
        <v>9780822977841</v>
      </c>
      <c r="G4498" t="str">
        <f>"9780822944133"</f>
        <v>9780822944133</v>
      </c>
      <c r="H4498" t="s">
        <v>7820</v>
      </c>
      <c r="I4498" t="s">
        <v>9161</v>
      </c>
      <c r="J4498" t="s">
        <v>9162</v>
      </c>
      <c r="K4498" t="s">
        <v>44</v>
      </c>
      <c r="N4498" t="s">
        <v>45</v>
      </c>
      <c r="O4498" t="s">
        <v>46</v>
      </c>
      <c r="P4498" t="s">
        <v>45</v>
      </c>
      <c r="Q4498" t="s">
        <v>47</v>
      </c>
      <c r="R4498" t="s">
        <v>44</v>
      </c>
      <c r="S4498">
        <v>0</v>
      </c>
      <c r="W4498" s="3">
        <v>4.6296296296296294E-5</v>
      </c>
      <c r="X4498" t="s">
        <v>121</v>
      </c>
      <c r="Y4498">
        <v>1</v>
      </c>
      <c r="Z4498">
        <v>0</v>
      </c>
      <c r="AA4498" t="s">
        <v>49</v>
      </c>
      <c r="AB4498">
        <v>0</v>
      </c>
      <c r="AC4498" t="s">
        <v>49</v>
      </c>
      <c r="AD4498">
        <v>0</v>
      </c>
      <c r="AE4498">
        <v>10852999</v>
      </c>
      <c r="AF4498" t="s">
        <v>50</v>
      </c>
      <c r="AG4498" t="s">
        <v>1476</v>
      </c>
    </row>
    <row r="4499" spans="1:33" x14ac:dyDescent="0.35">
      <c r="A4499" s="1">
        <v>44602.839583333334</v>
      </c>
      <c r="B4499">
        <v>2039251</v>
      </c>
      <c r="C4499" t="s">
        <v>9160</v>
      </c>
      <c r="D4499" t="s">
        <v>6090</v>
      </c>
      <c r="E4499" s="2">
        <v>41075</v>
      </c>
      <c r="F4499" t="str">
        <f>"9780822977841"</f>
        <v>9780822977841</v>
      </c>
      <c r="G4499" t="str">
        <f>"9780822944133"</f>
        <v>9780822944133</v>
      </c>
      <c r="H4499" t="s">
        <v>7820</v>
      </c>
      <c r="I4499" t="s">
        <v>9161</v>
      </c>
      <c r="J4499" t="s">
        <v>9162</v>
      </c>
      <c r="K4499" t="s">
        <v>44</v>
      </c>
      <c r="N4499" t="s">
        <v>45</v>
      </c>
      <c r="O4499" t="s">
        <v>46</v>
      </c>
      <c r="P4499" t="s">
        <v>45</v>
      </c>
      <c r="Q4499" t="s">
        <v>47</v>
      </c>
      <c r="R4499" t="s">
        <v>44</v>
      </c>
      <c r="S4499">
        <v>0</v>
      </c>
      <c r="W4499" s="3">
        <v>1.7361111111111112E-4</v>
      </c>
      <c r="X4499" t="s">
        <v>9163</v>
      </c>
      <c r="Y4499">
        <v>3</v>
      </c>
      <c r="Z4499">
        <v>0</v>
      </c>
      <c r="AA4499" t="s">
        <v>49</v>
      </c>
      <c r="AB4499">
        <v>0</v>
      </c>
      <c r="AC4499" t="s">
        <v>49</v>
      </c>
      <c r="AD4499">
        <v>0</v>
      </c>
      <c r="AE4499">
        <v>10852999</v>
      </c>
      <c r="AF4499" t="s">
        <v>50</v>
      </c>
      <c r="AG4499" t="s">
        <v>1476</v>
      </c>
    </row>
    <row r="4500" spans="1:33" x14ac:dyDescent="0.35">
      <c r="A4500" s="1">
        <v>44602.80972222222</v>
      </c>
      <c r="B4500">
        <v>2039251</v>
      </c>
      <c r="C4500" t="s">
        <v>9160</v>
      </c>
      <c r="D4500" t="s">
        <v>6090</v>
      </c>
      <c r="E4500" s="2">
        <v>41075</v>
      </c>
      <c r="F4500" t="str">
        <f>"9780822977841"</f>
        <v>9780822977841</v>
      </c>
      <c r="G4500" t="str">
        <f>"9780822944133"</f>
        <v>9780822944133</v>
      </c>
      <c r="H4500" t="s">
        <v>7820</v>
      </c>
      <c r="I4500" t="s">
        <v>9161</v>
      </c>
      <c r="J4500" t="s">
        <v>9162</v>
      </c>
      <c r="K4500" t="s">
        <v>44</v>
      </c>
      <c r="N4500" t="s">
        <v>45</v>
      </c>
      <c r="O4500" t="s">
        <v>46</v>
      </c>
      <c r="P4500" t="s">
        <v>45</v>
      </c>
      <c r="Q4500" t="s">
        <v>47</v>
      </c>
      <c r="R4500" t="s">
        <v>44</v>
      </c>
      <c r="S4500">
        <v>0</v>
      </c>
      <c r="W4500" s="3">
        <v>2.0370370370370373E-3</v>
      </c>
      <c r="X4500" t="s">
        <v>9164</v>
      </c>
      <c r="Y4500">
        <v>13</v>
      </c>
      <c r="Z4500">
        <v>0</v>
      </c>
      <c r="AA4500" t="s">
        <v>49</v>
      </c>
      <c r="AB4500">
        <v>0</v>
      </c>
      <c r="AC4500" t="s">
        <v>49</v>
      </c>
      <c r="AD4500">
        <v>0</v>
      </c>
      <c r="AE4500">
        <v>10852999</v>
      </c>
      <c r="AF4500" t="s">
        <v>50</v>
      </c>
      <c r="AG4500" t="s">
        <v>1476</v>
      </c>
    </row>
    <row r="4501" spans="1:33" x14ac:dyDescent="0.35">
      <c r="A4501" s="1">
        <v>44602.798611111109</v>
      </c>
      <c r="B4501">
        <v>319098</v>
      </c>
      <c r="C4501" t="s">
        <v>9165</v>
      </c>
      <c r="D4501" t="s">
        <v>65</v>
      </c>
      <c r="E4501" s="2">
        <v>35020</v>
      </c>
      <c r="F4501" t="str">
        <f>"9780080505695"</f>
        <v>9780080505695</v>
      </c>
      <c r="G4501" t="str">
        <f>"9780125249959"</f>
        <v>9780125249959</v>
      </c>
      <c r="H4501" t="s">
        <v>252</v>
      </c>
      <c r="I4501" t="s">
        <v>1533</v>
      </c>
      <c r="J4501" t="s">
        <v>9166</v>
      </c>
      <c r="K4501" t="s">
        <v>44</v>
      </c>
      <c r="N4501" t="s">
        <v>45</v>
      </c>
      <c r="O4501" t="s">
        <v>46</v>
      </c>
      <c r="P4501" t="s">
        <v>45</v>
      </c>
      <c r="Q4501" t="s">
        <v>47</v>
      </c>
      <c r="R4501" t="s">
        <v>44</v>
      </c>
      <c r="S4501">
        <v>0</v>
      </c>
      <c r="W4501" s="3">
        <v>5.7870370370370366E-5</v>
      </c>
      <c r="X4501" t="s">
        <v>121</v>
      </c>
      <c r="Y4501">
        <v>1</v>
      </c>
      <c r="Z4501">
        <v>0</v>
      </c>
      <c r="AA4501" t="s">
        <v>49</v>
      </c>
      <c r="AB4501">
        <v>0</v>
      </c>
      <c r="AC4501" t="s">
        <v>49</v>
      </c>
      <c r="AD4501">
        <v>0</v>
      </c>
      <c r="AE4501">
        <v>10206031</v>
      </c>
      <c r="AF4501" t="s">
        <v>50</v>
      </c>
      <c r="AG4501" t="s">
        <v>9079</v>
      </c>
    </row>
    <row r="4502" spans="1:33" x14ac:dyDescent="0.35">
      <c r="A4502" s="1">
        <v>44602.797222222223</v>
      </c>
      <c r="B4502">
        <v>319098</v>
      </c>
      <c r="C4502" t="s">
        <v>9165</v>
      </c>
      <c r="D4502" t="s">
        <v>65</v>
      </c>
      <c r="E4502" s="2">
        <v>35020</v>
      </c>
      <c r="F4502" t="str">
        <f>"9780080505695"</f>
        <v>9780080505695</v>
      </c>
      <c r="G4502" t="str">
        <f>"9780125249959"</f>
        <v>9780125249959</v>
      </c>
      <c r="H4502" t="s">
        <v>252</v>
      </c>
      <c r="I4502" t="s">
        <v>1533</v>
      </c>
      <c r="J4502" t="s">
        <v>9166</v>
      </c>
      <c r="K4502" t="s">
        <v>44</v>
      </c>
      <c r="N4502" t="s">
        <v>45</v>
      </c>
      <c r="O4502" t="s">
        <v>46</v>
      </c>
      <c r="P4502" t="s">
        <v>45</v>
      </c>
      <c r="Q4502" t="s">
        <v>47</v>
      </c>
      <c r="R4502" t="s">
        <v>44</v>
      </c>
      <c r="S4502">
        <v>0</v>
      </c>
      <c r="W4502" s="3">
        <v>1.7361111111111112E-4</v>
      </c>
      <c r="X4502" t="s">
        <v>9167</v>
      </c>
      <c r="Y4502">
        <v>6</v>
      </c>
      <c r="Z4502">
        <v>0</v>
      </c>
      <c r="AA4502" t="s">
        <v>49</v>
      </c>
      <c r="AB4502">
        <v>0</v>
      </c>
      <c r="AC4502" t="s">
        <v>49</v>
      </c>
      <c r="AD4502">
        <v>0</v>
      </c>
      <c r="AE4502">
        <v>10206031</v>
      </c>
      <c r="AF4502" t="s">
        <v>50</v>
      </c>
      <c r="AG4502" t="s">
        <v>8332</v>
      </c>
    </row>
    <row r="4503" spans="1:33" x14ac:dyDescent="0.35">
      <c r="A4503" s="1">
        <v>44602.763888888891</v>
      </c>
      <c r="B4503">
        <v>3020323</v>
      </c>
      <c r="C4503" t="s">
        <v>9168</v>
      </c>
      <c r="D4503" t="s">
        <v>137</v>
      </c>
      <c r="E4503" s="2">
        <v>41122</v>
      </c>
      <c r="F4503" t="str">
        <f>"9781614707608"</f>
        <v>9781614707608</v>
      </c>
      <c r="G4503" t="str">
        <f>"9781614706434"</f>
        <v>9781614706434</v>
      </c>
      <c r="H4503" t="s">
        <v>176</v>
      </c>
      <c r="I4503">
        <v>613.85</v>
      </c>
      <c r="J4503" t="s">
        <v>9169</v>
      </c>
      <c r="K4503" t="s">
        <v>44</v>
      </c>
      <c r="N4503" t="s">
        <v>45</v>
      </c>
      <c r="O4503" t="s">
        <v>46</v>
      </c>
      <c r="P4503" t="s">
        <v>177</v>
      </c>
      <c r="Q4503" t="s">
        <v>47</v>
      </c>
      <c r="R4503" t="s">
        <v>55</v>
      </c>
      <c r="S4503">
        <v>0</v>
      </c>
      <c r="W4503" s="3">
        <v>1.4606481481481482E-2</v>
      </c>
      <c r="X4503" t="s">
        <v>9170</v>
      </c>
      <c r="Y4503">
        <v>18</v>
      </c>
      <c r="Z4503">
        <v>0</v>
      </c>
      <c r="AA4503" t="s">
        <v>49</v>
      </c>
      <c r="AB4503">
        <v>0</v>
      </c>
      <c r="AC4503" t="s">
        <v>49</v>
      </c>
      <c r="AD4503">
        <v>0</v>
      </c>
      <c r="AE4503">
        <v>10676602</v>
      </c>
      <c r="AF4503" t="s">
        <v>50</v>
      </c>
      <c r="AG4503" t="s">
        <v>9171</v>
      </c>
    </row>
    <row r="4504" spans="1:33" x14ac:dyDescent="0.35">
      <c r="A4504" s="1">
        <v>44602.697916666664</v>
      </c>
      <c r="B4504">
        <v>6809737</v>
      </c>
      <c r="C4504" t="s">
        <v>9102</v>
      </c>
      <c r="D4504" t="s">
        <v>76</v>
      </c>
      <c r="E4504" s="2">
        <v>44531</v>
      </c>
      <c r="F4504" t="str">
        <f>"9781000529739"</f>
        <v>9781000529739</v>
      </c>
      <c r="G4504" t="str">
        <f>"9781032026169"</f>
        <v>9781032026169</v>
      </c>
      <c r="H4504" t="s">
        <v>498</v>
      </c>
      <c r="I4504">
        <v>110</v>
      </c>
      <c r="J4504" t="s">
        <v>9103</v>
      </c>
      <c r="K4504" t="s">
        <v>55</v>
      </c>
      <c r="N4504" t="s">
        <v>79</v>
      </c>
      <c r="P4504" t="s">
        <v>80</v>
      </c>
      <c r="Q4504" t="s">
        <v>47</v>
      </c>
      <c r="R4504" t="s">
        <v>44</v>
      </c>
      <c r="S4504">
        <v>1</v>
      </c>
      <c r="T4504">
        <v>90</v>
      </c>
      <c r="U4504" s="1">
        <v>44602.697916666664</v>
      </c>
      <c r="V4504" s="1">
        <v>44692.697916666664</v>
      </c>
      <c r="W4504" s="3">
        <v>0</v>
      </c>
      <c r="X4504" t="s">
        <v>49</v>
      </c>
      <c r="Y4504">
        <v>0</v>
      </c>
      <c r="Z4504">
        <v>0</v>
      </c>
      <c r="AA4504" t="s">
        <v>49</v>
      </c>
      <c r="AB4504">
        <v>0</v>
      </c>
      <c r="AC4504" t="s">
        <v>49</v>
      </c>
      <c r="AD4504">
        <v>0</v>
      </c>
      <c r="AE4504">
        <v>-1</v>
      </c>
      <c r="AF4504" t="s">
        <v>63</v>
      </c>
      <c r="AG4504" t="s">
        <v>9171</v>
      </c>
    </row>
    <row r="4505" spans="1:33" x14ac:dyDescent="0.35">
      <c r="A4505" s="1">
        <v>44602.364583333336</v>
      </c>
      <c r="B4505">
        <v>1447081</v>
      </c>
      <c r="C4505" t="s">
        <v>9172</v>
      </c>
      <c r="D4505" t="s">
        <v>76</v>
      </c>
      <c r="E4505" s="2">
        <v>39904</v>
      </c>
      <c r="F4505" t="str">
        <f>"9780849379406"</f>
        <v>9780849379406</v>
      </c>
      <c r="G4505" t="str">
        <f>"9780849379291"</f>
        <v>9780849379291</v>
      </c>
      <c r="H4505" t="s">
        <v>4212</v>
      </c>
      <c r="I4505">
        <v>6.42</v>
      </c>
      <c r="J4505" t="s">
        <v>9173</v>
      </c>
      <c r="K4505" t="s">
        <v>55</v>
      </c>
      <c r="N4505" t="s">
        <v>79</v>
      </c>
      <c r="P4505" t="s">
        <v>80</v>
      </c>
      <c r="Q4505" t="s">
        <v>47</v>
      </c>
      <c r="R4505" t="s">
        <v>44</v>
      </c>
      <c r="S4505">
        <v>0</v>
      </c>
      <c r="W4505" s="3">
        <v>1.0879629629629629E-3</v>
      </c>
      <c r="X4505" t="s">
        <v>9174</v>
      </c>
      <c r="Y4505">
        <v>18</v>
      </c>
      <c r="Z4505">
        <v>0</v>
      </c>
      <c r="AA4505" t="s">
        <v>49</v>
      </c>
      <c r="AB4505">
        <v>0</v>
      </c>
      <c r="AC4505" t="s">
        <v>49</v>
      </c>
      <c r="AD4505">
        <v>0</v>
      </c>
      <c r="AE4505">
        <v>11004090</v>
      </c>
      <c r="AF4505" t="s">
        <v>50</v>
      </c>
      <c r="AG4505" t="s">
        <v>8332</v>
      </c>
    </row>
    <row r="4506" spans="1:33" x14ac:dyDescent="0.35">
      <c r="A4506" s="1">
        <v>44602.044444444444</v>
      </c>
      <c r="B4506">
        <v>1375250</v>
      </c>
      <c r="C4506" t="s">
        <v>9175</v>
      </c>
      <c r="D4506" t="s">
        <v>341</v>
      </c>
      <c r="E4506" s="2">
        <v>41518</v>
      </c>
      <c r="F4506" t="str">
        <f>"9780857459909"</f>
        <v>9780857459909</v>
      </c>
      <c r="G4506" t="str">
        <f>"9780857459893"</f>
        <v>9780857459893</v>
      </c>
      <c r="H4506" t="s">
        <v>9176</v>
      </c>
      <c r="I4506">
        <v>333.76096690000003</v>
      </c>
      <c r="J4506" t="s">
        <v>9177</v>
      </c>
      <c r="K4506" t="s">
        <v>44</v>
      </c>
      <c r="N4506" t="s">
        <v>45</v>
      </c>
      <c r="O4506" t="s">
        <v>46</v>
      </c>
      <c r="P4506" t="s">
        <v>177</v>
      </c>
      <c r="Q4506" t="s">
        <v>47</v>
      </c>
      <c r="R4506" t="s">
        <v>55</v>
      </c>
      <c r="S4506">
        <v>0</v>
      </c>
      <c r="W4506" s="3">
        <v>1.8287037037037037E-3</v>
      </c>
      <c r="X4506" t="s">
        <v>9178</v>
      </c>
      <c r="Y4506">
        <v>11</v>
      </c>
      <c r="Z4506">
        <v>0</v>
      </c>
      <c r="AA4506" t="s">
        <v>49</v>
      </c>
      <c r="AB4506">
        <v>0</v>
      </c>
      <c r="AC4506" t="s">
        <v>49</v>
      </c>
      <c r="AD4506">
        <v>0</v>
      </c>
      <c r="AE4506">
        <v>10764513</v>
      </c>
      <c r="AF4506" t="s">
        <v>50</v>
      </c>
      <c r="AG4506" t="s">
        <v>8710</v>
      </c>
    </row>
    <row r="4507" spans="1:33" x14ac:dyDescent="0.35">
      <c r="A4507" s="1">
        <v>44602.043055555558</v>
      </c>
      <c r="B4507">
        <v>369407</v>
      </c>
      <c r="C4507" t="s">
        <v>9179</v>
      </c>
      <c r="D4507" t="s">
        <v>9180</v>
      </c>
      <c r="E4507" s="2">
        <v>36923</v>
      </c>
      <c r="F4507" t="str">
        <f>"9780851998992"</f>
        <v>9780851998992</v>
      </c>
      <c r="G4507" t="str">
        <f>"9780851994512"</f>
        <v>9780851994512</v>
      </c>
      <c r="H4507" t="s">
        <v>2489</v>
      </c>
      <c r="I4507" t="s">
        <v>9181</v>
      </c>
      <c r="J4507" t="s">
        <v>9182</v>
      </c>
      <c r="K4507" t="s">
        <v>44</v>
      </c>
      <c r="N4507" t="s">
        <v>45</v>
      </c>
      <c r="O4507" t="s">
        <v>46</v>
      </c>
      <c r="P4507" t="s">
        <v>177</v>
      </c>
      <c r="Q4507" t="s">
        <v>47</v>
      </c>
      <c r="R4507" t="s">
        <v>55</v>
      </c>
      <c r="S4507">
        <v>0</v>
      </c>
      <c r="W4507" s="3">
        <v>7.291666666666667E-4</v>
      </c>
      <c r="X4507" t="s">
        <v>9183</v>
      </c>
      <c r="Y4507">
        <v>8</v>
      </c>
      <c r="Z4507">
        <v>0</v>
      </c>
      <c r="AA4507" t="s">
        <v>49</v>
      </c>
      <c r="AB4507">
        <v>0</v>
      </c>
      <c r="AC4507" t="s">
        <v>49</v>
      </c>
      <c r="AD4507">
        <v>0</v>
      </c>
      <c r="AE4507">
        <v>10256991</v>
      </c>
      <c r="AF4507" t="s">
        <v>50</v>
      </c>
      <c r="AG4507" t="s">
        <v>8710</v>
      </c>
    </row>
    <row r="4508" spans="1:33" x14ac:dyDescent="0.35">
      <c r="A4508" s="1">
        <v>44602.037499999999</v>
      </c>
      <c r="B4508">
        <v>3050630</v>
      </c>
      <c r="C4508" t="s">
        <v>9184</v>
      </c>
      <c r="D4508" t="s">
        <v>711</v>
      </c>
      <c r="E4508" s="2">
        <v>37956</v>
      </c>
      <c r="F4508" t="str">
        <f>"9781280085994"</f>
        <v>9781280085994</v>
      </c>
      <c r="G4508" t="str">
        <f>"9780821356913"</f>
        <v>9780821356913</v>
      </c>
      <c r="H4508" t="s">
        <v>9185</v>
      </c>
      <c r="I4508" t="s">
        <v>2490</v>
      </c>
      <c r="J4508" t="s">
        <v>9186</v>
      </c>
      <c r="K4508" t="s">
        <v>44</v>
      </c>
      <c r="N4508" t="s">
        <v>45</v>
      </c>
      <c r="O4508" t="s">
        <v>46</v>
      </c>
      <c r="P4508" t="s">
        <v>177</v>
      </c>
      <c r="Q4508" t="s">
        <v>47</v>
      </c>
      <c r="R4508" t="s">
        <v>55</v>
      </c>
      <c r="S4508">
        <v>0</v>
      </c>
      <c r="W4508" s="3">
        <v>5.115740740740741E-3</v>
      </c>
      <c r="X4508" t="s">
        <v>9187</v>
      </c>
      <c r="Y4508">
        <v>14</v>
      </c>
      <c r="Z4508">
        <v>0</v>
      </c>
      <c r="AA4508" t="s">
        <v>49</v>
      </c>
      <c r="AB4508">
        <v>0</v>
      </c>
      <c r="AC4508" t="s">
        <v>49</v>
      </c>
      <c r="AD4508">
        <v>0</v>
      </c>
      <c r="AE4508">
        <v>10046587</v>
      </c>
      <c r="AF4508" t="s">
        <v>50</v>
      </c>
      <c r="AG4508" t="s">
        <v>8710</v>
      </c>
    </row>
    <row r="4509" spans="1:33" x14ac:dyDescent="0.35">
      <c r="A4509" s="1">
        <v>44602.009027777778</v>
      </c>
      <c r="B4509">
        <v>3020323</v>
      </c>
      <c r="C4509" t="s">
        <v>9168</v>
      </c>
      <c r="D4509" t="s">
        <v>137</v>
      </c>
      <c r="E4509" s="2">
        <v>41122</v>
      </c>
      <c r="F4509" t="str">
        <f>"9781614707608"</f>
        <v>9781614707608</v>
      </c>
      <c r="G4509" t="str">
        <f>"9781614706434"</f>
        <v>9781614706434</v>
      </c>
      <c r="H4509" t="s">
        <v>176</v>
      </c>
      <c r="I4509">
        <v>613.85</v>
      </c>
      <c r="J4509" t="s">
        <v>9169</v>
      </c>
      <c r="K4509" t="s">
        <v>44</v>
      </c>
      <c r="N4509" t="s">
        <v>45</v>
      </c>
      <c r="O4509" t="s">
        <v>46</v>
      </c>
      <c r="P4509" t="s">
        <v>177</v>
      </c>
      <c r="Q4509" t="s">
        <v>47</v>
      </c>
      <c r="R4509" t="s">
        <v>55</v>
      </c>
      <c r="S4509">
        <v>0</v>
      </c>
      <c r="W4509" s="3">
        <v>1.9791666666666668E-3</v>
      </c>
      <c r="X4509" t="s">
        <v>9188</v>
      </c>
      <c r="Y4509">
        <v>11</v>
      </c>
      <c r="Z4509">
        <v>0</v>
      </c>
      <c r="AA4509" t="s">
        <v>49</v>
      </c>
      <c r="AB4509">
        <v>0</v>
      </c>
      <c r="AC4509" t="s">
        <v>49</v>
      </c>
      <c r="AD4509">
        <v>0</v>
      </c>
      <c r="AE4509">
        <v>10676602</v>
      </c>
      <c r="AF4509" t="s">
        <v>50</v>
      </c>
      <c r="AG4509" t="s">
        <v>9171</v>
      </c>
    </row>
    <row r="4510" spans="1:33" x14ac:dyDescent="0.35">
      <c r="A4510" s="1">
        <v>44601.994444444441</v>
      </c>
      <c r="B4510">
        <v>194354</v>
      </c>
      <c r="C4510" t="s">
        <v>9189</v>
      </c>
      <c r="D4510" t="s">
        <v>59</v>
      </c>
      <c r="E4510" s="2">
        <v>38198</v>
      </c>
      <c r="F4510" t="str">
        <f>"9780470011133"</f>
        <v>9780470011133</v>
      </c>
      <c r="G4510" t="str">
        <f>"9780470854280"</f>
        <v>9780470854280</v>
      </c>
      <c r="H4510" t="s">
        <v>214</v>
      </c>
      <c r="I4510" t="s">
        <v>9190</v>
      </c>
      <c r="J4510" t="s">
        <v>9191</v>
      </c>
      <c r="K4510" t="s">
        <v>44</v>
      </c>
      <c r="N4510" t="s">
        <v>45</v>
      </c>
      <c r="O4510" t="s">
        <v>46</v>
      </c>
      <c r="P4510" t="s">
        <v>45</v>
      </c>
      <c r="Q4510" t="s">
        <v>47</v>
      </c>
      <c r="R4510" t="s">
        <v>44</v>
      </c>
      <c r="S4510">
        <v>0</v>
      </c>
      <c r="W4510" s="3">
        <v>1.5740740740740741E-3</v>
      </c>
      <c r="X4510" t="s">
        <v>417</v>
      </c>
      <c r="Y4510">
        <v>11</v>
      </c>
      <c r="Z4510">
        <v>0</v>
      </c>
      <c r="AA4510" t="s">
        <v>49</v>
      </c>
      <c r="AB4510">
        <v>0</v>
      </c>
      <c r="AC4510" t="s">
        <v>49</v>
      </c>
      <c r="AD4510">
        <v>0</v>
      </c>
      <c r="AE4510">
        <v>10113963</v>
      </c>
      <c r="AF4510" t="s">
        <v>50</v>
      </c>
      <c r="AG4510" t="s">
        <v>9079</v>
      </c>
    </row>
    <row r="4511" spans="1:33" x14ac:dyDescent="0.35">
      <c r="A4511" s="1">
        <v>44601.949305555558</v>
      </c>
      <c r="B4511">
        <v>3020323</v>
      </c>
      <c r="C4511" t="s">
        <v>9168</v>
      </c>
      <c r="D4511" t="s">
        <v>137</v>
      </c>
      <c r="E4511" s="2">
        <v>41122</v>
      </c>
      <c r="F4511" t="str">
        <f>"9781614707608"</f>
        <v>9781614707608</v>
      </c>
      <c r="G4511" t="str">
        <f>"9781614706434"</f>
        <v>9781614706434</v>
      </c>
      <c r="H4511" t="s">
        <v>176</v>
      </c>
      <c r="I4511">
        <v>613.85</v>
      </c>
      <c r="J4511" t="s">
        <v>9169</v>
      </c>
      <c r="K4511" t="s">
        <v>44</v>
      </c>
      <c r="N4511" t="s">
        <v>45</v>
      </c>
      <c r="O4511" t="s">
        <v>46</v>
      </c>
      <c r="P4511" t="s">
        <v>177</v>
      </c>
      <c r="Q4511" t="s">
        <v>47</v>
      </c>
      <c r="R4511" t="s">
        <v>55</v>
      </c>
      <c r="S4511">
        <v>0</v>
      </c>
      <c r="W4511" s="3">
        <v>2.6504629629629625E-3</v>
      </c>
      <c r="X4511" t="s">
        <v>9192</v>
      </c>
      <c r="Y4511">
        <v>11</v>
      </c>
      <c r="Z4511">
        <v>0</v>
      </c>
      <c r="AA4511" t="s">
        <v>49</v>
      </c>
      <c r="AB4511">
        <v>0</v>
      </c>
      <c r="AC4511" t="s">
        <v>49</v>
      </c>
      <c r="AD4511">
        <v>0</v>
      </c>
      <c r="AE4511">
        <v>10676602</v>
      </c>
      <c r="AF4511" t="s">
        <v>50</v>
      </c>
      <c r="AG4511" t="s">
        <v>9171</v>
      </c>
    </row>
    <row r="4512" spans="1:33" x14ac:dyDescent="0.35">
      <c r="A4512" s="1">
        <v>44601.871527777781</v>
      </c>
      <c r="B4512">
        <v>3020323</v>
      </c>
      <c r="C4512" t="s">
        <v>9168</v>
      </c>
      <c r="D4512" t="s">
        <v>137</v>
      </c>
      <c r="E4512" s="2">
        <v>41122</v>
      </c>
      <c r="F4512" t="str">
        <f>"9781614707608"</f>
        <v>9781614707608</v>
      </c>
      <c r="G4512" t="str">
        <f>"9781614706434"</f>
        <v>9781614706434</v>
      </c>
      <c r="H4512" t="s">
        <v>176</v>
      </c>
      <c r="I4512">
        <v>613.85</v>
      </c>
      <c r="J4512" t="s">
        <v>9169</v>
      </c>
      <c r="K4512" t="s">
        <v>44</v>
      </c>
      <c r="N4512" t="s">
        <v>45</v>
      </c>
      <c r="O4512" t="s">
        <v>46</v>
      </c>
      <c r="P4512" t="s">
        <v>177</v>
      </c>
      <c r="Q4512" t="s">
        <v>47</v>
      </c>
      <c r="R4512" t="s">
        <v>55</v>
      </c>
      <c r="S4512">
        <v>0</v>
      </c>
      <c r="W4512" s="3">
        <v>1.5787037037037037E-2</v>
      </c>
      <c r="X4512" t="s">
        <v>9193</v>
      </c>
      <c r="Y4512">
        <v>16</v>
      </c>
      <c r="Z4512">
        <v>0</v>
      </c>
      <c r="AA4512" t="s">
        <v>49</v>
      </c>
      <c r="AB4512">
        <v>0</v>
      </c>
      <c r="AC4512" t="s">
        <v>1965</v>
      </c>
      <c r="AD4512">
        <v>2</v>
      </c>
      <c r="AE4512">
        <v>10676602</v>
      </c>
      <c r="AF4512" t="s">
        <v>50</v>
      </c>
      <c r="AG4512" t="s">
        <v>9171</v>
      </c>
    </row>
    <row r="4513" spans="1:33" x14ac:dyDescent="0.35">
      <c r="A4513" s="1">
        <v>44601.829861111109</v>
      </c>
      <c r="B4513">
        <v>3020323</v>
      </c>
      <c r="C4513" t="s">
        <v>9168</v>
      </c>
      <c r="D4513" t="s">
        <v>137</v>
      </c>
      <c r="E4513" s="2">
        <v>41122</v>
      </c>
      <c r="F4513" t="str">
        <f>"9781614707608"</f>
        <v>9781614707608</v>
      </c>
      <c r="G4513" t="str">
        <f>"9781614706434"</f>
        <v>9781614706434</v>
      </c>
      <c r="H4513" t="s">
        <v>176</v>
      </c>
      <c r="I4513">
        <v>613.85</v>
      </c>
      <c r="J4513" t="s">
        <v>9169</v>
      </c>
      <c r="K4513" t="s">
        <v>44</v>
      </c>
      <c r="N4513" t="s">
        <v>45</v>
      </c>
      <c r="O4513" t="s">
        <v>46</v>
      </c>
      <c r="P4513" t="s">
        <v>177</v>
      </c>
      <c r="Q4513" t="s">
        <v>47</v>
      </c>
      <c r="R4513" t="s">
        <v>55</v>
      </c>
      <c r="S4513">
        <v>0</v>
      </c>
      <c r="W4513" s="3">
        <v>1.7060185185185185E-2</v>
      </c>
      <c r="X4513" t="s">
        <v>9194</v>
      </c>
      <c r="Y4513">
        <v>30</v>
      </c>
      <c r="Z4513">
        <v>0</v>
      </c>
      <c r="AA4513" t="s">
        <v>49</v>
      </c>
      <c r="AB4513">
        <v>0</v>
      </c>
      <c r="AC4513" t="s">
        <v>3641</v>
      </c>
      <c r="AD4513">
        <v>1</v>
      </c>
      <c r="AE4513">
        <v>10676602</v>
      </c>
      <c r="AF4513" t="s">
        <v>50</v>
      </c>
      <c r="AG4513" t="s">
        <v>9171</v>
      </c>
    </row>
    <row r="4514" spans="1:33" x14ac:dyDescent="0.35">
      <c r="A4514" s="1">
        <v>44601.789583333331</v>
      </c>
      <c r="B4514">
        <v>589895</v>
      </c>
      <c r="C4514" t="s">
        <v>9195</v>
      </c>
      <c r="D4514" t="s">
        <v>76</v>
      </c>
      <c r="E4514" s="2">
        <v>40351</v>
      </c>
      <c r="F4514" t="str">
        <f>"9781439809631"</f>
        <v>9781439809631</v>
      </c>
      <c r="G4514" t="str">
        <f>"9781439809624"</f>
        <v>9781439809624</v>
      </c>
      <c r="H4514" t="s">
        <v>9196</v>
      </c>
      <c r="I4514" t="s">
        <v>9197</v>
      </c>
      <c r="J4514" t="s">
        <v>9198</v>
      </c>
      <c r="K4514" t="s">
        <v>44</v>
      </c>
      <c r="N4514" t="s">
        <v>45</v>
      </c>
      <c r="O4514" t="s">
        <v>46</v>
      </c>
      <c r="P4514" t="s">
        <v>45</v>
      </c>
      <c r="Q4514" t="s">
        <v>47</v>
      </c>
      <c r="R4514" t="s">
        <v>44</v>
      </c>
      <c r="S4514">
        <v>0</v>
      </c>
      <c r="W4514" s="3">
        <v>4.9768518518518521E-4</v>
      </c>
      <c r="X4514" t="s">
        <v>9199</v>
      </c>
      <c r="Y4514">
        <v>13</v>
      </c>
      <c r="Z4514">
        <v>0</v>
      </c>
      <c r="AA4514" t="s">
        <v>49</v>
      </c>
      <c r="AB4514">
        <v>0</v>
      </c>
      <c r="AC4514" t="s">
        <v>49</v>
      </c>
      <c r="AD4514">
        <v>0</v>
      </c>
      <c r="AE4514">
        <v>10419917</v>
      </c>
      <c r="AF4514" t="s">
        <v>50</v>
      </c>
      <c r="AG4514" t="s">
        <v>9200</v>
      </c>
    </row>
    <row r="4515" spans="1:33" x14ac:dyDescent="0.35">
      <c r="A4515" s="1">
        <v>44601.776388888888</v>
      </c>
      <c r="B4515">
        <v>3338641</v>
      </c>
      <c r="C4515" t="s">
        <v>302</v>
      </c>
      <c r="D4515" t="s">
        <v>303</v>
      </c>
      <c r="E4515" s="2">
        <v>39143</v>
      </c>
      <c r="F4515" t="str">
        <f>"9780262282888"</f>
        <v>9780262282888</v>
      </c>
      <c r="G4515" t="str">
        <f>"9780262195577"</f>
        <v>9780262195577</v>
      </c>
      <c r="H4515" t="s">
        <v>304</v>
      </c>
      <c r="I4515" t="s">
        <v>305</v>
      </c>
      <c r="K4515" t="s">
        <v>44</v>
      </c>
      <c r="N4515" t="s">
        <v>45</v>
      </c>
      <c r="O4515" t="s">
        <v>46</v>
      </c>
      <c r="P4515" t="s">
        <v>45</v>
      </c>
      <c r="Q4515" t="s">
        <v>47</v>
      </c>
      <c r="R4515" t="s">
        <v>44</v>
      </c>
      <c r="S4515">
        <v>0</v>
      </c>
      <c r="W4515" s="3">
        <v>9.2592592592592588E-5</v>
      </c>
      <c r="X4515" t="s">
        <v>121</v>
      </c>
      <c r="Y4515">
        <v>1</v>
      </c>
      <c r="Z4515">
        <v>0</v>
      </c>
      <c r="AA4515" t="s">
        <v>49</v>
      </c>
      <c r="AB4515">
        <v>0</v>
      </c>
      <c r="AC4515" t="s">
        <v>49</v>
      </c>
      <c r="AD4515">
        <v>0</v>
      </c>
      <c r="AE4515">
        <v>10173702</v>
      </c>
      <c r="AF4515" t="s">
        <v>50</v>
      </c>
      <c r="AG4515" t="s">
        <v>8332</v>
      </c>
    </row>
    <row r="4516" spans="1:33" x14ac:dyDescent="0.35">
      <c r="A4516" s="1">
        <v>44601.652777777781</v>
      </c>
      <c r="B4516">
        <v>6099680</v>
      </c>
      <c r="C4516" t="s">
        <v>9201</v>
      </c>
      <c r="D4516" t="s">
        <v>9202</v>
      </c>
      <c r="E4516" s="2">
        <v>41094</v>
      </c>
      <c r="F4516" t="str">
        <f>"9781401945534"</f>
        <v>9781401945534</v>
      </c>
      <c r="G4516" t="str">
        <f>"9781933885995"</f>
        <v>9781933885995</v>
      </c>
      <c r="H4516" t="s">
        <v>6352</v>
      </c>
      <c r="I4516">
        <v>128.19999999999999</v>
      </c>
      <c r="J4516" t="s">
        <v>9203</v>
      </c>
      <c r="K4516" t="s">
        <v>55</v>
      </c>
      <c r="N4516" t="s">
        <v>79</v>
      </c>
      <c r="P4516" t="s">
        <v>97</v>
      </c>
      <c r="Q4516" t="s">
        <v>47</v>
      </c>
      <c r="R4516" t="s">
        <v>44</v>
      </c>
      <c r="S4516">
        <v>1</v>
      </c>
      <c r="T4516">
        <v>1</v>
      </c>
      <c r="U4516" s="1">
        <v>44601.652777777781</v>
      </c>
      <c r="V4516" s="1">
        <v>44602.652777777781</v>
      </c>
      <c r="W4516" s="3">
        <v>0</v>
      </c>
      <c r="X4516" t="s">
        <v>49</v>
      </c>
      <c r="Y4516">
        <v>0</v>
      </c>
      <c r="Z4516">
        <v>0</v>
      </c>
      <c r="AA4516" t="s">
        <v>49</v>
      </c>
      <c r="AB4516">
        <v>0</v>
      </c>
      <c r="AC4516" t="s">
        <v>49</v>
      </c>
      <c r="AD4516">
        <v>0</v>
      </c>
      <c r="AE4516">
        <v>-1</v>
      </c>
      <c r="AF4516" t="s">
        <v>63</v>
      </c>
      <c r="AG4516" t="s">
        <v>8710</v>
      </c>
    </row>
    <row r="4517" spans="1:33" x14ac:dyDescent="0.35">
      <c r="A4517" s="1">
        <v>44601.644444444442</v>
      </c>
      <c r="B4517">
        <v>1447081</v>
      </c>
      <c r="C4517" t="s">
        <v>9172</v>
      </c>
      <c r="D4517" t="s">
        <v>76</v>
      </c>
      <c r="E4517" s="2">
        <v>39904</v>
      </c>
      <c r="F4517" t="str">
        <f>"9780849379406"</f>
        <v>9780849379406</v>
      </c>
      <c r="G4517" t="str">
        <f>"9780849379291"</f>
        <v>9780849379291</v>
      </c>
      <c r="H4517" t="s">
        <v>4212</v>
      </c>
      <c r="I4517">
        <v>6.42</v>
      </c>
      <c r="J4517" t="s">
        <v>9173</v>
      </c>
      <c r="K4517" t="s">
        <v>55</v>
      </c>
      <c r="N4517" t="s">
        <v>79</v>
      </c>
      <c r="P4517" t="s">
        <v>80</v>
      </c>
      <c r="Q4517" t="s">
        <v>47</v>
      </c>
      <c r="R4517" t="s">
        <v>44</v>
      </c>
      <c r="S4517">
        <v>0</v>
      </c>
      <c r="W4517" s="3">
        <v>3.4722222222222222E-5</v>
      </c>
      <c r="X4517" t="s">
        <v>121</v>
      </c>
      <c r="Y4517">
        <v>1</v>
      </c>
      <c r="Z4517">
        <v>0</v>
      </c>
      <c r="AA4517" t="s">
        <v>49</v>
      </c>
      <c r="AB4517">
        <v>0</v>
      </c>
      <c r="AC4517" t="s">
        <v>49</v>
      </c>
      <c r="AD4517">
        <v>0</v>
      </c>
      <c r="AE4517">
        <v>11004090</v>
      </c>
      <c r="AF4517" t="s">
        <v>50</v>
      </c>
      <c r="AG4517" t="s">
        <v>3095</v>
      </c>
    </row>
    <row r="4518" spans="1:33" x14ac:dyDescent="0.35">
      <c r="A4518" s="1">
        <v>44601.595138888886</v>
      </c>
      <c r="B4518">
        <v>1447081</v>
      </c>
      <c r="C4518" t="s">
        <v>9172</v>
      </c>
      <c r="D4518" t="s">
        <v>76</v>
      </c>
      <c r="E4518" s="2">
        <v>39904</v>
      </c>
      <c r="F4518" t="str">
        <f>"9780849379406"</f>
        <v>9780849379406</v>
      </c>
      <c r="G4518" t="str">
        <f>"9780849379291"</f>
        <v>9780849379291</v>
      </c>
      <c r="H4518" t="s">
        <v>4212</v>
      </c>
      <c r="I4518">
        <v>6.42</v>
      </c>
      <c r="J4518" t="s">
        <v>9173</v>
      </c>
      <c r="K4518" t="s">
        <v>55</v>
      </c>
      <c r="N4518" t="s">
        <v>79</v>
      </c>
      <c r="P4518" t="s">
        <v>80</v>
      </c>
      <c r="Q4518" t="s">
        <v>47</v>
      </c>
      <c r="R4518" t="s">
        <v>44</v>
      </c>
      <c r="S4518">
        <v>0</v>
      </c>
      <c r="W4518" s="3">
        <v>3.4722222222222224E-4</v>
      </c>
      <c r="X4518" t="s">
        <v>1637</v>
      </c>
      <c r="Y4518">
        <v>8</v>
      </c>
      <c r="Z4518">
        <v>0</v>
      </c>
      <c r="AA4518" t="s">
        <v>49</v>
      </c>
      <c r="AB4518">
        <v>0</v>
      </c>
      <c r="AC4518" t="s">
        <v>49</v>
      </c>
      <c r="AD4518">
        <v>0</v>
      </c>
      <c r="AE4518">
        <v>11004090</v>
      </c>
      <c r="AF4518" t="s">
        <v>50</v>
      </c>
      <c r="AG4518" t="s">
        <v>3095</v>
      </c>
    </row>
    <row r="4519" spans="1:33" x14ac:dyDescent="0.35">
      <c r="A4519" s="1">
        <v>44601.564583333333</v>
      </c>
      <c r="B4519">
        <v>169678</v>
      </c>
      <c r="C4519" t="s">
        <v>9204</v>
      </c>
      <c r="D4519" t="s">
        <v>76</v>
      </c>
      <c r="E4519" s="2">
        <v>36819</v>
      </c>
      <c r="F4519" t="str">
        <f>"9780203136973"</f>
        <v>9780203136973</v>
      </c>
      <c r="G4519" t="str">
        <f>"9780415184045"</f>
        <v>9780415184045</v>
      </c>
      <c r="H4519" t="s">
        <v>900</v>
      </c>
      <c r="I4519" t="s">
        <v>9205</v>
      </c>
      <c r="J4519" t="s">
        <v>9206</v>
      </c>
      <c r="K4519" t="s">
        <v>44</v>
      </c>
      <c r="N4519" t="s">
        <v>45</v>
      </c>
      <c r="O4519" t="s">
        <v>46</v>
      </c>
      <c r="P4519" t="s">
        <v>45</v>
      </c>
      <c r="Q4519" t="s">
        <v>47</v>
      </c>
      <c r="R4519" t="s">
        <v>44</v>
      </c>
      <c r="S4519">
        <v>0</v>
      </c>
      <c r="W4519" s="3">
        <v>4.5138888888888892E-4</v>
      </c>
      <c r="X4519" t="s">
        <v>9207</v>
      </c>
      <c r="Y4519">
        <v>5</v>
      </c>
      <c r="Z4519">
        <v>0</v>
      </c>
      <c r="AA4519" t="s">
        <v>49</v>
      </c>
      <c r="AB4519">
        <v>0</v>
      </c>
      <c r="AC4519" t="s">
        <v>49</v>
      </c>
      <c r="AD4519">
        <v>0</v>
      </c>
      <c r="AE4519">
        <v>10053778</v>
      </c>
      <c r="AF4519" t="s">
        <v>50</v>
      </c>
      <c r="AG4519" t="s">
        <v>9079</v>
      </c>
    </row>
    <row r="4520" spans="1:33" x14ac:dyDescent="0.35">
      <c r="A4520" s="1">
        <v>44601.526388888888</v>
      </c>
      <c r="B4520">
        <v>826934</v>
      </c>
      <c r="C4520" t="s">
        <v>9208</v>
      </c>
      <c r="D4520" t="s">
        <v>76</v>
      </c>
      <c r="E4520" s="2">
        <v>40896</v>
      </c>
      <c r="F4520" t="str">
        <f>"9781439835777"</f>
        <v>9781439835777</v>
      </c>
      <c r="G4520" t="str">
        <f>"9781439835760"</f>
        <v>9781439835760</v>
      </c>
      <c r="H4520" t="s">
        <v>72</v>
      </c>
      <c r="I4520" t="s">
        <v>9209</v>
      </c>
      <c r="J4520" t="s">
        <v>9210</v>
      </c>
      <c r="K4520" t="s">
        <v>44</v>
      </c>
      <c r="N4520" t="s">
        <v>45</v>
      </c>
      <c r="O4520" t="s">
        <v>46</v>
      </c>
      <c r="P4520" t="s">
        <v>45</v>
      </c>
      <c r="Q4520" t="s">
        <v>47</v>
      </c>
      <c r="R4520" t="s">
        <v>44</v>
      </c>
      <c r="S4520">
        <v>1</v>
      </c>
      <c r="W4520" s="3">
        <v>0</v>
      </c>
      <c r="X4520" t="s">
        <v>49</v>
      </c>
      <c r="Y4520">
        <v>0</v>
      </c>
      <c r="Z4520">
        <v>0</v>
      </c>
      <c r="AA4520" t="s">
        <v>49</v>
      </c>
      <c r="AB4520">
        <v>0</v>
      </c>
      <c r="AC4520" t="s">
        <v>49</v>
      </c>
      <c r="AD4520">
        <v>0</v>
      </c>
      <c r="AE4520">
        <v>10517987</v>
      </c>
      <c r="AF4520" t="s">
        <v>63</v>
      </c>
      <c r="AG4520" t="s">
        <v>9079</v>
      </c>
    </row>
    <row r="4521" spans="1:33" x14ac:dyDescent="0.35">
      <c r="A4521" s="1">
        <v>44601.525694444441</v>
      </c>
      <c r="B4521">
        <v>1574357</v>
      </c>
      <c r="C4521" t="s">
        <v>8524</v>
      </c>
      <c r="D4521" t="s">
        <v>59</v>
      </c>
      <c r="E4521" s="2">
        <v>41680</v>
      </c>
      <c r="F4521" t="str">
        <f>"9781118703366"</f>
        <v>9781118703366</v>
      </c>
      <c r="G4521" t="str">
        <f>"9781118634165"</f>
        <v>9781118634165</v>
      </c>
      <c r="H4521" t="s">
        <v>546</v>
      </c>
      <c r="I4521">
        <v>621.31244000000004</v>
      </c>
      <c r="J4521" t="s">
        <v>8525</v>
      </c>
      <c r="K4521" t="s">
        <v>44</v>
      </c>
      <c r="N4521" t="s">
        <v>45</v>
      </c>
      <c r="O4521" t="s">
        <v>46</v>
      </c>
      <c r="P4521" t="s">
        <v>45</v>
      </c>
      <c r="Q4521" t="s">
        <v>47</v>
      </c>
      <c r="R4521" t="s">
        <v>44</v>
      </c>
      <c r="S4521">
        <v>1</v>
      </c>
      <c r="W4521" s="3">
        <v>0</v>
      </c>
      <c r="X4521" t="s">
        <v>49</v>
      </c>
      <c r="Y4521">
        <v>0</v>
      </c>
      <c r="Z4521">
        <v>0</v>
      </c>
      <c r="AA4521" t="s">
        <v>49</v>
      </c>
      <c r="AB4521">
        <v>0</v>
      </c>
      <c r="AC4521" t="s">
        <v>49</v>
      </c>
      <c r="AD4521">
        <v>0</v>
      </c>
      <c r="AE4521">
        <v>10814681</v>
      </c>
      <c r="AF4521" t="s">
        <v>63</v>
      </c>
      <c r="AG4521" t="s">
        <v>9079</v>
      </c>
    </row>
    <row r="4522" spans="1:33" x14ac:dyDescent="0.35">
      <c r="A4522" s="1">
        <v>44601.524305555555</v>
      </c>
      <c r="B4522">
        <v>1574357</v>
      </c>
      <c r="C4522" t="s">
        <v>8524</v>
      </c>
      <c r="D4522" t="s">
        <v>59</v>
      </c>
      <c r="E4522" s="2">
        <v>41680</v>
      </c>
      <c r="F4522" t="str">
        <f>"9781118703366"</f>
        <v>9781118703366</v>
      </c>
      <c r="G4522" t="str">
        <f>"9781118634165"</f>
        <v>9781118634165</v>
      </c>
      <c r="H4522" t="s">
        <v>546</v>
      </c>
      <c r="I4522">
        <v>621.31244000000004</v>
      </c>
      <c r="J4522" t="s">
        <v>8525</v>
      </c>
      <c r="K4522" t="s">
        <v>44</v>
      </c>
      <c r="N4522" t="s">
        <v>45</v>
      </c>
      <c r="O4522" t="s">
        <v>46</v>
      </c>
      <c r="P4522" t="s">
        <v>45</v>
      </c>
      <c r="Q4522" t="s">
        <v>47</v>
      </c>
      <c r="R4522" t="s">
        <v>44</v>
      </c>
      <c r="S4522">
        <v>0</v>
      </c>
      <c r="W4522" s="3">
        <v>1.4583333333333334E-3</v>
      </c>
      <c r="X4522" t="s">
        <v>1963</v>
      </c>
      <c r="Y4522">
        <v>1</v>
      </c>
      <c r="Z4522">
        <v>0</v>
      </c>
      <c r="AA4522" t="s">
        <v>49</v>
      </c>
      <c r="AB4522">
        <v>0</v>
      </c>
      <c r="AC4522" t="s">
        <v>49</v>
      </c>
      <c r="AD4522">
        <v>0</v>
      </c>
      <c r="AE4522">
        <v>10814681</v>
      </c>
      <c r="AF4522" t="s">
        <v>63</v>
      </c>
      <c r="AG4522" t="s">
        <v>9079</v>
      </c>
    </row>
    <row r="4523" spans="1:33" x14ac:dyDescent="0.35">
      <c r="A4523" s="1">
        <v>44601.520833333336</v>
      </c>
      <c r="B4523">
        <v>6370229</v>
      </c>
      <c r="C4523" t="s">
        <v>9211</v>
      </c>
      <c r="D4523" t="s">
        <v>614</v>
      </c>
      <c r="E4523" s="2">
        <v>44113</v>
      </c>
      <c r="F4523" t="str">
        <f>"9789811575716"</f>
        <v>9789811575716</v>
      </c>
      <c r="G4523" t="str">
        <f>"9789811575709"</f>
        <v>9789811575709</v>
      </c>
      <c r="H4523" t="s">
        <v>9212</v>
      </c>
      <c r="I4523">
        <v>519.6</v>
      </c>
      <c r="J4523" t="s">
        <v>107</v>
      </c>
      <c r="K4523" t="s">
        <v>55</v>
      </c>
      <c r="Q4523" t="s">
        <v>47</v>
      </c>
      <c r="R4523" t="s">
        <v>44</v>
      </c>
      <c r="S4523">
        <v>0</v>
      </c>
      <c r="W4523" s="3">
        <v>3.8773148148148143E-3</v>
      </c>
      <c r="X4523" t="s">
        <v>9213</v>
      </c>
      <c r="Y4523">
        <v>34</v>
      </c>
      <c r="Z4523">
        <v>0</v>
      </c>
      <c r="AA4523" t="s">
        <v>49</v>
      </c>
      <c r="AB4523">
        <v>0</v>
      </c>
      <c r="AC4523" t="s">
        <v>49</v>
      </c>
      <c r="AD4523">
        <v>0</v>
      </c>
      <c r="AE4523">
        <v>-1</v>
      </c>
      <c r="AF4523" t="s">
        <v>63</v>
      </c>
      <c r="AG4523" t="s">
        <v>9079</v>
      </c>
    </row>
    <row r="4524" spans="1:33" x14ac:dyDescent="0.35">
      <c r="A4524" s="1">
        <v>44601.51666666667</v>
      </c>
      <c r="B4524">
        <v>826934</v>
      </c>
      <c r="C4524" t="s">
        <v>9208</v>
      </c>
      <c r="D4524" t="s">
        <v>76</v>
      </c>
      <c r="E4524" s="2">
        <v>40896</v>
      </c>
      <c r="F4524" t="str">
        <f>"9781439835777"</f>
        <v>9781439835777</v>
      </c>
      <c r="G4524" t="str">
        <f>"9781439835760"</f>
        <v>9781439835760</v>
      </c>
      <c r="H4524" t="s">
        <v>72</v>
      </c>
      <c r="I4524" t="s">
        <v>9209</v>
      </c>
      <c r="J4524" t="s">
        <v>9210</v>
      </c>
      <c r="K4524" t="s">
        <v>44</v>
      </c>
      <c r="N4524" t="s">
        <v>45</v>
      </c>
      <c r="O4524" t="s">
        <v>46</v>
      </c>
      <c r="P4524" t="s">
        <v>45</v>
      </c>
      <c r="Q4524" t="s">
        <v>47</v>
      </c>
      <c r="R4524" t="s">
        <v>44</v>
      </c>
      <c r="S4524">
        <v>0</v>
      </c>
      <c r="W4524" s="3">
        <v>9.8032407407407408E-3</v>
      </c>
      <c r="X4524" t="s">
        <v>9214</v>
      </c>
      <c r="Y4524">
        <v>35</v>
      </c>
      <c r="Z4524">
        <v>0</v>
      </c>
      <c r="AA4524" t="s">
        <v>49</v>
      </c>
      <c r="AB4524">
        <v>0</v>
      </c>
      <c r="AC4524" t="s">
        <v>49</v>
      </c>
      <c r="AD4524">
        <v>0</v>
      </c>
      <c r="AE4524">
        <v>10517987</v>
      </c>
      <c r="AF4524" t="s">
        <v>63</v>
      </c>
      <c r="AG4524" t="s">
        <v>9079</v>
      </c>
    </row>
    <row r="4525" spans="1:33" x14ac:dyDescent="0.35">
      <c r="A4525" s="1">
        <v>44601.502083333333</v>
      </c>
      <c r="B4525">
        <v>1637335</v>
      </c>
      <c r="C4525" t="s">
        <v>9215</v>
      </c>
      <c r="D4525" t="s">
        <v>213</v>
      </c>
      <c r="E4525" s="2">
        <v>41690</v>
      </c>
      <c r="F4525" t="str">
        <f>"9780124167452"</f>
        <v>9780124167452</v>
      </c>
      <c r="G4525" t="str">
        <f>"9780124167438"</f>
        <v>9780124167438</v>
      </c>
      <c r="H4525" t="s">
        <v>9216</v>
      </c>
      <c r="I4525">
        <v>519.6</v>
      </c>
      <c r="J4525" t="s">
        <v>9217</v>
      </c>
      <c r="K4525" t="s">
        <v>44</v>
      </c>
      <c r="N4525" t="s">
        <v>45</v>
      </c>
      <c r="O4525" t="s">
        <v>46</v>
      </c>
      <c r="P4525" t="s">
        <v>45</v>
      </c>
      <c r="Q4525" t="s">
        <v>47</v>
      </c>
      <c r="R4525" t="s">
        <v>44</v>
      </c>
      <c r="S4525">
        <v>1</v>
      </c>
      <c r="W4525" s="3">
        <v>0</v>
      </c>
      <c r="X4525" t="s">
        <v>49</v>
      </c>
      <c r="Y4525">
        <v>0</v>
      </c>
      <c r="Z4525">
        <v>0</v>
      </c>
      <c r="AA4525" t="s">
        <v>49</v>
      </c>
      <c r="AB4525">
        <v>0</v>
      </c>
      <c r="AC4525" t="s">
        <v>49</v>
      </c>
      <c r="AD4525">
        <v>0</v>
      </c>
      <c r="AE4525">
        <v>10839265</v>
      </c>
      <c r="AF4525" t="s">
        <v>63</v>
      </c>
      <c r="AG4525" t="s">
        <v>9079</v>
      </c>
    </row>
    <row r="4526" spans="1:33" x14ac:dyDescent="0.35">
      <c r="A4526" s="1">
        <v>44601.496527777781</v>
      </c>
      <c r="B4526">
        <v>1574357</v>
      </c>
      <c r="C4526" t="s">
        <v>8524</v>
      </c>
      <c r="D4526" t="s">
        <v>59</v>
      </c>
      <c r="E4526" s="2">
        <v>41680</v>
      </c>
      <c r="F4526" t="str">
        <f>"9781118703366"</f>
        <v>9781118703366</v>
      </c>
      <c r="G4526" t="str">
        <f>"9781118634165"</f>
        <v>9781118634165</v>
      </c>
      <c r="H4526" t="s">
        <v>546</v>
      </c>
      <c r="I4526">
        <v>621.31244000000004</v>
      </c>
      <c r="J4526" t="s">
        <v>8525</v>
      </c>
      <c r="K4526" t="s">
        <v>44</v>
      </c>
      <c r="N4526" t="s">
        <v>45</v>
      </c>
      <c r="O4526" t="s">
        <v>46</v>
      </c>
      <c r="P4526" t="s">
        <v>45</v>
      </c>
      <c r="Q4526" t="s">
        <v>47</v>
      </c>
      <c r="R4526" t="s">
        <v>44</v>
      </c>
      <c r="S4526">
        <v>0</v>
      </c>
      <c r="W4526" s="3">
        <v>6.7129629629629625E-4</v>
      </c>
      <c r="X4526" t="s">
        <v>9218</v>
      </c>
      <c r="Y4526">
        <v>7</v>
      </c>
      <c r="Z4526">
        <v>0</v>
      </c>
      <c r="AA4526" t="s">
        <v>49</v>
      </c>
      <c r="AB4526">
        <v>0</v>
      </c>
      <c r="AC4526" t="s">
        <v>49</v>
      </c>
      <c r="AD4526">
        <v>0</v>
      </c>
      <c r="AE4526">
        <v>10814681</v>
      </c>
      <c r="AF4526" t="s">
        <v>50</v>
      </c>
      <c r="AG4526" t="s">
        <v>9079</v>
      </c>
    </row>
    <row r="4527" spans="1:33" x14ac:dyDescent="0.35">
      <c r="A4527" s="1">
        <v>44601.488888888889</v>
      </c>
      <c r="B4527">
        <v>5838951</v>
      </c>
      <c r="C4527" t="s">
        <v>9219</v>
      </c>
      <c r="D4527" t="s">
        <v>105</v>
      </c>
      <c r="E4527" s="2">
        <v>43684</v>
      </c>
      <c r="F4527" t="str">
        <f>"9783030248352"</f>
        <v>9783030248352</v>
      </c>
      <c r="G4527" t="str">
        <f>"9783030248345"</f>
        <v>9783030248345</v>
      </c>
      <c r="H4527" t="s">
        <v>454</v>
      </c>
      <c r="I4527">
        <v>6.3</v>
      </c>
      <c r="J4527" t="s">
        <v>107</v>
      </c>
      <c r="K4527" t="s">
        <v>55</v>
      </c>
      <c r="Q4527" t="s">
        <v>47</v>
      </c>
      <c r="R4527" t="s">
        <v>44</v>
      </c>
      <c r="S4527">
        <v>0</v>
      </c>
      <c r="W4527" s="3">
        <v>2.165509259259259E-2</v>
      </c>
      <c r="X4527" t="s">
        <v>9220</v>
      </c>
      <c r="Y4527">
        <v>16</v>
      </c>
      <c r="Z4527">
        <v>0</v>
      </c>
      <c r="AA4527" t="s">
        <v>49</v>
      </c>
      <c r="AB4527">
        <v>0</v>
      </c>
      <c r="AC4527" t="s">
        <v>49</v>
      </c>
      <c r="AD4527">
        <v>0</v>
      </c>
      <c r="AE4527">
        <v>-1</v>
      </c>
      <c r="AF4527" t="s">
        <v>63</v>
      </c>
      <c r="AG4527" t="s">
        <v>9079</v>
      </c>
    </row>
    <row r="4528" spans="1:33" x14ac:dyDescent="0.35">
      <c r="A4528" s="1">
        <v>44601.484722222223</v>
      </c>
      <c r="B4528">
        <v>3019860</v>
      </c>
      <c r="C4528" t="s">
        <v>9221</v>
      </c>
      <c r="D4528" t="s">
        <v>137</v>
      </c>
      <c r="E4528" s="2">
        <v>40360</v>
      </c>
      <c r="F4528" t="str">
        <f>"9781613247006"</f>
        <v>9781613247006</v>
      </c>
      <c r="G4528" t="str">
        <f>"9781616685270"</f>
        <v>9781616685270</v>
      </c>
      <c r="H4528" t="s">
        <v>454</v>
      </c>
      <c r="I4528">
        <v>6.3</v>
      </c>
      <c r="J4528" t="s">
        <v>9222</v>
      </c>
      <c r="K4528" t="s">
        <v>44</v>
      </c>
      <c r="N4528" t="s">
        <v>45</v>
      </c>
      <c r="O4528" t="s">
        <v>46</v>
      </c>
      <c r="P4528" t="s">
        <v>177</v>
      </c>
      <c r="Q4528" t="s">
        <v>47</v>
      </c>
      <c r="R4528" t="s">
        <v>55</v>
      </c>
      <c r="S4528">
        <v>0</v>
      </c>
      <c r="W4528" s="3">
        <v>2.673611111111111E-3</v>
      </c>
      <c r="X4528" t="s">
        <v>9223</v>
      </c>
      <c r="Y4528">
        <v>21</v>
      </c>
      <c r="Z4528">
        <v>0</v>
      </c>
      <c r="AA4528" t="s">
        <v>49</v>
      </c>
      <c r="AB4528">
        <v>0</v>
      </c>
      <c r="AC4528" t="s">
        <v>49</v>
      </c>
      <c r="AD4528">
        <v>0</v>
      </c>
      <c r="AE4528">
        <v>10671425</v>
      </c>
      <c r="AF4528" t="s">
        <v>50</v>
      </c>
      <c r="AG4528" t="s">
        <v>9079</v>
      </c>
    </row>
    <row r="4529" spans="1:33" x14ac:dyDescent="0.35">
      <c r="A4529" s="1">
        <v>44601.430555555555</v>
      </c>
      <c r="B4529">
        <v>1447081</v>
      </c>
      <c r="C4529" t="s">
        <v>9172</v>
      </c>
      <c r="D4529" t="s">
        <v>76</v>
      </c>
      <c r="E4529" s="2">
        <v>39904</v>
      </c>
      <c r="F4529" t="str">
        <f>"9780849379406"</f>
        <v>9780849379406</v>
      </c>
      <c r="G4529" t="str">
        <f>"9780849379291"</f>
        <v>9780849379291</v>
      </c>
      <c r="H4529" t="s">
        <v>4212</v>
      </c>
      <c r="I4529">
        <v>6.42</v>
      </c>
      <c r="J4529" t="s">
        <v>9173</v>
      </c>
      <c r="K4529" t="s">
        <v>55</v>
      </c>
      <c r="N4529" t="s">
        <v>79</v>
      </c>
      <c r="P4529" t="s">
        <v>80</v>
      </c>
      <c r="Q4529" t="s">
        <v>47</v>
      </c>
      <c r="R4529" t="s">
        <v>44</v>
      </c>
      <c r="S4529">
        <v>0</v>
      </c>
      <c r="W4529" s="3">
        <v>1.9907407407407408E-3</v>
      </c>
      <c r="X4529" t="s">
        <v>9224</v>
      </c>
      <c r="Y4529">
        <v>15</v>
      </c>
      <c r="Z4529">
        <v>0</v>
      </c>
      <c r="AA4529" t="s">
        <v>49</v>
      </c>
      <c r="AB4529">
        <v>0</v>
      </c>
      <c r="AC4529" t="s">
        <v>49</v>
      </c>
      <c r="AD4529">
        <v>0</v>
      </c>
      <c r="AE4529">
        <v>11004090</v>
      </c>
      <c r="AF4529" t="s">
        <v>50</v>
      </c>
      <c r="AG4529" t="s">
        <v>8332</v>
      </c>
    </row>
    <row r="4530" spans="1:33" x14ac:dyDescent="0.35">
      <c r="A4530" s="1">
        <v>44601.363194444442</v>
      </c>
      <c r="B4530">
        <v>882731</v>
      </c>
      <c r="C4530" t="s">
        <v>8947</v>
      </c>
      <c r="D4530" t="s">
        <v>59</v>
      </c>
      <c r="E4530" s="2">
        <v>40973</v>
      </c>
      <c r="F4530" t="str">
        <f>"9781444355857"</f>
        <v>9781444355857</v>
      </c>
      <c r="G4530" t="str">
        <f>"9781444332872"</f>
        <v>9781444332872</v>
      </c>
      <c r="H4530" t="s">
        <v>8948</v>
      </c>
      <c r="I4530">
        <v>175</v>
      </c>
      <c r="J4530" t="s">
        <v>8949</v>
      </c>
      <c r="K4530" t="s">
        <v>44</v>
      </c>
      <c r="N4530" t="s">
        <v>45</v>
      </c>
      <c r="O4530" t="s">
        <v>46</v>
      </c>
      <c r="P4530" t="s">
        <v>45</v>
      </c>
      <c r="Q4530" t="s">
        <v>47</v>
      </c>
      <c r="R4530" t="s">
        <v>44</v>
      </c>
      <c r="S4530">
        <v>0</v>
      </c>
      <c r="W4530" s="3">
        <v>5.9259259259259256E-3</v>
      </c>
      <c r="X4530" t="s">
        <v>9225</v>
      </c>
      <c r="Y4530">
        <v>6</v>
      </c>
      <c r="Z4530">
        <v>0</v>
      </c>
      <c r="AA4530" t="s">
        <v>49</v>
      </c>
      <c r="AB4530">
        <v>0</v>
      </c>
      <c r="AC4530" t="s">
        <v>49</v>
      </c>
      <c r="AD4530">
        <v>0</v>
      </c>
      <c r="AE4530">
        <v>10630487</v>
      </c>
      <c r="AF4530" t="s">
        <v>50</v>
      </c>
      <c r="AG4530" t="s">
        <v>8710</v>
      </c>
    </row>
    <row r="4531" spans="1:33" x14ac:dyDescent="0.35">
      <c r="A4531" s="1">
        <v>44601.35833333333</v>
      </c>
      <c r="B4531">
        <v>882731</v>
      </c>
      <c r="C4531" t="s">
        <v>8947</v>
      </c>
      <c r="D4531" t="s">
        <v>59</v>
      </c>
      <c r="E4531" s="2">
        <v>40973</v>
      </c>
      <c r="F4531" t="str">
        <f>"9781444355857"</f>
        <v>9781444355857</v>
      </c>
      <c r="G4531" t="str">
        <f>"9781444332872"</f>
        <v>9781444332872</v>
      </c>
      <c r="H4531" t="s">
        <v>8948</v>
      </c>
      <c r="I4531">
        <v>175</v>
      </c>
      <c r="J4531" t="s">
        <v>8949</v>
      </c>
      <c r="K4531" t="s">
        <v>44</v>
      </c>
      <c r="N4531" t="s">
        <v>45</v>
      </c>
      <c r="O4531" t="s">
        <v>46</v>
      </c>
      <c r="P4531" t="s">
        <v>45</v>
      </c>
      <c r="Q4531" t="s">
        <v>47</v>
      </c>
      <c r="R4531" t="s">
        <v>44</v>
      </c>
      <c r="S4531">
        <v>0</v>
      </c>
      <c r="W4531" s="3">
        <v>1.2847222222222223E-3</v>
      </c>
      <c r="X4531" t="s">
        <v>9226</v>
      </c>
      <c r="Y4531">
        <v>24</v>
      </c>
      <c r="Z4531">
        <v>0</v>
      </c>
      <c r="AA4531" t="s">
        <v>49</v>
      </c>
      <c r="AB4531">
        <v>0</v>
      </c>
      <c r="AC4531" t="s">
        <v>49</v>
      </c>
      <c r="AD4531">
        <v>0</v>
      </c>
      <c r="AE4531">
        <v>10630487</v>
      </c>
      <c r="AF4531" t="s">
        <v>50</v>
      </c>
      <c r="AG4531" t="s">
        <v>8782</v>
      </c>
    </row>
    <row r="4532" spans="1:33" x14ac:dyDescent="0.35">
      <c r="A4532" s="1">
        <v>44601.236805555556</v>
      </c>
      <c r="B4532">
        <v>3338641</v>
      </c>
      <c r="C4532" t="s">
        <v>302</v>
      </c>
      <c r="D4532" t="s">
        <v>303</v>
      </c>
      <c r="E4532" s="2">
        <v>39143</v>
      </c>
      <c r="F4532" t="str">
        <f>"9780262282888"</f>
        <v>9780262282888</v>
      </c>
      <c r="G4532" t="str">
        <f>"9780262195577"</f>
        <v>9780262195577</v>
      </c>
      <c r="H4532" t="s">
        <v>304</v>
      </c>
      <c r="I4532" t="s">
        <v>305</v>
      </c>
      <c r="K4532" t="s">
        <v>44</v>
      </c>
      <c r="N4532" t="s">
        <v>45</v>
      </c>
      <c r="O4532" t="s">
        <v>46</v>
      </c>
      <c r="P4532" t="s">
        <v>45</v>
      </c>
      <c r="Q4532" t="s">
        <v>47</v>
      </c>
      <c r="R4532" t="s">
        <v>44</v>
      </c>
      <c r="S4532">
        <v>0</v>
      </c>
      <c r="W4532" s="3">
        <v>5.4560185185185184E-2</v>
      </c>
      <c r="X4532" t="s">
        <v>9227</v>
      </c>
      <c r="Y4532">
        <v>18</v>
      </c>
      <c r="Z4532">
        <v>0</v>
      </c>
      <c r="AA4532" t="s">
        <v>49</v>
      </c>
      <c r="AB4532">
        <v>0</v>
      </c>
      <c r="AC4532" t="s">
        <v>49</v>
      </c>
      <c r="AD4532">
        <v>0</v>
      </c>
      <c r="AE4532">
        <v>10173702</v>
      </c>
      <c r="AF4532" t="s">
        <v>50</v>
      </c>
      <c r="AG4532" t="s">
        <v>8710</v>
      </c>
    </row>
    <row r="4533" spans="1:33" x14ac:dyDescent="0.35">
      <c r="A4533" s="1">
        <v>44601.003472222219</v>
      </c>
      <c r="B4533">
        <v>3338641</v>
      </c>
      <c r="C4533" t="s">
        <v>302</v>
      </c>
      <c r="D4533" t="s">
        <v>303</v>
      </c>
      <c r="E4533" s="2">
        <v>39143</v>
      </c>
      <c r="F4533" t="str">
        <f>"9780262282888"</f>
        <v>9780262282888</v>
      </c>
      <c r="G4533" t="str">
        <f>"9780262195577"</f>
        <v>9780262195577</v>
      </c>
      <c r="H4533" t="s">
        <v>304</v>
      </c>
      <c r="I4533" t="s">
        <v>305</v>
      </c>
      <c r="K4533" t="s">
        <v>44</v>
      </c>
      <c r="N4533" t="s">
        <v>45</v>
      </c>
      <c r="O4533" t="s">
        <v>46</v>
      </c>
      <c r="P4533" t="s">
        <v>45</v>
      </c>
      <c r="Q4533" t="s">
        <v>47</v>
      </c>
      <c r="R4533" t="s">
        <v>44</v>
      </c>
      <c r="S4533">
        <v>0</v>
      </c>
      <c r="W4533" s="3">
        <v>2.5925925925925925E-3</v>
      </c>
      <c r="X4533" t="s">
        <v>9228</v>
      </c>
      <c r="Y4533">
        <v>8</v>
      </c>
      <c r="Z4533">
        <v>0</v>
      </c>
      <c r="AA4533" t="s">
        <v>49</v>
      </c>
      <c r="AB4533">
        <v>0</v>
      </c>
      <c r="AC4533" t="s">
        <v>49</v>
      </c>
      <c r="AD4533">
        <v>0</v>
      </c>
      <c r="AE4533">
        <v>10173702</v>
      </c>
      <c r="AF4533" t="s">
        <v>50</v>
      </c>
      <c r="AG4533" t="s">
        <v>8710</v>
      </c>
    </row>
    <row r="4534" spans="1:33" x14ac:dyDescent="0.35">
      <c r="A4534" s="1">
        <v>44600.931250000001</v>
      </c>
      <c r="B4534">
        <v>1221163</v>
      </c>
      <c r="C4534" t="s">
        <v>9229</v>
      </c>
      <c r="D4534" t="s">
        <v>59</v>
      </c>
      <c r="E4534" s="2">
        <v>41473</v>
      </c>
      <c r="F4534" t="str">
        <f>"9781118615393"</f>
        <v>9781118615393</v>
      </c>
      <c r="G4534" t="str">
        <f>"9781118183656"</f>
        <v>9781118183656</v>
      </c>
      <c r="H4534" t="s">
        <v>542</v>
      </c>
      <c r="I4534">
        <v>621.31242399999996</v>
      </c>
      <c r="J4534" t="s">
        <v>9230</v>
      </c>
      <c r="K4534" t="s">
        <v>44</v>
      </c>
      <c r="N4534" t="s">
        <v>45</v>
      </c>
      <c r="O4534" t="s">
        <v>46</v>
      </c>
      <c r="P4534" t="s">
        <v>45</v>
      </c>
      <c r="Q4534" t="s">
        <v>47</v>
      </c>
      <c r="R4534" t="s">
        <v>44</v>
      </c>
      <c r="S4534">
        <v>0</v>
      </c>
      <c r="W4534" s="3">
        <v>3.7604166666666668E-2</v>
      </c>
      <c r="X4534" t="s">
        <v>9231</v>
      </c>
      <c r="Y4534">
        <v>58</v>
      </c>
      <c r="Z4534">
        <v>0</v>
      </c>
      <c r="AA4534" t="s">
        <v>49</v>
      </c>
      <c r="AB4534">
        <v>0</v>
      </c>
      <c r="AC4534" t="s">
        <v>49</v>
      </c>
      <c r="AD4534">
        <v>0</v>
      </c>
      <c r="AE4534">
        <v>10726748</v>
      </c>
      <c r="AF4534" t="s">
        <v>50</v>
      </c>
      <c r="AG4534" t="s">
        <v>8799</v>
      </c>
    </row>
    <row r="4535" spans="1:33" x14ac:dyDescent="0.35">
      <c r="A4535" s="1">
        <v>44600.915277777778</v>
      </c>
      <c r="B4535">
        <v>284778</v>
      </c>
      <c r="C4535" t="s">
        <v>7807</v>
      </c>
      <c r="D4535" t="s">
        <v>7808</v>
      </c>
      <c r="E4535" s="2">
        <v>38353</v>
      </c>
      <c r="F4535" t="str">
        <f>"9781280268670"</f>
        <v>9781280268670</v>
      </c>
      <c r="G4535" t="str">
        <f>"9789289013772"</f>
        <v>9789289013772</v>
      </c>
      <c r="H4535" t="s">
        <v>525</v>
      </c>
      <c r="I4535">
        <v>362.20940000000002</v>
      </c>
      <c r="J4535" t="s">
        <v>7809</v>
      </c>
      <c r="K4535" t="s">
        <v>44</v>
      </c>
      <c r="N4535" t="s">
        <v>45</v>
      </c>
      <c r="O4535" t="s">
        <v>46</v>
      </c>
      <c r="P4535" t="s">
        <v>45</v>
      </c>
      <c r="Q4535" t="s">
        <v>47</v>
      </c>
      <c r="R4535" t="s">
        <v>44</v>
      </c>
      <c r="S4535">
        <v>0</v>
      </c>
      <c r="W4535" s="3">
        <v>8.9120370370370362E-4</v>
      </c>
      <c r="X4535" t="s">
        <v>9232</v>
      </c>
      <c r="Y4535">
        <v>14</v>
      </c>
      <c r="Z4535">
        <v>0</v>
      </c>
      <c r="AA4535" t="s">
        <v>49</v>
      </c>
      <c r="AB4535">
        <v>0</v>
      </c>
      <c r="AC4535" t="s">
        <v>49</v>
      </c>
      <c r="AD4535">
        <v>0</v>
      </c>
      <c r="AE4535">
        <v>10104339</v>
      </c>
      <c r="AF4535" t="s">
        <v>50</v>
      </c>
      <c r="AG4535" t="s">
        <v>835</v>
      </c>
    </row>
    <row r="4536" spans="1:33" x14ac:dyDescent="0.35">
      <c r="A4536" s="1">
        <v>44600.893750000003</v>
      </c>
      <c r="B4536">
        <v>1185373</v>
      </c>
      <c r="C4536" t="s">
        <v>8598</v>
      </c>
      <c r="D4536" t="s">
        <v>465</v>
      </c>
      <c r="E4536" s="2">
        <v>40414</v>
      </c>
      <c r="F4536" t="str">
        <f>"9781849732031"</f>
        <v>9781849732031</v>
      </c>
      <c r="G4536" t="str">
        <f>"9781847558701"</f>
        <v>9781847558701</v>
      </c>
      <c r="H4536" t="s">
        <v>214</v>
      </c>
      <c r="I4536">
        <v>541.39499999999998</v>
      </c>
      <c r="J4536">
        <v>2012360130</v>
      </c>
      <c r="K4536" t="s">
        <v>44</v>
      </c>
      <c r="N4536" t="s">
        <v>45</v>
      </c>
      <c r="O4536" t="s">
        <v>46</v>
      </c>
      <c r="P4536" t="s">
        <v>45</v>
      </c>
      <c r="Q4536" t="s">
        <v>47</v>
      </c>
      <c r="R4536" t="s">
        <v>44</v>
      </c>
      <c r="S4536">
        <v>0</v>
      </c>
      <c r="W4536" s="3">
        <v>2.4652777777777776E-3</v>
      </c>
      <c r="X4536" t="s">
        <v>9233</v>
      </c>
      <c r="Y4536">
        <v>13</v>
      </c>
      <c r="Z4536">
        <v>3</v>
      </c>
      <c r="AA4536" t="s">
        <v>9234</v>
      </c>
      <c r="AB4536">
        <v>71</v>
      </c>
      <c r="AC4536" t="s">
        <v>49</v>
      </c>
      <c r="AD4536">
        <v>0</v>
      </c>
      <c r="AE4536">
        <v>10627728</v>
      </c>
      <c r="AF4536" t="s">
        <v>63</v>
      </c>
      <c r="AG4536" t="s">
        <v>8799</v>
      </c>
    </row>
    <row r="4537" spans="1:33" x14ac:dyDescent="0.35">
      <c r="A4537" s="1">
        <v>44600.885416666664</v>
      </c>
      <c r="B4537">
        <v>419859</v>
      </c>
      <c r="C4537" t="s">
        <v>9235</v>
      </c>
      <c r="D4537" t="s">
        <v>3265</v>
      </c>
      <c r="E4537" s="2">
        <v>39539</v>
      </c>
      <c r="F4537" t="str">
        <f>"9789048501892"</f>
        <v>9789048501892</v>
      </c>
      <c r="G4537" t="str">
        <f>"9789053569955"</f>
        <v>9789053569955</v>
      </c>
      <c r="H4537" t="s">
        <v>3977</v>
      </c>
      <c r="I4537" t="s">
        <v>9236</v>
      </c>
      <c r="J4537" t="s">
        <v>9237</v>
      </c>
      <c r="K4537" t="s">
        <v>44</v>
      </c>
      <c r="N4537" t="s">
        <v>45</v>
      </c>
      <c r="O4537" t="s">
        <v>46</v>
      </c>
      <c r="P4537" t="s">
        <v>177</v>
      </c>
      <c r="Q4537" t="s">
        <v>47</v>
      </c>
      <c r="R4537" t="s">
        <v>55</v>
      </c>
      <c r="S4537">
        <v>0</v>
      </c>
      <c r="W4537" s="3">
        <v>0</v>
      </c>
      <c r="X4537" t="s">
        <v>49</v>
      </c>
      <c r="Y4537">
        <v>0</v>
      </c>
      <c r="Z4537">
        <v>2</v>
      </c>
      <c r="AA4537" t="s">
        <v>9238</v>
      </c>
      <c r="AB4537">
        <v>2</v>
      </c>
      <c r="AC4537" t="s">
        <v>49</v>
      </c>
      <c r="AD4537">
        <v>0</v>
      </c>
      <c r="AE4537">
        <v>10302409</v>
      </c>
      <c r="AF4537" t="s">
        <v>50</v>
      </c>
      <c r="AG4537" t="s">
        <v>5467</v>
      </c>
    </row>
    <row r="4538" spans="1:33" x14ac:dyDescent="0.35">
      <c r="A4538" s="1">
        <v>44600.852777777778</v>
      </c>
      <c r="B4538">
        <v>431113</v>
      </c>
      <c r="C4538" t="s">
        <v>9239</v>
      </c>
      <c r="D4538" t="s">
        <v>125</v>
      </c>
      <c r="E4538" s="2">
        <v>39967</v>
      </c>
      <c r="F4538" t="str">
        <f>"9780199708536"</f>
        <v>9780199708536</v>
      </c>
      <c r="G4538" t="str">
        <f>"9780195369946"</f>
        <v>9780195369946</v>
      </c>
      <c r="H4538" t="s">
        <v>9240</v>
      </c>
      <c r="I4538" t="s">
        <v>9241</v>
      </c>
      <c r="J4538" t="s">
        <v>9242</v>
      </c>
      <c r="K4538" t="s">
        <v>44</v>
      </c>
      <c r="N4538" t="s">
        <v>45</v>
      </c>
      <c r="O4538" t="s">
        <v>46</v>
      </c>
      <c r="P4538" t="s">
        <v>45</v>
      </c>
      <c r="Q4538" t="s">
        <v>47</v>
      </c>
      <c r="R4538" t="s">
        <v>44</v>
      </c>
      <c r="S4538">
        <v>0</v>
      </c>
      <c r="W4538" s="3">
        <v>0</v>
      </c>
      <c r="X4538" t="s">
        <v>49</v>
      </c>
      <c r="Y4538">
        <v>0</v>
      </c>
      <c r="Z4538">
        <v>1</v>
      </c>
      <c r="AA4538" t="s">
        <v>9243</v>
      </c>
      <c r="AB4538">
        <v>6</v>
      </c>
      <c r="AC4538" t="s">
        <v>49</v>
      </c>
      <c r="AD4538">
        <v>0</v>
      </c>
      <c r="AE4538">
        <v>10300144</v>
      </c>
      <c r="AF4538" t="s">
        <v>50</v>
      </c>
      <c r="AG4538" t="s">
        <v>1691</v>
      </c>
    </row>
    <row r="4539" spans="1:33" x14ac:dyDescent="0.35">
      <c r="A4539" s="1">
        <v>44600.826388888891</v>
      </c>
      <c r="B4539">
        <v>1133242</v>
      </c>
      <c r="C4539" t="s">
        <v>9244</v>
      </c>
      <c r="D4539" t="s">
        <v>2022</v>
      </c>
      <c r="E4539" s="2">
        <v>40064</v>
      </c>
      <c r="F4539" t="str">
        <f>"9781443815673"</f>
        <v>9781443815673</v>
      </c>
      <c r="G4539" t="str">
        <f>"9781443813501"</f>
        <v>9781443813501</v>
      </c>
      <c r="H4539" t="s">
        <v>1046</v>
      </c>
      <c r="I4539">
        <v>305.4869709669</v>
      </c>
      <c r="J4539" t="s">
        <v>9245</v>
      </c>
      <c r="K4539" t="s">
        <v>44</v>
      </c>
      <c r="N4539" t="s">
        <v>45</v>
      </c>
      <c r="O4539" t="s">
        <v>46</v>
      </c>
      <c r="P4539" t="s">
        <v>45</v>
      </c>
      <c r="Q4539" t="s">
        <v>47</v>
      </c>
      <c r="R4539" t="s">
        <v>44</v>
      </c>
      <c r="S4539">
        <v>0</v>
      </c>
      <c r="W4539" s="3">
        <v>2.6041666666666665E-3</v>
      </c>
      <c r="X4539" t="s">
        <v>9246</v>
      </c>
      <c r="Y4539">
        <v>21</v>
      </c>
      <c r="Z4539">
        <v>0</v>
      </c>
      <c r="AA4539" t="s">
        <v>49</v>
      </c>
      <c r="AB4539">
        <v>0</v>
      </c>
      <c r="AC4539" t="s">
        <v>49</v>
      </c>
      <c r="AD4539">
        <v>0</v>
      </c>
      <c r="AE4539">
        <v>10677081</v>
      </c>
      <c r="AF4539" t="s">
        <v>50</v>
      </c>
      <c r="AG4539" t="s">
        <v>8799</v>
      </c>
    </row>
    <row r="4540" spans="1:33" x14ac:dyDescent="0.35">
      <c r="A4540" s="1">
        <v>44600.806944444441</v>
      </c>
      <c r="B4540">
        <v>466668</v>
      </c>
      <c r="C4540" t="s">
        <v>9247</v>
      </c>
      <c r="D4540" t="s">
        <v>6671</v>
      </c>
      <c r="E4540" s="2">
        <v>39919</v>
      </c>
      <c r="F4540" t="str">
        <f>"9780739135235"</f>
        <v>9780739135235</v>
      </c>
      <c r="G4540" t="str">
        <f>"9780739135211"</f>
        <v>9780739135211</v>
      </c>
      <c r="H4540" t="s">
        <v>162</v>
      </c>
      <c r="I4540" t="s">
        <v>9248</v>
      </c>
      <c r="J4540" t="s">
        <v>9249</v>
      </c>
      <c r="K4540" t="s">
        <v>44</v>
      </c>
      <c r="N4540" t="s">
        <v>45</v>
      </c>
      <c r="O4540" t="s">
        <v>46</v>
      </c>
      <c r="P4540" t="s">
        <v>45</v>
      </c>
      <c r="Q4540" t="s">
        <v>47</v>
      </c>
      <c r="R4540" t="s">
        <v>44</v>
      </c>
      <c r="S4540">
        <v>2</v>
      </c>
      <c r="W4540" s="3">
        <v>0</v>
      </c>
      <c r="X4540" t="s">
        <v>49</v>
      </c>
      <c r="Y4540">
        <v>0</v>
      </c>
      <c r="Z4540">
        <v>0</v>
      </c>
      <c r="AA4540" t="s">
        <v>49</v>
      </c>
      <c r="AB4540">
        <v>0</v>
      </c>
      <c r="AC4540" t="s">
        <v>49</v>
      </c>
      <c r="AD4540">
        <v>0</v>
      </c>
      <c r="AE4540">
        <v>10353666</v>
      </c>
      <c r="AF4540" t="s">
        <v>63</v>
      </c>
      <c r="AG4540" t="s">
        <v>8173</v>
      </c>
    </row>
    <row r="4541" spans="1:33" x14ac:dyDescent="0.35">
      <c r="A4541" s="1">
        <v>44600.797222222223</v>
      </c>
      <c r="B4541">
        <v>1137746</v>
      </c>
      <c r="C4541" t="s">
        <v>9250</v>
      </c>
      <c r="D4541" t="s">
        <v>9251</v>
      </c>
      <c r="E4541" s="2">
        <v>40406</v>
      </c>
      <c r="F4541" t="str">
        <f>"9781935295921"</f>
        <v>9781935295921</v>
      </c>
      <c r="G4541" t="str">
        <f>"9781935295075"</f>
        <v>9781935295075</v>
      </c>
      <c r="H4541" t="s">
        <v>162</v>
      </c>
      <c r="I4541">
        <v>297.27</v>
      </c>
      <c r="J4541" t="s">
        <v>9252</v>
      </c>
      <c r="K4541" t="s">
        <v>44</v>
      </c>
      <c r="N4541" t="s">
        <v>45</v>
      </c>
      <c r="O4541" t="s">
        <v>46</v>
      </c>
      <c r="P4541" t="s">
        <v>45</v>
      </c>
      <c r="Q4541" t="s">
        <v>47</v>
      </c>
      <c r="R4541" t="s">
        <v>44</v>
      </c>
      <c r="S4541">
        <v>2</v>
      </c>
      <c r="W4541" s="3">
        <v>1.5509259259259261E-3</v>
      </c>
      <c r="X4541" t="s">
        <v>9253</v>
      </c>
      <c r="Y4541">
        <v>10</v>
      </c>
      <c r="Z4541">
        <v>0</v>
      </c>
      <c r="AA4541" t="s">
        <v>49</v>
      </c>
      <c r="AB4541">
        <v>0</v>
      </c>
      <c r="AC4541" t="s">
        <v>49</v>
      </c>
      <c r="AD4541">
        <v>0</v>
      </c>
      <c r="AE4541">
        <v>11144685</v>
      </c>
      <c r="AF4541" t="s">
        <v>63</v>
      </c>
      <c r="AG4541" t="s">
        <v>8173</v>
      </c>
    </row>
    <row r="4542" spans="1:33" x14ac:dyDescent="0.35">
      <c r="A4542" s="1">
        <v>44600.792361111111</v>
      </c>
      <c r="B4542">
        <v>3386211</v>
      </c>
      <c r="C4542" t="s">
        <v>9254</v>
      </c>
      <c r="D4542" t="s">
        <v>2066</v>
      </c>
      <c r="E4542" s="2">
        <v>37822</v>
      </c>
      <c r="F4542" t="str">
        <f>"9781849641944"</f>
        <v>9781849641944</v>
      </c>
      <c r="G4542" t="str">
        <f>"9780745320991"</f>
        <v>9780745320991</v>
      </c>
      <c r="H4542" t="s">
        <v>162</v>
      </c>
      <c r="I4542" t="s">
        <v>9255</v>
      </c>
      <c r="J4542" t="s">
        <v>9256</v>
      </c>
      <c r="K4542" t="s">
        <v>44</v>
      </c>
      <c r="N4542" t="s">
        <v>45</v>
      </c>
      <c r="O4542" t="s">
        <v>46</v>
      </c>
      <c r="P4542" t="s">
        <v>45</v>
      </c>
      <c r="Q4542" t="s">
        <v>47</v>
      </c>
      <c r="R4542" t="s">
        <v>44</v>
      </c>
      <c r="S4542">
        <v>0</v>
      </c>
      <c r="W4542" s="3">
        <v>9.2592592592592588E-5</v>
      </c>
      <c r="X4542" t="s">
        <v>121</v>
      </c>
      <c r="Y4542">
        <v>1</v>
      </c>
      <c r="Z4542">
        <v>0</v>
      </c>
      <c r="AA4542" t="s">
        <v>49</v>
      </c>
      <c r="AB4542">
        <v>0</v>
      </c>
      <c r="AC4542" t="s">
        <v>49</v>
      </c>
      <c r="AD4542">
        <v>0</v>
      </c>
      <c r="AE4542">
        <v>10479695</v>
      </c>
      <c r="AF4542" t="s">
        <v>50</v>
      </c>
      <c r="AG4542" t="s">
        <v>8173</v>
      </c>
    </row>
    <row r="4543" spans="1:33" x14ac:dyDescent="0.35">
      <c r="A4543" s="1">
        <v>44600.649305555555</v>
      </c>
      <c r="B4543">
        <v>3338641</v>
      </c>
      <c r="C4543" t="s">
        <v>302</v>
      </c>
      <c r="D4543" t="s">
        <v>303</v>
      </c>
      <c r="E4543" s="2">
        <v>39143</v>
      </c>
      <c r="F4543" t="str">
        <f>"9780262282888"</f>
        <v>9780262282888</v>
      </c>
      <c r="G4543" t="str">
        <f>"9780262195577"</f>
        <v>9780262195577</v>
      </c>
      <c r="H4543" t="s">
        <v>304</v>
      </c>
      <c r="I4543" t="s">
        <v>305</v>
      </c>
      <c r="K4543" t="s">
        <v>44</v>
      </c>
      <c r="N4543" t="s">
        <v>45</v>
      </c>
      <c r="O4543" t="s">
        <v>46</v>
      </c>
      <c r="P4543" t="s">
        <v>45</v>
      </c>
      <c r="Q4543" t="s">
        <v>47</v>
      </c>
      <c r="R4543" t="s">
        <v>44</v>
      </c>
      <c r="S4543">
        <v>0</v>
      </c>
      <c r="W4543" s="3">
        <v>9.5324074074074075E-2</v>
      </c>
      <c r="X4543" t="s">
        <v>9257</v>
      </c>
      <c r="Y4543">
        <v>60</v>
      </c>
      <c r="Z4543">
        <v>0</v>
      </c>
      <c r="AA4543" t="s">
        <v>49</v>
      </c>
      <c r="AB4543">
        <v>0</v>
      </c>
      <c r="AC4543" t="s">
        <v>49</v>
      </c>
      <c r="AD4543">
        <v>0</v>
      </c>
      <c r="AE4543">
        <v>10173702</v>
      </c>
      <c r="AF4543" t="s">
        <v>50</v>
      </c>
      <c r="AG4543" t="s">
        <v>9258</v>
      </c>
    </row>
    <row r="4544" spans="1:33" x14ac:dyDescent="0.35">
      <c r="A4544" s="1">
        <v>44600.605555555558</v>
      </c>
      <c r="B4544">
        <v>817501</v>
      </c>
      <c r="C4544" t="s">
        <v>9259</v>
      </c>
      <c r="D4544" t="s">
        <v>59</v>
      </c>
      <c r="E4544" s="2">
        <v>40981</v>
      </c>
      <c r="F4544" t="str">
        <f>"9781118182017"</f>
        <v>9781118182017</v>
      </c>
      <c r="G4544" t="str">
        <f>"9780470903810"</f>
        <v>9780470903810</v>
      </c>
      <c r="H4544" t="s">
        <v>3432</v>
      </c>
      <c r="I4544">
        <v>711.4</v>
      </c>
      <c r="J4544" t="s">
        <v>9260</v>
      </c>
      <c r="K4544" t="s">
        <v>44</v>
      </c>
      <c r="N4544" t="s">
        <v>45</v>
      </c>
      <c r="O4544" t="s">
        <v>46</v>
      </c>
      <c r="P4544" t="s">
        <v>45</v>
      </c>
      <c r="Q4544" t="s">
        <v>47</v>
      </c>
      <c r="R4544" t="s">
        <v>44</v>
      </c>
      <c r="S4544">
        <v>0</v>
      </c>
      <c r="W4544" s="3">
        <v>5.7754629629629623E-3</v>
      </c>
      <c r="X4544" t="s">
        <v>9261</v>
      </c>
      <c r="Y4544">
        <v>27</v>
      </c>
      <c r="Z4544">
        <v>0</v>
      </c>
      <c r="AA4544" t="s">
        <v>49</v>
      </c>
      <c r="AB4544">
        <v>0</v>
      </c>
      <c r="AC4544" t="s">
        <v>49</v>
      </c>
      <c r="AD4544">
        <v>0</v>
      </c>
      <c r="AE4544">
        <v>10558105</v>
      </c>
      <c r="AF4544" t="s">
        <v>50</v>
      </c>
      <c r="AG4544" t="s">
        <v>9079</v>
      </c>
    </row>
    <row r="4545" spans="1:33" x14ac:dyDescent="0.35">
      <c r="A4545" s="1">
        <v>44600.470833333333</v>
      </c>
      <c r="B4545">
        <v>4691415</v>
      </c>
      <c r="C4545" t="s">
        <v>9262</v>
      </c>
      <c r="D4545" t="s">
        <v>115</v>
      </c>
      <c r="E4545" s="2">
        <v>42625</v>
      </c>
      <c r="F4545" t="str">
        <f>"9783110438222"</f>
        <v>9783110438222</v>
      </c>
      <c r="G4545" t="str">
        <f>"9783110438215"</f>
        <v>9783110438215</v>
      </c>
      <c r="H4545" t="s">
        <v>43</v>
      </c>
      <c r="I4545" t="s">
        <v>9263</v>
      </c>
      <c r="J4545" t="s">
        <v>9264</v>
      </c>
      <c r="K4545" t="s">
        <v>44</v>
      </c>
      <c r="N4545" t="s">
        <v>45</v>
      </c>
      <c r="O4545" t="s">
        <v>46</v>
      </c>
      <c r="P4545" t="s">
        <v>45</v>
      </c>
      <c r="Q4545" t="s">
        <v>47</v>
      </c>
      <c r="R4545" t="s">
        <v>44</v>
      </c>
      <c r="S4545">
        <v>0</v>
      </c>
      <c r="W4545" s="3">
        <v>1.25E-3</v>
      </c>
      <c r="X4545" t="s">
        <v>9265</v>
      </c>
      <c r="Y4545">
        <v>7</v>
      </c>
      <c r="Z4545">
        <v>0</v>
      </c>
      <c r="AA4545" t="s">
        <v>49</v>
      </c>
      <c r="AB4545">
        <v>0</v>
      </c>
      <c r="AC4545" t="s">
        <v>49</v>
      </c>
      <c r="AD4545">
        <v>0</v>
      </c>
      <c r="AE4545">
        <v>11268045</v>
      </c>
      <c r="AF4545" t="s">
        <v>50</v>
      </c>
      <c r="AG4545" t="s">
        <v>840</v>
      </c>
    </row>
    <row r="4546" spans="1:33" x14ac:dyDescent="0.35">
      <c r="A4546" s="1">
        <v>44600.465277777781</v>
      </c>
      <c r="B4546">
        <v>4532430</v>
      </c>
      <c r="C4546" t="s">
        <v>9266</v>
      </c>
      <c r="D4546" t="s">
        <v>105</v>
      </c>
      <c r="E4546" s="2">
        <v>42527</v>
      </c>
      <c r="F4546" t="str">
        <f>"9783319291857"</f>
        <v>9783319291857</v>
      </c>
      <c r="G4546" t="str">
        <f>"9783319291833"</f>
        <v>9783319291833</v>
      </c>
      <c r="H4546" t="s">
        <v>9267</v>
      </c>
      <c r="I4546">
        <v>617.95083</v>
      </c>
      <c r="J4546" t="s">
        <v>9268</v>
      </c>
      <c r="K4546" t="s">
        <v>55</v>
      </c>
      <c r="N4546" t="s">
        <v>79</v>
      </c>
      <c r="P4546" t="s">
        <v>80</v>
      </c>
      <c r="Q4546" t="s">
        <v>47</v>
      </c>
      <c r="R4546" t="s">
        <v>44</v>
      </c>
      <c r="S4546">
        <v>0</v>
      </c>
      <c r="W4546" s="3">
        <v>1.1574074074074073E-5</v>
      </c>
      <c r="X4546" t="s">
        <v>49</v>
      </c>
      <c r="Y4546">
        <v>0</v>
      </c>
      <c r="Z4546">
        <v>1</v>
      </c>
      <c r="AA4546" t="s">
        <v>9269</v>
      </c>
      <c r="AB4546">
        <v>19</v>
      </c>
      <c r="AC4546" t="s">
        <v>49</v>
      </c>
      <c r="AD4546">
        <v>0</v>
      </c>
      <c r="AE4546">
        <v>11214294</v>
      </c>
      <c r="AF4546" t="s">
        <v>50</v>
      </c>
      <c r="AG4546" t="s">
        <v>9079</v>
      </c>
    </row>
    <row r="4547" spans="1:33" x14ac:dyDescent="0.35">
      <c r="A4547" s="1">
        <v>44600.459027777775</v>
      </c>
      <c r="B4547">
        <v>800831</v>
      </c>
      <c r="C4547" t="s">
        <v>9270</v>
      </c>
      <c r="D4547" t="s">
        <v>125</v>
      </c>
      <c r="E4547" s="2">
        <v>40624</v>
      </c>
      <c r="F4547" t="str">
        <f>"9780199813544"</f>
        <v>9780199813544</v>
      </c>
      <c r="G4547" t="str">
        <f>"9780199730728"</f>
        <v>9780199730728</v>
      </c>
      <c r="H4547" t="s">
        <v>1626</v>
      </c>
      <c r="I4547">
        <v>551.48</v>
      </c>
      <c r="J4547" t="s">
        <v>9271</v>
      </c>
      <c r="K4547" t="s">
        <v>44</v>
      </c>
      <c r="N4547" t="s">
        <v>45</v>
      </c>
      <c r="O4547" t="s">
        <v>46</v>
      </c>
      <c r="P4547" t="s">
        <v>45</v>
      </c>
      <c r="Q4547" t="s">
        <v>47</v>
      </c>
      <c r="R4547" t="s">
        <v>44</v>
      </c>
      <c r="S4547">
        <v>0</v>
      </c>
      <c r="W4547" s="3">
        <v>5.7870370370370366E-5</v>
      </c>
      <c r="X4547" t="s">
        <v>121</v>
      </c>
      <c r="Y4547">
        <v>1</v>
      </c>
      <c r="Z4547">
        <v>0</v>
      </c>
      <c r="AA4547" t="s">
        <v>49</v>
      </c>
      <c r="AB4547">
        <v>0</v>
      </c>
      <c r="AC4547" t="s">
        <v>49</v>
      </c>
      <c r="AD4547">
        <v>0</v>
      </c>
      <c r="AE4547">
        <v>10509689</v>
      </c>
      <c r="AF4547" t="s">
        <v>50</v>
      </c>
      <c r="AG4547" t="s">
        <v>8576</v>
      </c>
    </row>
    <row r="4548" spans="1:33" x14ac:dyDescent="0.35">
      <c r="A4548" s="1">
        <v>44600.457638888889</v>
      </c>
      <c r="B4548">
        <v>3019060</v>
      </c>
      <c r="C4548" t="s">
        <v>9272</v>
      </c>
      <c r="D4548" t="s">
        <v>137</v>
      </c>
      <c r="E4548" s="2">
        <v>39722</v>
      </c>
      <c r="F4548" t="str">
        <f>"9781612098012"</f>
        <v>9781612098012</v>
      </c>
      <c r="G4548" t="str">
        <f>"9781606920879"</f>
        <v>9781606920879</v>
      </c>
      <c r="H4548" t="s">
        <v>9273</v>
      </c>
      <c r="I4548">
        <v>333.79</v>
      </c>
      <c r="J4548" t="s">
        <v>9274</v>
      </c>
      <c r="K4548" t="s">
        <v>44</v>
      </c>
      <c r="N4548" t="s">
        <v>45</v>
      </c>
      <c r="O4548" t="s">
        <v>46</v>
      </c>
      <c r="P4548" t="s">
        <v>177</v>
      </c>
      <c r="Q4548" t="s">
        <v>47</v>
      </c>
      <c r="R4548" t="s">
        <v>55</v>
      </c>
      <c r="S4548">
        <v>0</v>
      </c>
      <c r="W4548" s="3">
        <v>4.8611111111111104E-4</v>
      </c>
      <c r="X4548" t="s">
        <v>4359</v>
      </c>
      <c r="Y4548">
        <v>9</v>
      </c>
      <c r="Z4548">
        <v>0</v>
      </c>
      <c r="AA4548" t="s">
        <v>49</v>
      </c>
      <c r="AB4548">
        <v>0</v>
      </c>
      <c r="AC4548" t="s">
        <v>49</v>
      </c>
      <c r="AD4548">
        <v>0</v>
      </c>
      <c r="AE4548">
        <v>10662867</v>
      </c>
      <c r="AF4548" t="s">
        <v>50</v>
      </c>
      <c r="AG4548" t="s">
        <v>9275</v>
      </c>
    </row>
    <row r="4549" spans="1:33" x14ac:dyDescent="0.35">
      <c r="A4549" s="1">
        <v>44600.405555555553</v>
      </c>
      <c r="B4549">
        <v>5796941</v>
      </c>
      <c r="C4549" t="s">
        <v>7395</v>
      </c>
      <c r="D4549" t="s">
        <v>844</v>
      </c>
      <c r="E4549" s="2">
        <v>43656</v>
      </c>
      <c r="F4549" t="str">
        <f>"9781787566811"</f>
        <v>9781787566811</v>
      </c>
      <c r="G4549" t="str">
        <f>"9781787566804"</f>
        <v>9781787566804</v>
      </c>
      <c r="H4549" t="s">
        <v>900</v>
      </c>
      <c r="I4549">
        <v>337.51056</v>
      </c>
      <c r="J4549" t="s">
        <v>1794</v>
      </c>
      <c r="K4549" t="s">
        <v>44</v>
      </c>
      <c r="N4549" t="s">
        <v>45</v>
      </c>
      <c r="O4549" t="s">
        <v>46</v>
      </c>
      <c r="P4549" t="s">
        <v>45</v>
      </c>
      <c r="Q4549" t="s">
        <v>47</v>
      </c>
      <c r="R4549" t="s">
        <v>44</v>
      </c>
      <c r="S4549">
        <v>0</v>
      </c>
      <c r="W4549" s="3">
        <v>0</v>
      </c>
      <c r="X4549" t="s">
        <v>49</v>
      </c>
      <c r="Y4549">
        <v>0</v>
      </c>
      <c r="Z4549">
        <v>0</v>
      </c>
      <c r="AA4549" t="s">
        <v>49</v>
      </c>
      <c r="AB4549">
        <v>0</v>
      </c>
      <c r="AC4549" t="s">
        <v>49</v>
      </c>
      <c r="AD4549">
        <v>0</v>
      </c>
      <c r="AE4549">
        <v>-1</v>
      </c>
      <c r="AF4549" t="s">
        <v>50</v>
      </c>
      <c r="AG4549" t="s">
        <v>9079</v>
      </c>
    </row>
    <row r="4550" spans="1:33" x14ac:dyDescent="0.35">
      <c r="A4550" s="1">
        <v>44600.402777777781</v>
      </c>
      <c r="B4550">
        <v>313592</v>
      </c>
      <c r="C4550" t="s">
        <v>8605</v>
      </c>
      <c r="D4550" t="s">
        <v>65</v>
      </c>
      <c r="E4550" s="2">
        <v>39336</v>
      </c>
      <c r="F4550" t="str">
        <f>"9780080551913"</f>
        <v>9780080551913</v>
      </c>
      <c r="G4550" t="str">
        <f>"9780444528377"</f>
        <v>9780444528377</v>
      </c>
      <c r="H4550" t="s">
        <v>214</v>
      </c>
      <c r="I4550">
        <v>541.2242</v>
      </c>
      <c r="J4550" t="s">
        <v>8606</v>
      </c>
      <c r="K4550" t="s">
        <v>44</v>
      </c>
      <c r="N4550" t="s">
        <v>45</v>
      </c>
      <c r="O4550" t="s">
        <v>46</v>
      </c>
      <c r="P4550" t="s">
        <v>45</v>
      </c>
      <c r="Q4550" t="s">
        <v>47</v>
      </c>
      <c r="R4550" t="s">
        <v>44</v>
      </c>
      <c r="S4550">
        <v>0</v>
      </c>
      <c r="W4550" s="3">
        <v>4.9768518518518521E-4</v>
      </c>
      <c r="X4550" t="s">
        <v>56</v>
      </c>
      <c r="Y4550">
        <v>3</v>
      </c>
      <c r="Z4550">
        <v>0</v>
      </c>
      <c r="AA4550" t="s">
        <v>49</v>
      </c>
      <c r="AB4550">
        <v>0</v>
      </c>
      <c r="AC4550" t="s">
        <v>49</v>
      </c>
      <c r="AD4550">
        <v>0</v>
      </c>
      <c r="AE4550">
        <v>10190879</v>
      </c>
      <c r="AF4550" t="s">
        <v>50</v>
      </c>
      <c r="AG4550" t="s">
        <v>8332</v>
      </c>
    </row>
    <row r="4551" spans="1:33" x14ac:dyDescent="0.35">
      <c r="A4551" s="1">
        <v>44600.402777777781</v>
      </c>
      <c r="B4551">
        <v>313592</v>
      </c>
      <c r="C4551" t="s">
        <v>8605</v>
      </c>
      <c r="D4551" t="s">
        <v>65</v>
      </c>
      <c r="E4551" s="2">
        <v>39336</v>
      </c>
      <c r="F4551" t="str">
        <f>"9780080551913"</f>
        <v>9780080551913</v>
      </c>
      <c r="G4551" t="str">
        <f>"9780444528377"</f>
        <v>9780444528377</v>
      </c>
      <c r="H4551" t="s">
        <v>214</v>
      </c>
      <c r="I4551">
        <v>541.2242</v>
      </c>
      <c r="J4551" t="s">
        <v>8606</v>
      </c>
      <c r="K4551" t="s">
        <v>44</v>
      </c>
      <c r="N4551" t="s">
        <v>45</v>
      </c>
      <c r="O4551" t="s">
        <v>46</v>
      </c>
      <c r="P4551" t="s">
        <v>45</v>
      </c>
      <c r="Q4551" t="s">
        <v>47</v>
      </c>
      <c r="R4551" t="s">
        <v>44</v>
      </c>
      <c r="S4551">
        <v>0</v>
      </c>
      <c r="W4551" s="3">
        <v>1.1458333333333333E-3</v>
      </c>
      <c r="X4551" t="s">
        <v>9276</v>
      </c>
      <c r="Y4551">
        <v>5</v>
      </c>
      <c r="Z4551">
        <v>0</v>
      </c>
      <c r="AA4551" t="s">
        <v>49</v>
      </c>
      <c r="AB4551">
        <v>0</v>
      </c>
      <c r="AC4551" t="s">
        <v>49</v>
      </c>
      <c r="AD4551">
        <v>0</v>
      </c>
      <c r="AE4551">
        <v>10190879</v>
      </c>
      <c r="AF4551" t="s">
        <v>50</v>
      </c>
      <c r="AG4551" t="s">
        <v>9277</v>
      </c>
    </row>
    <row r="4552" spans="1:33" x14ac:dyDescent="0.35">
      <c r="A4552" s="1">
        <v>44600.401388888888</v>
      </c>
      <c r="B4552">
        <v>354963</v>
      </c>
      <c r="C4552" t="s">
        <v>9278</v>
      </c>
      <c r="D4552" t="s">
        <v>150</v>
      </c>
      <c r="E4552" s="2">
        <v>38834</v>
      </c>
      <c r="F4552" t="str">
        <f>"9781848605558"</f>
        <v>9781848605558</v>
      </c>
      <c r="G4552" t="str">
        <f>"9781412918855"</f>
        <v>9781412918855</v>
      </c>
      <c r="H4552" t="s">
        <v>60</v>
      </c>
      <c r="I4552">
        <v>658.15110000000004</v>
      </c>
      <c r="J4552" t="s">
        <v>9279</v>
      </c>
      <c r="K4552" t="s">
        <v>44</v>
      </c>
      <c r="N4552" t="s">
        <v>45</v>
      </c>
      <c r="O4552" t="s">
        <v>46</v>
      </c>
      <c r="P4552" t="s">
        <v>45</v>
      </c>
      <c r="Q4552" t="s">
        <v>47</v>
      </c>
      <c r="R4552" t="s">
        <v>44</v>
      </c>
      <c r="S4552">
        <v>0</v>
      </c>
      <c r="W4552" s="3">
        <v>3.5879629629629635E-4</v>
      </c>
      <c r="X4552" t="s">
        <v>2629</v>
      </c>
      <c r="Y4552">
        <v>1</v>
      </c>
      <c r="Z4552">
        <v>1</v>
      </c>
      <c r="AA4552" t="s">
        <v>9280</v>
      </c>
      <c r="AB4552">
        <v>1</v>
      </c>
      <c r="AC4552" t="s">
        <v>49</v>
      </c>
      <c r="AD4552">
        <v>0</v>
      </c>
      <c r="AE4552">
        <v>10256871</v>
      </c>
      <c r="AF4552" t="s">
        <v>50</v>
      </c>
      <c r="AG4552" t="s">
        <v>8710</v>
      </c>
    </row>
    <row r="4553" spans="1:33" x14ac:dyDescent="0.35">
      <c r="A4553" s="1">
        <v>44599.952777777777</v>
      </c>
      <c r="B4553">
        <v>4914179</v>
      </c>
      <c r="C4553" t="s">
        <v>7239</v>
      </c>
      <c r="D4553" t="s">
        <v>59</v>
      </c>
      <c r="E4553" s="2">
        <v>42961</v>
      </c>
      <c r="F4553" t="str">
        <f>"9781119420705"</f>
        <v>9781119420705</v>
      </c>
      <c r="G4553" t="str">
        <f>"9781118116173"</f>
        <v>9781118116173</v>
      </c>
      <c r="H4553" t="s">
        <v>6624</v>
      </c>
      <c r="I4553">
        <v>6.22</v>
      </c>
      <c r="J4553" t="s">
        <v>7240</v>
      </c>
      <c r="K4553" t="s">
        <v>44</v>
      </c>
      <c r="N4553" t="s">
        <v>45</v>
      </c>
      <c r="O4553" t="s">
        <v>46</v>
      </c>
      <c r="P4553" t="s">
        <v>45</v>
      </c>
      <c r="Q4553" t="s">
        <v>47</v>
      </c>
      <c r="R4553" t="s">
        <v>44</v>
      </c>
      <c r="S4553">
        <v>0</v>
      </c>
      <c r="W4553" s="3">
        <v>4.6296296296296294E-5</v>
      </c>
      <c r="X4553" t="s">
        <v>121</v>
      </c>
      <c r="Y4553">
        <v>1</v>
      </c>
      <c r="Z4553">
        <v>0</v>
      </c>
      <c r="AA4553" t="s">
        <v>49</v>
      </c>
      <c r="AB4553">
        <v>0</v>
      </c>
      <c r="AC4553" t="s">
        <v>49</v>
      </c>
      <c r="AD4553">
        <v>0</v>
      </c>
      <c r="AE4553">
        <v>11412425</v>
      </c>
      <c r="AF4553" t="s">
        <v>50</v>
      </c>
      <c r="AG4553" t="s">
        <v>8710</v>
      </c>
    </row>
    <row r="4554" spans="1:33" x14ac:dyDescent="0.35">
      <c r="A4554" s="1">
        <v>44599.912499999999</v>
      </c>
      <c r="B4554">
        <v>536977</v>
      </c>
      <c r="C4554" t="s">
        <v>1900</v>
      </c>
      <c r="D4554" t="s">
        <v>507</v>
      </c>
      <c r="E4554" s="2">
        <v>40043</v>
      </c>
      <c r="F4554" t="str">
        <f>"9780748637942"</f>
        <v>9780748637942</v>
      </c>
      <c r="G4554" t="str">
        <f>"9780748637928"</f>
        <v>9780748637928</v>
      </c>
      <c r="H4554" t="s">
        <v>162</v>
      </c>
      <c r="I4554">
        <v>297</v>
      </c>
      <c r="J4554" t="s">
        <v>1901</v>
      </c>
      <c r="K4554" t="s">
        <v>44</v>
      </c>
      <c r="N4554" t="s">
        <v>45</v>
      </c>
      <c r="O4554" t="s">
        <v>46</v>
      </c>
      <c r="P4554" t="s">
        <v>45</v>
      </c>
      <c r="Q4554" t="s">
        <v>47</v>
      </c>
      <c r="R4554" t="s">
        <v>44</v>
      </c>
      <c r="S4554">
        <v>0</v>
      </c>
      <c r="W4554" s="3">
        <v>2.9027777777777777E-2</v>
      </c>
      <c r="X4554" t="s">
        <v>9281</v>
      </c>
      <c r="Y4554">
        <v>49</v>
      </c>
      <c r="Z4554">
        <v>0</v>
      </c>
      <c r="AA4554" t="s">
        <v>49</v>
      </c>
      <c r="AB4554">
        <v>0</v>
      </c>
      <c r="AC4554" t="s">
        <v>9282</v>
      </c>
      <c r="AD4554">
        <v>3</v>
      </c>
      <c r="AE4554">
        <v>10391780</v>
      </c>
      <c r="AF4554" t="s">
        <v>50</v>
      </c>
      <c r="AG4554" t="s">
        <v>8710</v>
      </c>
    </row>
    <row r="4555" spans="1:33" x14ac:dyDescent="0.35">
      <c r="A4555" s="1">
        <v>44599.897916666669</v>
      </c>
      <c r="B4555">
        <v>200711</v>
      </c>
      <c r="C4555" t="s">
        <v>9283</v>
      </c>
      <c r="D4555" t="s">
        <v>76</v>
      </c>
      <c r="E4555" s="2">
        <v>38324</v>
      </c>
      <c r="F4555" t="str">
        <f>"9780203446317"</f>
        <v>9780203446317</v>
      </c>
      <c r="G4555" t="str">
        <f>"9780415338677"</f>
        <v>9780415338677</v>
      </c>
      <c r="H4555" t="s">
        <v>1046</v>
      </c>
      <c r="I4555">
        <v>306</v>
      </c>
      <c r="J4555" t="s">
        <v>9284</v>
      </c>
      <c r="K4555" t="s">
        <v>44</v>
      </c>
      <c r="N4555" t="s">
        <v>45</v>
      </c>
      <c r="O4555" t="s">
        <v>46</v>
      </c>
      <c r="P4555" t="s">
        <v>45</v>
      </c>
      <c r="Q4555" t="s">
        <v>47</v>
      </c>
      <c r="R4555" t="s">
        <v>44</v>
      </c>
      <c r="S4555">
        <v>0</v>
      </c>
      <c r="W4555" s="3">
        <v>4.6296296296296294E-5</v>
      </c>
      <c r="X4555" t="s">
        <v>121</v>
      </c>
      <c r="Y4555">
        <v>1</v>
      </c>
      <c r="Z4555">
        <v>0</v>
      </c>
      <c r="AA4555" t="s">
        <v>49</v>
      </c>
      <c r="AB4555">
        <v>0</v>
      </c>
      <c r="AC4555" t="s">
        <v>49</v>
      </c>
      <c r="AD4555">
        <v>0</v>
      </c>
      <c r="AE4555">
        <v>10402193</v>
      </c>
      <c r="AF4555" t="s">
        <v>50</v>
      </c>
      <c r="AG4555" t="s">
        <v>4222</v>
      </c>
    </row>
    <row r="4556" spans="1:33" x14ac:dyDescent="0.35">
      <c r="A4556" s="1">
        <v>44599.826388888891</v>
      </c>
      <c r="B4556">
        <v>5796941</v>
      </c>
      <c r="C4556" t="s">
        <v>7395</v>
      </c>
      <c r="D4556" t="s">
        <v>844</v>
      </c>
      <c r="E4556" s="2">
        <v>43656</v>
      </c>
      <c r="F4556" t="str">
        <f>"9781787566811"</f>
        <v>9781787566811</v>
      </c>
      <c r="G4556" t="str">
        <f>"9781787566804"</f>
        <v>9781787566804</v>
      </c>
      <c r="H4556" t="s">
        <v>900</v>
      </c>
      <c r="I4556">
        <v>337.51056</v>
      </c>
      <c r="J4556" t="s">
        <v>1794</v>
      </c>
      <c r="K4556" t="s">
        <v>44</v>
      </c>
      <c r="N4556" t="s">
        <v>45</v>
      </c>
      <c r="O4556" t="s">
        <v>46</v>
      </c>
      <c r="P4556" t="s">
        <v>45</v>
      </c>
      <c r="Q4556" t="s">
        <v>47</v>
      </c>
      <c r="R4556" t="s">
        <v>44</v>
      </c>
      <c r="S4556">
        <v>0</v>
      </c>
      <c r="W4556" s="3">
        <v>6.9444444444444444E-5</v>
      </c>
      <c r="X4556" t="s">
        <v>196</v>
      </c>
      <c r="Y4556">
        <v>2</v>
      </c>
      <c r="Z4556">
        <v>0</v>
      </c>
      <c r="AA4556" t="s">
        <v>49</v>
      </c>
      <c r="AB4556">
        <v>0</v>
      </c>
      <c r="AC4556" t="s">
        <v>49</v>
      </c>
      <c r="AD4556">
        <v>0</v>
      </c>
      <c r="AE4556">
        <v>-1</v>
      </c>
      <c r="AF4556" t="s">
        <v>50</v>
      </c>
      <c r="AG4556" t="s">
        <v>8710</v>
      </c>
    </row>
    <row r="4557" spans="1:33" x14ac:dyDescent="0.35">
      <c r="A4557" s="1">
        <v>44599.817361111112</v>
      </c>
      <c r="B4557">
        <v>200711</v>
      </c>
      <c r="C4557" t="s">
        <v>9283</v>
      </c>
      <c r="D4557" t="s">
        <v>76</v>
      </c>
      <c r="E4557" s="2">
        <v>38324</v>
      </c>
      <c r="F4557" t="str">
        <f>"9780203446317"</f>
        <v>9780203446317</v>
      </c>
      <c r="G4557" t="str">
        <f>"9780415338677"</f>
        <v>9780415338677</v>
      </c>
      <c r="H4557" t="s">
        <v>1046</v>
      </c>
      <c r="I4557">
        <v>306</v>
      </c>
      <c r="J4557" t="s">
        <v>9284</v>
      </c>
      <c r="K4557" t="s">
        <v>44</v>
      </c>
      <c r="N4557" t="s">
        <v>45</v>
      </c>
      <c r="O4557" t="s">
        <v>46</v>
      </c>
      <c r="P4557" t="s">
        <v>45</v>
      </c>
      <c r="Q4557" t="s">
        <v>47</v>
      </c>
      <c r="R4557" t="s">
        <v>44</v>
      </c>
      <c r="S4557">
        <v>0</v>
      </c>
      <c r="W4557" s="3">
        <v>4.6296296296296294E-5</v>
      </c>
      <c r="X4557" t="s">
        <v>121</v>
      </c>
      <c r="Y4557">
        <v>1</v>
      </c>
      <c r="Z4557">
        <v>0</v>
      </c>
      <c r="AA4557" t="s">
        <v>49</v>
      </c>
      <c r="AB4557">
        <v>0</v>
      </c>
      <c r="AC4557" t="s">
        <v>49</v>
      </c>
      <c r="AD4557">
        <v>0</v>
      </c>
      <c r="AE4557">
        <v>10402193</v>
      </c>
      <c r="AF4557" t="s">
        <v>50</v>
      </c>
      <c r="AG4557" t="s">
        <v>2128</v>
      </c>
    </row>
    <row r="4558" spans="1:33" x14ac:dyDescent="0.35">
      <c r="A4558" s="1">
        <v>44599.762499999997</v>
      </c>
      <c r="B4558">
        <v>200711</v>
      </c>
      <c r="C4558" t="s">
        <v>9283</v>
      </c>
      <c r="D4558" t="s">
        <v>76</v>
      </c>
      <c r="E4558" s="2">
        <v>38324</v>
      </c>
      <c r="F4558" t="str">
        <f>"9780203446317"</f>
        <v>9780203446317</v>
      </c>
      <c r="G4558" t="str">
        <f>"9780415338677"</f>
        <v>9780415338677</v>
      </c>
      <c r="H4558" t="s">
        <v>1046</v>
      </c>
      <c r="I4558">
        <v>306</v>
      </c>
      <c r="J4558" t="s">
        <v>9284</v>
      </c>
      <c r="K4558" t="s">
        <v>44</v>
      </c>
      <c r="N4558" t="s">
        <v>45</v>
      </c>
      <c r="O4558" t="s">
        <v>46</v>
      </c>
      <c r="P4558" t="s">
        <v>45</v>
      </c>
      <c r="Q4558" t="s">
        <v>47</v>
      </c>
      <c r="R4558" t="s">
        <v>44</v>
      </c>
      <c r="S4558">
        <v>0</v>
      </c>
      <c r="W4558" s="3">
        <v>4.6296296296296294E-5</v>
      </c>
      <c r="X4558" t="s">
        <v>121</v>
      </c>
      <c r="Y4558">
        <v>1</v>
      </c>
      <c r="Z4558">
        <v>0</v>
      </c>
      <c r="AA4558" t="s">
        <v>49</v>
      </c>
      <c r="AB4558">
        <v>0</v>
      </c>
      <c r="AC4558" t="s">
        <v>49</v>
      </c>
      <c r="AD4558">
        <v>0</v>
      </c>
      <c r="AE4558">
        <v>10402193</v>
      </c>
      <c r="AF4558" t="s">
        <v>50</v>
      </c>
      <c r="AG4558" t="s">
        <v>2128</v>
      </c>
    </row>
    <row r="4559" spans="1:33" x14ac:dyDescent="0.35">
      <c r="A4559" s="1">
        <v>44599.748611111114</v>
      </c>
      <c r="B4559">
        <v>1446399</v>
      </c>
      <c r="C4559" t="s">
        <v>9130</v>
      </c>
      <c r="D4559" t="s">
        <v>76</v>
      </c>
      <c r="E4559" s="2">
        <v>41225</v>
      </c>
      <c r="F4559" t="str">
        <f>"9781439881767"</f>
        <v>9781439881767</v>
      </c>
      <c r="G4559" t="str">
        <f>"9781439881750"</f>
        <v>9781439881750</v>
      </c>
      <c r="H4559" t="s">
        <v>120</v>
      </c>
      <c r="I4559">
        <v>620.5</v>
      </c>
      <c r="J4559" t="s">
        <v>9131</v>
      </c>
      <c r="K4559" t="s">
        <v>44</v>
      </c>
      <c r="N4559" t="s">
        <v>45</v>
      </c>
      <c r="O4559" t="s">
        <v>46</v>
      </c>
      <c r="P4559" t="s">
        <v>45</v>
      </c>
      <c r="Q4559" t="s">
        <v>47</v>
      </c>
      <c r="R4559" t="s">
        <v>44</v>
      </c>
      <c r="S4559">
        <v>0</v>
      </c>
      <c r="W4559" s="3">
        <v>1.6203703703703703E-4</v>
      </c>
      <c r="X4559" t="s">
        <v>205</v>
      </c>
      <c r="Y4559">
        <v>2</v>
      </c>
      <c r="Z4559">
        <v>0</v>
      </c>
      <c r="AA4559" t="s">
        <v>49</v>
      </c>
      <c r="AB4559">
        <v>0</v>
      </c>
      <c r="AC4559" t="s">
        <v>49</v>
      </c>
      <c r="AD4559">
        <v>0</v>
      </c>
      <c r="AE4559">
        <v>11166009</v>
      </c>
      <c r="AF4559" t="s">
        <v>50</v>
      </c>
      <c r="AG4559" t="s">
        <v>9079</v>
      </c>
    </row>
    <row r="4560" spans="1:33" x14ac:dyDescent="0.35">
      <c r="A4560" s="1">
        <v>44599.720138888886</v>
      </c>
      <c r="B4560">
        <v>536977</v>
      </c>
      <c r="C4560" t="s">
        <v>1900</v>
      </c>
      <c r="D4560" t="s">
        <v>507</v>
      </c>
      <c r="E4560" s="2">
        <v>40043</v>
      </c>
      <c r="F4560" t="str">
        <f>"9780748637942"</f>
        <v>9780748637942</v>
      </c>
      <c r="G4560" t="str">
        <f>"9780748637928"</f>
        <v>9780748637928</v>
      </c>
      <c r="H4560" t="s">
        <v>162</v>
      </c>
      <c r="I4560">
        <v>297</v>
      </c>
      <c r="J4560" t="s">
        <v>1901</v>
      </c>
      <c r="K4560" t="s">
        <v>44</v>
      </c>
      <c r="N4560" t="s">
        <v>45</v>
      </c>
      <c r="O4560" t="s">
        <v>46</v>
      </c>
      <c r="P4560" t="s">
        <v>45</v>
      </c>
      <c r="Q4560" t="s">
        <v>47</v>
      </c>
      <c r="R4560" t="s">
        <v>44</v>
      </c>
      <c r="S4560">
        <v>0</v>
      </c>
      <c r="W4560" s="3">
        <v>9.7685185185185184E-3</v>
      </c>
      <c r="X4560" t="s">
        <v>9285</v>
      </c>
      <c r="Y4560">
        <v>11</v>
      </c>
      <c r="Z4560">
        <v>0</v>
      </c>
      <c r="AA4560" t="s">
        <v>49</v>
      </c>
      <c r="AB4560">
        <v>0</v>
      </c>
      <c r="AC4560" t="s">
        <v>49</v>
      </c>
      <c r="AD4560">
        <v>0</v>
      </c>
      <c r="AE4560">
        <v>10391780</v>
      </c>
      <c r="AF4560" t="s">
        <v>50</v>
      </c>
      <c r="AG4560" t="s">
        <v>8710</v>
      </c>
    </row>
    <row r="4561" spans="1:33" x14ac:dyDescent="0.35">
      <c r="A4561" s="1">
        <v>44599.684027777781</v>
      </c>
      <c r="B4561">
        <v>1662651</v>
      </c>
      <c r="C4561" t="s">
        <v>9286</v>
      </c>
      <c r="D4561" t="s">
        <v>59</v>
      </c>
      <c r="E4561" s="2">
        <v>41736</v>
      </c>
      <c r="F4561" t="str">
        <f>"9781118415306"</f>
        <v>9781118415306</v>
      </c>
      <c r="G4561" t="str">
        <f>"9780470530634"</f>
        <v>9780470530634</v>
      </c>
      <c r="H4561" t="s">
        <v>1945</v>
      </c>
      <c r="I4561">
        <v>624</v>
      </c>
      <c r="J4561" t="s">
        <v>9287</v>
      </c>
      <c r="K4561" t="s">
        <v>44</v>
      </c>
      <c r="N4561" t="s">
        <v>45</v>
      </c>
      <c r="O4561" t="s">
        <v>46</v>
      </c>
      <c r="P4561" t="s">
        <v>45</v>
      </c>
      <c r="Q4561" t="s">
        <v>47</v>
      </c>
      <c r="R4561" t="s">
        <v>44</v>
      </c>
      <c r="S4561">
        <v>0</v>
      </c>
      <c r="W4561" s="3">
        <v>5.7870370370370366E-5</v>
      </c>
      <c r="X4561" t="s">
        <v>121</v>
      </c>
      <c r="Y4561">
        <v>1</v>
      </c>
      <c r="Z4561">
        <v>0</v>
      </c>
      <c r="AA4561" t="s">
        <v>49</v>
      </c>
      <c r="AB4561">
        <v>0</v>
      </c>
      <c r="AC4561" t="s">
        <v>49</v>
      </c>
      <c r="AD4561">
        <v>0</v>
      </c>
      <c r="AE4561">
        <v>10856830</v>
      </c>
      <c r="AF4561" t="s">
        <v>50</v>
      </c>
      <c r="AG4561" t="s">
        <v>8692</v>
      </c>
    </row>
    <row r="4562" spans="1:33" x14ac:dyDescent="0.35">
      <c r="A4562" s="1">
        <v>44599.678472222222</v>
      </c>
      <c r="B4562">
        <v>3408815</v>
      </c>
      <c r="C4562" t="s">
        <v>9288</v>
      </c>
      <c r="D4562" t="s">
        <v>645</v>
      </c>
      <c r="E4562" s="2">
        <v>41609</v>
      </c>
      <c r="F4562" t="str">
        <f>"9781438448886"</f>
        <v>9781438448886</v>
      </c>
      <c r="G4562" t="str">
        <f>"9781438448879"</f>
        <v>9781438448879</v>
      </c>
      <c r="H4562" t="s">
        <v>1046</v>
      </c>
      <c r="I4562">
        <v>307.140975223</v>
      </c>
      <c r="J4562" t="s">
        <v>9289</v>
      </c>
      <c r="K4562" t="s">
        <v>44</v>
      </c>
      <c r="N4562" t="s">
        <v>45</v>
      </c>
      <c r="O4562" t="s">
        <v>46</v>
      </c>
      <c r="P4562" t="s">
        <v>45</v>
      </c>
      <c r="Q4562" t="s">
        <v>47</v>
      </c>
      <c r="R4562" t="s">
        <v>44</v>
      </c>
      <c r="S4562">
        <v>0</v>
      </c>
      <c r="W4562" s="3">
        <v>2.3032407407407407E-3</v>
      </c>
      <c r="X4562" t="s">
        <v>9290</v>
      </c>
      <c r="Y4562">
        <v>26</v>
      </c>
      <c r="Z4562">
        <v>0</v>
      </c>
      <c r="AA4562" t="s">
        <v>49</v>
      </c>
      <c r="AB4562">
        <v>0</v>
      </c>
      <c r="AC4562" t="s">
        <v>49</v>
      </c>
      <c r="AD4562">
        <v>0</v>
      </c>
      <c r="AE4562">
        <v>10815240</v>
      </c>
      <c r="AF4562" t="s">
        <v>50</v>
      </c>
      <c r="AG4562" t="s">
        <v>8692</v>
      </c>
    </row>
    <row r="4563" spans="1:33" x14ac:dyDescent="0.35">
      <c r="A4563" s="1">
        <v>44599.674305555556</v>
      </c>
      <c r="B4563">
        <v>1895580</v>
      </c>
      <c r="C4563" t="s">
        <v>3561</v>
      </c>
      <c r="D4563" t="s">
        <v>59</v>
      </c>
      <c r="E4563" s="2">
        <v>42010</v>
      </c>
      <c r="F4563" t="str">
        <f>"9781118759035"</f>
        <v>9781118759035</v>
      </c>
      <c r="G4563" t="str">
        <f>"9781118759066"</f>
        <v>9781118759066</v>
      </c>
      <c r="H4563" t="s">
        <v>483</v>
      </c>
      <c r="I4563">
        <v>720.95</v>
      </c>
      <c r="J4563" t="s">
        <v>3562</v>
      </c>
      <c r="K4563" t="s">
        <v>44</v>
      </c>
      <c r="N4563" t="s">
        <v>45</v>
      </c>
      <c r="O4563" t="s">
        <v>46</v>
      </c>
      <c r="P4563" t="s">
        <v>45</v>
      </c>
      <c r="Q4563" t="s">
        <v>47</v>
      </c>
      <c r="R4563" t="s">
        <v>44</v>
      </c>
      <c r="S4563">
        <v>0</v>
      </c>
      <c r="W4563" s="3">
        <v>6.7013888888888887E-3</v>
      </c>
      <c r="X4563" t="s">
        <v>9291</v>
      </c>
      <c r="Y4563">
        <v>8</v>
      </c>
      <c r="Z4563">
        <v>0</v>
      </c>
      <c r="AA4563" t="s">
        <v>49</v>
      </c>
      <c r="AB4563">
        <v>0</v>
      </c>
      <c r="AC4563" t="s">
        <v>49</v>
      </c>
      <c r="AD4563">
        <v>0</v>
      </c>
      <c r="AE4563">
        <v>11055099</v>
      </c>
      <c r="AF4563" t="s">
        <v>50</v>
      </c>
      <c r="AG4563" t="s">
        <v>1216</v>
      </c>
    </row>
    <row r="4564" spans="1:33" x14ac:dyDescent="0.35">
      <c r="A4564" s="1">
        <v>44599.670138888891</v>
      </c>
      <c r="B4564">
        <v>3016843</v>
      </c>
      <c r="C4564" t="s">
        <v>8542</v>
      </c>
      <c r="D4564" t="s">
        <v>8543</v>
      </c>
      <c r="E4564" s="2">
        <v>39173</v>
      </c>
      <c r="F4564" t="str">
        <f>"9781593322861"</f>
        <v>9781593322861</v>
      </c>
      <c r="G4564" t="str">
        <f>"9781593321970"</f>
        <v>9781593321970</v>
      </c>
      <c r="H4564" t="s">
        <v>1046</v>
      </c>
      <c r="I4564">
        <v>364.360973</v>
      </c>
      <c r="J4564" t="s">
        <v>8544</v>
      </c>
      <c r="K4564" t="s">
        <v>44</v>
      </c>
      <c r="N4564" t="s">
        <v>45</v>
      </c>
      <c r="O4564" t="s">
        <v>46</v>
      </c>
      <c r="P4564" t="s">
        <v>177</v>
      </c>
      <c r="Q4564" t="s">
        <v>47</v>
      </c>
      <c r="R4564" t="s">
        <v>55</v>
      </c>
      <c r="S4564">
        <v>0</v>
      </c>
      <c r="W4564" s="3">
        <v>9.6064814814814808E-4</v>
      </c>
      <c r="X4564" t="s">
        <v>3445</v>
      </c>
      <c r="Y4564">
        <v>11</v>
      </c>
      <c r="Z4564">
        <v>0</v>
      </c>
      <c r="AA4564" t="s">
        <v>49</v>
      </c>
      <c r="AB4564">
        <v>0</v>
      </c>
      <c r="AC4564" t="s">
        <v>49</v>
      </c>
      <c r="AD4564">
        <v>0</v>
      </c>
      <c r="AE4564">
        <v>10225153</v>
      </c>
      <c r="AF4564" t="s">
        <v>50</v>
      </c>
      <c r="AG4564" t="s">
        <v>8710</v>
      </c>
    </row>
    <row r="4565" spans="1:33" x14ac:dyDescent="0.35">
      <c r="A4565" s="1">
        <v>44599.670138888891</v>
      </c>
      <c r="B4565">
        <v>3016843</v>
      </c>
      <c r="C4565" t="s">
        <v>8542</v>
      </c>
      <c r="D4565" t="s">
        <v>8543</v>
      </c>
      <c r="E4565" s="2">
        <v>39173</v>
      </c>
      <c r="F4565" t="str">
        <f>"9781593322861"</f>
        <v>9781593322861</v>
      </c>
      <c r="G4565" t="str">
        <f>"9781593321970"</f>
        <v>9781593321970</v>
      </c>
      <c r="H4565" t="s">
        <v>1046</v>
      </c>
      <c r="I4565">
        <v>364.360973</v>
      </c>
      <c r="J4565" t="s">
        <v>8544</v>
      </c>
      <c r="K4565" t="s">
        <v>44</v>
      </c>
      <c r="N4565" t="s">
        <v>45</v>
      </c>
      <c r="O4565" t="s">
        <v>46</v>
      </c>
      <c r="P4565" t="s">
        <v>177</v>
      </c>
      <c r="Q4565" t="s">
        <v>47</v>
      </c>
      <c r="R4565" t="s">
        <v>55</v>
      </c>
      <c r="S4565">
        <v>0</v>
      </c>
      <c r="W4565" s="3">
        <v>5.9490740740740745E-3</v>
      </c>
      <c r="X4565" t="s">
        <v>9292</v>
      </c>
      <c r="Y4565">
        <v>9</v>
      </c>
      <c r="Z4565">
        <v>0</v>
      </c>
      <c r="AA4565" t="s">
        <v>49</v>
      </c>
      <c r="AB4565">
        <v>0</v>
      </c>
      <c r="AC4565" t="s">
        <v>49</v>
      </c>
      <c r="AD4565">
        <v>0</v>
      </c>
      <c r="AE4565">
        <v>10225153</v>
      </c>
      <c r="AF4565" t="s">
        <v>50</v>
      </c>
      <c r="AG4565" t="s">
        <v>528</v>
      </c>
    </row>
    <row r="4566" spans="1:33" x14ac:dyDescent="0.35">
      <c r="A4566" s="1">
        <v>44599.667361111111</v>
      </c>
      <c r="B4566">
        <v>1895580</v>
      </c>
      <c r="C4566" t="s">
        <v>3561</v>
      </c>
      <c r="D4566" t="s">
        <v>59</v>
      </c>
      <c r="E4566" s="2">
        <v>42010</v>
      </c>
      <c r="F4566" t="str">
        <f>"9781118759035"</f>
        <v>9781118759035</v>
      </c>
      <c r="G4566" t="str">
        <f>"9781118759066"</f>
        <v>9781118759066</v>
      </c>
      <c r="H4566" t="s">
        <v>483</v>
      </c>
      <c r="I4566">
        <v>720.95</v>
      </c>
      <c r="J4566" t="s">
        <v>3562</v>
      </c>
      <c r="K4566" t="s">
        <v>44</v>
      </c>
      <c r="N4566" t="s">
        <v>45</v>
      </c>
      <c r="O4566" t="s">
        <v>46</v>
      </c>
      <c r="P4566" t="s">
        <v>45</v>
      </c>
      <c r="Q4566" t="s">
        <v>47</v>
      </c>
      <c r="R4566" t="s">
        <v>44</v>
      </c>
      <c r="S4566">
        <v>0</v>
      </c>
      <c r="W4566" s="3">
        <v>2.3148148148148146E-4</v>
      </c>
      <c r="X4566" t="s">
        <v>9293</v>
      </c>
      <c r="Y4566">
        <v>4</v>
      </c>
      <c r="Z4566">
        <v>0</v>
      </c>
      <c r="AA4566" t="s">
        <v>49</v>
      </c>
      <c r="AB4566">
        <v>0</v>
      </c>
      <c r="AC4566" t="s">
        <v>49</v>
      </c>
      <c r="AD4566">
        <v>0</v>
      </c>
      <c r="AE4566">
        <v>11055099</v>
      </c>
      <c r="AF4566" t="s">
        <v>50</v>
      </c>
      <c r="AG4566" t="s">
        <v>1691</v>
      </c>
    </row>
    <row r="4567" spans="1:33" x14ac:dyDescent="0.35">
      <c r="A4567" s="1">
        <v>44599.642361111109</v>
      </c>
      <c r="B4567">
        <v>1578390</v>
      </c>
      <c r="C4567" t="s">
        <v>9294</v>
      </c>
      <c r="D4567" t="s">
        <v>59</v>
      </c>
      <c r="E4567" s="2">
        <v>41701</v>
      </c>
      <c r="F4567" t="str">
        <f>"9781118720653"</f>
        <v>9781118720653</v>
      </c>
      <c r="G4567" t="str">
        <f>"9781118720684"</f>
        <v>9781118720684</v>
      </c>
      <c r="H4567" t="s">
        <v>546</v>
      </c>
      <c r="I4567">
        <v>621.30999999999995</v>
      </c>
      <c r="J4567" t="s">
        <v>9295</v>
      </c>
      <c r="K4567" t="s">
        <v>44</v>
      </c>
      <c r="N4567" t="s">
        <v>45</v>
      </c>
      <c r="O4567" t="s">
        <v>46</v>
      </c>
      <c r="P4567" t="s">
        <v>45</v>
      </c>
      <c r="Q4567" t="s">
        <v>47</v>
      </c>
      <c r="R4567" t="s">
        <v>44</v>
      </c>
      <c r="S4567">
        <v>2</v>
      </c>
      <c r="W4567" s="3">
        <v>2.3148148148148147E-5</v>
      </c>
      <c r="X4567" t="s">
        <v>9296</v>
      </c>
      <c r="Y4567">
        <v>3</v>
      </c>
      <c r="Z4567">
        <v>0</v>
      </c>
      <c r="AA4567" t="s">
        <v>49</v>
      </c>
      <c r="AB4567">
        <v>0</v>
      </c>
      <c r="AC4567" t="s">
        <v>49</v>
      </c>
      <c r="AD4567">
        <v>0</v>
      </c>
      <c r="AE4567">
        <v>10815834</v>
      </c>
      <c r="AF4567" t="s">
        <v>63</v>
      </c>
      <c r="AG4567" t="s">
        <v>9079</v>
      </c>
    </row>
    <row r="4568" spans="1:33" x14ac:dyDescent="0.35">
      <c r="A4568" s="1">
        <v>44599.640972222223</v>
      </c>
      <c r="B4568">
        <v>1578390</v>
      </c>
      <c r="C4568" t="s">
        <v>9294</v>
      </c>
      <c r="D4568" t="s">
        <v>59</v>
      </c>
      <c r="E4568" s="2">
        <v>41701</v>
      </c>
      <c r="F4568" t="str">
        <f>"9781118720653"</f>
        <v>9781118720653</v>
      </c>
      <c r="G4568" t="str">
        <f>"9781118720684"</f>
        <v>9781118720684</v>
      </c>
      <c r="H4568" t="s">
        <v>546</v>
      </c>
      <c r="I4568">
        <v>621.30999999999995</v>
      </c>
      <c r="J4568" t="s">
        <v>9295</v>
      </c>
      <c r="K4568" t="s">
        <v>44</v>
      </c>
      <c r="N4568" t="s">
        <v>45</v>
      </c>
      <c r="O4568" t="s">
        <v>46</v>
      </c>
      <c r="P4568" t="s">
        <v>45</v>
      </c>
      <c r="Q4568" t="s">
        <v>47</v>
      </c>
      <c r="R4568" t="s">
        <v>44</v>
      </c>
      <c r="S4568">
        <v>1</v>
      </c>
      <c r="W4568" s="3">
        <v>0</v>
      </c>
      <c r="X4568" t="s">
        <v>49</v>
      </c>
      <c r="Y4568">
        <v>0</v>
      </c>
      <c r="Z4568">
        <v>0</v>
      </c>
      <c r="AA4568" t="s">
        <v>49</v>
      </c>
      <c r="AB4568">
        <v>0</v>
      </c>
      <c r="AC4568" t="s">
        <v>49</v>
      </c>
      <c r="AD4568">
        <v>0</v>
      </c>
      <c r="AE4568">
        <v>10815834</v>
      </c>
      <c r="AF4568" t="s">
        <v>63</v>
      </c>
      <c r="AG4568" t="s">
        <v>9079</v>
      </c>
    </row>
    <row r="4569" spans="1:33" x14ac:dyDescent="0.35">
      <c r="A4569" s="1">
        <v>44599.623611111114</v>
      </c>
      <c r="B4569">
        <v>5796941</v>
      </c>
      <c r="C4569" t="s">
        <v>7395</v>
      </c>
      <c r="D4569" t="s">
        <v>844</v>
      </c>
      <c r="E4569" s="2">
        <v>43656</v>
      </c>
      <c r="F4569" t="str">
        <f>"9781787566811"</f>
        <v>9781787566811</v>
      </c>
      <c r="G4569" t="str">
        <f>"9781787566804"</f>
        <v>9781787566804</v>
      </c>
      <c r="H4569" t="s">
        <v>900</v>
      </c>
      <c r="I4569">
        <v>337.51056</v>
      </c>
      <c r="J4569" t="s">
        <v>1794</v>
      </c>
      <c r="K4569" t="s">
        <v>44</v>
      </c>
      <c r="N4569" t="s">
        <v>45</v>
      </c>
      <c r="O4569" t="s">
        <v>46</v>
      </c>
      <c r="P4569" t="s">
        <v>45</v>
      </c>
      <c r="Q4569" t="s">
        <v>47</v>
      </c>
      <c r="R4569" t="s">
        <v>44</v>
      </c>
      <c r="S4569">
        <v>0</v>
      </c>
      <c r="W4569" s="3">
        <v>8.1018518518518516E-5</v>
      </c>
      <c r="X4569" t="s">
        <v>196</v>
      </c>
      <c r="Y4569">
        <v>2</v>
      </c>
      <c r="Z4569">
        <v>0</v>
      </c>
      <c r="AA4569" t="s">
        <v>49</v>
      </c>
      <c r="AB4569">
        <v>0</v>
      </c>
      <c r="AC4569" t="s">
        <v>49</v>
      </c>
      <c r="AD4569">
        <v>0</v>
      </c>
      <c r="AE4569">
        <v>-1</v>
      </c>
      <c r="AF4569" t="s">
        <v>50</v>
      </c>
      <c r="AG4569" t="s">
        <v>8710</v>
      </c>
    </row>
    <row r="4570" spans="1:33" x14ac:dyDescent="0.35">
      <c r="A4570" s="1">
        <v>44599.586805555555</v>
      </c>
      <c r="B4570">
        <v>689479</v>
      </c>
      <c r="C4570" t="s">
        <v>9042</v>
      </c>
      <c r="D4570" t="s">
        <v>150</v>
      </c>
      <c r="E4570" s="2">
        <v>36423</v>
      </c>
      <c r="F4570" t="str">
        <f>"9781446210420"</f>
        <v>9781446210420</v>
      </c>
      <c r="G4570" t="str">
        <f>"9780761963349"</f>
        <v>9780761963349</v>
      </c>
      <c r="H4570" t="s">
        <v>1046</v>
      </c>
      <c r="I4570">
        <v>305.42</v>
      </c>
      <c r="J4570" t="s">
        <v>9043</v>
      </c>
      <c r="K4570" t="s">
        <v>44</v>
      </c>
      <c r="N4570" t="s">
        <v>45</v>
      </c>
      <c r="O4570" t="s">
        <v>46</v>
      </c>
      <c r="P4570" t="s">
        <v>45</v>
      </c>
      <c r="Q4570" t="s">
        <v>47</v>
      </c>
      <c r="R4570" t="s">
        <v>44</v>
      </c>
      <c r="S4570">
        <v>0</v>
      </c>
      <c r="W4570" s="3">
        <v>4.5138888888888892E-4</v>
      </c>
      <c r="X4570" t="s">
        <v>9297</v>
      </c>
      <c r="Y4570">
        <v>5</v>
      </c>
      <c r="Z4570">
        <v>0</v>
      </c>
      <c r="AA4570" t="s">
        <v>49</v>
      </c>
      <c r="AB4570">
        <v>0</v>
      </c>
      <c r="AC4570" t="s">
        <v>49</v>
      </c>
      <c r="AD4570">
        <v>0</v>
      </c>
      <c r="AE4570">
        <v>10468626</v>
      </c>
      <c r="AF4570" t="s">
        <v>50</v>
      </c>
      <c r="AG4570" t="s">
        <v>9045</v>
      </c>
    </row>
    <row r="4571" spans="1:33" x14ac:dyDescent="0.35">
      <c r="A4571" s="1">
        <v>44599.582638888889</v>
      </c>
      <c r="B4571">
        <v>422777</v>
      </c>
      <c r="C4571" t="s">
        <v>9298</v>
      </c>
      <c r="D4571" t="s">
        <v>125</v>
      </c>
      <c r="E4571" s="2">
        <v>38652</v>
      </c>
      <c r="F4571" t="str">
        <f>"9780191517129"</f>
        <v>9780191517129</v>
      </c>
      <c r="G4571" t="str">
        <f>"9780192805102"</f>
        <v>9780192805102</v>
      </c>
      <c r="H4571" t="s">
        <v>1046</v>
      </c>
      <c r="I4571">
        <v>305.42090000000002</v>
      </c>
      <c r="J4571" t="s">
        <v>9299</v>
      </c>
      <c r="K4571" t="s">
        <v>44</v>
      </c>
      <c r="N4571" t="s">
        <v>45</v>
      </c>
      <c r="O4571" t="s">
        <v>46</v>
      </c>
      <c r="P4571" t="s">
        <v>45</v>
      </c>
      <c r="Q4571" t="s">
        <v>47</v>
      </c>
      <c r="R4571" t="s">
        <v>44</v>
      </c>
      <c r="S4571">
        <v>0</v>
      </c>
      <c r="W4571" s="3">
        <v>4.6296296296296294E-5</v>
      </c>
      <c r="X4571" t="s">
        <v>121</v>
      </c>
      <c r="Y4571">
        <v>1</v>
      </c>
      <c r="Z4571">
        <v>0</v>
      </c>
      <c r="AA4571" t="s">
        <v>49</v>
      </c>
      <c r="AB4571">
        <v>0</v>
      </c>
      <c r="AC4571" t="s">
        <v>49</v>
      </c>
      <c r="AD4571">
        <v>0</v>
      </c>
      <c r="AE4571">
        <v>10177926</v>
      </c>
      <c r="AF4571" t="s">
        <v>50</v>
      </c>
      <c r="AG4571" t="s">
        <v>9045</v>
      </c>
    </row>
    <row r="4572" spans="1:33" x14ac:dyDescent="0.35">
      <c r="A4572" s="1">
        <v>44599.526388888888</v>
      </c>
      <c r="B4572">
        <v>3382454</v>
      </c>
      <c r="C4572" t="s">
        <v>9300</v>
      </c>
      <c r="D4572" t="s">
        <v>9301</v>
      </c>
      <c r="E4572" s="2">
        <v>39753</v>
      </c>
      <c r="F4572" t="str">
        <f>"9781906574376"</f>
        <v>9781906574376</v>
      </c>
      <c r="G4572" t="str">
        <f>"9781906574000"</f>
        <v>9781906574000</v>
      </c>
      <c r="H4572" t="s">
        <v>1040</v>
      </c>
      <c r="J4572" t="s">
        <v>9302</v>
      </c>
      <c r="K4572" t="s">
        <v>44</v>
      </c>
      <c r="N4572" t="s">
        <v>45</v>
      </c>
      <c r="O4572" t="s">
        <v>46</v>
      </c>
      <c r="P4572" t="s">
        <v>45</v>
      </c>
      <c r="Q4572" t="s">
        <v>47</v>
      </c>
      <c r="R4572" t="s">
        <v>44</v>
      </c>
      <c r="S4572">
        <v>0</v>
      </c>
      <c r="W4572" s="3">
        <v>4.1631944444444451E-2</v>
      </c>
      <c r="X4572" t="s">
        <v>9303</v>
      </c>
      <c r="Y4572">
        <v>83</v>
      </c>
      <c r="Z4572">
        <v>0</v>
      </c>
      <c r="AA4572" t="s">
        <v>49</v>
      </c>
      <c r="AB4572">
        <v>0</v>
      </c>
      <c r="AC4572" t="s">
        <v>49</v>
      </c>
      <c r="AD4572">
        <v>0</v>
      </c>
      <c r="AE4572">
        <v>10595614</v>
      </c>
      <c r="AF4572" t="s">
        <v>63</v>
      </c>
      <c r="AG4572" t="s">
        <v>8576</v>
      </c>
    </row>
    <row r="4573" spans="1:33" x14ac:dyDescent="0.35">
      <c r="A4573" s="1">
        <v>44599.522916666669</v>
      </c>
      <c r="B4573">
        <v>3382454</v>
      </c>
      <c r="C4573" t="s">
        <v>9300</v>
      </c>
      <c r="D4573" t="s">
        <v>9301</v>
      </c>
      <c r="E4573" s="2">
        <v>39753</v>
      </c>
      <c r="F4573" t="str">
        <f>"9781906574376"</f>
        <v>9781906574376</v>
      </c>
      <c r="G4573" t="str">
        <f>"9781906574000"</f>
        <v>9781906574000</v>
      </c>
      <c r="H4573" t="s">
        <v>1040</v>
      </c>
      <c r="J4573" t="s">
        <v>9302</v>
      </c>
      <c r="K4573" t="s">
        <v>44</v>
      </c>
      <c r="N4573" t="s">
        <v>45</v>
      </c>
      <c r="O4573" t="s">
        <v>46</v>
      </c>
      <c r="P4573" t="s">
        <v>45</v>
      </c>
      <c r="Q4573" t="s">
        <v>47</v>
      </c>
      <c r="R4573" t="s">
        <v>44</v>
      </c>
      <c r="S4573">
        <v>0</v>
      </c>
      <c r="W4573" s="3">
        <v>2.1759259259259258E-3</v>
      </c>
      <c r="X4573" t="s">
        <v>9304</v>
      </c>
      <c r="Y4573">
        <v>36</v>
      </c>
      <c r="Z4573">
        <v>0</v>
      </c>
      <c r="AA4573" t="s">
        <v>49</v>
      </c>
      <c r="AB4573">
        <v>0</v>
      </c>
      <c r="AC4573" t="s">
        <v>49</v>
      </c>
      <c r="AD4573">
        <v>0</v>
      </c>
      <c r="AE4573">
        <v>10595614</v>
      </c>
      <c r="AF4573" t="s">
        <v>50</v>
      </c>
      <c r="AG4573" t="s">
        <v>8576</v>
      </c>
    </row>
    <row r="4574" spans="1:33" x14ac:dyDescent="0.35">
      <c r="A4574" s="1">
        <v>44599.487500000003</v>
      </c>
      <c r="B4574">
        <v>5796941</v>
      </c>
      <c r="C4574" t="s">
        <v>7395</v>
      </c>
      <c r="D4574" t="s">
        <v>844</v>
      </c>
      <c r="E4574" s="2">
        <v>43656</v>
      </c>
      <c r="F4574" t="str">
        <f>"9781787566811"</f>
        <v>9781787566811</v>
      </c>
      <c r="G4574" t="str">
        <f>"9781787566804"</f>
        <v>9781787566804</v>
      </c>
      <c r="H4574" t="s">
        <v>900</v>
      </c>
      <c r="I4574">
        <v>337.51056</v>
      </c>
      <c r="J4574" t="s">
        <v>1794</v>
      </c>
      <c r="K4574" t="s">
        <v>44</v>
      </c>
      <c r="N4574" t="s">
        <v>45</v>
      </c>
      <c r="O4574" t="s">
        <v>46</v>
      </c>
      <c r="P4574" t="s">
        <v>45</v>
      </c>
      <c r="Q4574" t="s">
        <v>47</v>
      </c>
      <c r="R4574" t="s">
        <v>44</v>
      </c>
      <c r="S4574">
        <v>0</v>
      </c>
      <c r="W4574" s="3">
        <v>6.8287037037037025E-4</v>
      </c>
      <c r="X4574" t="s">
        <v>9305</v>
      </c>
      <c r="Y4574">
        <v>9</v>
      </c>
      <c r="Z4574">
        <v>0</v>
      </c>
      <c r="AA4574" t="s">
        <v>49</v>
      </c>
      <c r="AB4574">
        <v>0</v>
      </c>
      <c r="AC4574" t="s">
        <v>49</v>
      </c>
      <c r="AD4574">
        <v>0</v>
      </c>
      <c r="AE4574">
        <v>-1</v>
      </c>
      <c r="AF4574" t="s">
        <v>50</v>
      </c>
      <c r="AG4574" t="s">
        <v>8710</v>
      </c>
    </row>
    <row r="4575" spans="1:33" x14ac:dyDescent="0.35">
      <c r="A4575" s="1">
        <v>44599.486805555556</v>
      </c>
      <c r="B4575">
        <v>5796941</v>
      </c>
      <c r="C4575" t="s">
        <v>7395</v>
      </c>
      <c r="D4575" t="s">
        <v>844</v>
      </c>
      <c r="E4575" s="2">
        <v>43656</v>
      </c>
      <c r="F4575" t="str">
        <f>"9781787566811"</f>
        <v>9781787566811</v>
      </c>
      <c r="G4575" t="str">
        <f>"9781787566804"</f>
        <v>9781787566804</v>
      </c>
      <c r="H4575" t="s">
        <v>900</v>
      </c>
      <c r="I4575">
        <v>337.51056</v>
      </c>
      <c r="J4575" t="s">
        <v>1794</v>
      </c>
      <c r="K4575" t="s">
        <v>44</v>
      </c>
      <c r="N4575" t="s">
        <v>45</v>
      </c>
      <c r="O4575" t="s">
        <v>46</v>
      </c>
      <c r="P4575" t="s">
        <v>45</v>
      </c>
      <c r="Q4575" t="s">
        <v>47</v>
      </c>
      <c r="R4575" t="s">
        <v>44</v>
      </c>
      <c r="S4575">
        <v>0</v>
      </c>
      <c r="W4575" s="3">
        <v>4.5138888888888892E-4</v>
      </c>
      <c r="X4575" t="s">
        <v>9306</v>
      </c>
      <c r="Y4575">
        <v>6</v>
      </c>
      <c r="Z4575">
        <v>0</v>
      </c>
      <c r="AA4575" t="s">
        <v>49</v>
      </c>
      <c r="AB4575">
        <v>0</v>
      </c>
      <c r="AC4575" t="s">
        <v>49</v>
      </c>
      <c r="AD4575">
        <v>0</v>
      </c>
      <c r="AE4575">
        <v>-1</v>
      </c>
      <c r="AF4575" t="s">
        <v>50</v>
      </c>
      <c r="AG4575" t="s">
        <v>9307</v>
      </c>
    </row>
    <row r="4576" spans="1:33" x14ac:dyDescent="0.35">
      <c r="A4576" s="1">
        <v>44599.486805555556</v>
      </c>
      <c r="B4576">
        <v>5796941</v>
      </c>
      <c r="C4576" t="s">
        <v>7395</v>
      </c>
      <c r="D4576" t="s">
        <v>844</v>
      </c>
      <c r="E4576" s="2">
        <v>43656</v>
      </c>
      <c r="F4576" t="str">
        <f>"9781787566811"</f>
        <v>9781787566811</v>
      </c>
      <c r="G4576" t="str">
        <f>"9781787566804"</f>
        <v>9781787566804</v>
      </c>
      <c r="H4576" t="s">
        <v>900</v>
      </c>
      <c r="I4576">
        <v>337.51056</v>
      </c>
      <c r="J4576" t="s">
        <v>1794</v>
      </c>
      <c r="K4576" t="s">
        <v>44</v>
      </c>
      <c r="N4576" t="s">
        <v>45</v>
      </c>
      <c r="O4576" t="s">
        <v>46</v>
      </c>
      <c r="P4576" t="s">
        <v>45</v>
      </c>
      <c r="Q4576" t="s">
        <v>47</v>
      </c>
      <c r="R4576" t="s">
        <v>44</v>
      </c>
      <c r="S4576">
        <v>0</v>
      </c>
      <c r="W4576" s="3">
        <v>9.4907407407407408E-4</v>
      </c>
      <c r="X4576" t="s">
        <v>9308</v>
      </c>
      <c r="Y4576">
        <v>8</v>
      </c>
      <c r="Z4576">
        <v>0</v>
      </c>
      <c r="AA4576" t="s">
        <v>49</v>
      </c>
      <c r="AB4576">
        <v>0</v>
      </c>
      <c r="AC4576" t="s">
        <v>49</v>
      </c>
      <c r="AD4576">
        <v>0</v>
      </c>
      <c r="AE4576">
        <v>-1</v>
      </c>
      <c r="AF4576" t="s">
        <v>50</v>
      </c>
      <c r="AG4576" t="s">
        <v>300</v>
      </c>
    </row>
    <row r="4577" spans="1:33" x14ac:dyDescent="0.35">
      <c r="A4577" s="1">
        <v>44599.486805555556</v>
      </c>
      <c r="B4577">
        <v>5796941</v>
      </c>
      <c r="C4577" t="s">
        <v>7395</v>
      </c>
      <c r="D4577" t="s">
        <v>844</v>
      </c>
      <c r="E4577" s="2">
        <v>43656</v>
      </c>
      <c r="F4577" t="str">
        <f>"9781787566811"</f>
        <v>9781787566811</v>
      </c>
      <c r="G4577" t="str">
        <f>"9781787566804"</f>
        <v>9781787566804</v>
      </c>
      <c r="H4577" t="s">
        <v>900</v>
      </c>
      <c r="I4577">
        <v>337.51056</v>
      </c>
      <c r="J4577" t="s">
        <v>1794</v>
      </c>
      <c r="K4577" t="s">
        <v>44</v>
      </c>
      <c r="N4577" t="s">
        <v>45</v>
      </c>
      <c r="O4577" t="s">
        <v>46</v>
      </c>
      <c r="P4577" t="s">
        <v>45</v>
      </c>
      <c r="Q4577" t="s">
        <v>47</v>
      </c>
      <c r="R4577" t="s">
        <v>44</v>
      </c>
      <c r="S4577">
        <v>0</v>
      </c>
      <c r="W4577" s="3">
        <v>7.5231481481481471E-4</v>
      </c>
      <c r="X4577" t="s">
        <v>9309</v>
      </c>
      <c r="Y4577">
        <v>10</v>
      </c>
      <c r="Z4577">
        <v>0</v>
      </c>
      <c r="AA4577" t="s">
        <v>49</v>
      </c>
      <c r="AB4577">
        <v>0</v>
      </c>
      <c r="AC4577" t="s">
        <v>49</v>
      </c>
      <c r="AD4577">
        <v>0</v>
      </c>
      <c r="AE4577">
        <v>-1</v>
      </c>
      <c r="AF4577" t="s">
        <v>50</v>
      </c>
      <c r="AG4577" t="s">
        <v>8710</v>
      </c>
    </row>
    <row r="4578" spans="1:33" x14ac:dyDescent="0.35">
      <c r="A4578" s="1">
        <v>44599.486805555556</v>
      </c>
      <c r="B4578">
        <v>5796941</v>
      </c>
      <c r="C4578" t="s">
        <v>7395</v>
      </c>
      <c r="D4578" t="s">
        <v>844</v>
      </c>
      <c r="E4578" s="2">
        <v>43656</v>
      </c>
      <c r="F4578" t="str">
        <f>"9781787566811"</f>
        <v>9781787566811</v>
      </c>
      <c r="G4578" t="str">
        <f>"9781787566804"</f>
        <v>9781787566804</v>
      </c>
      <c r="H4578" t="s">
        <v>900</v>
      </c>
      <c r="I4578">
        <v>337.51056</v>
      </c>
      <c r="J4578" t="s">
        <v>1794</v>
      </c>
      <c r="K4578" t="s">
        <v>44</v>
      </c>
      <c r="N4578" t="s">
        <v>45</v>
      </c>
      <c r="O4578" t="s">
        <v>46</v>
      </c>
      <c r="P4578" t="s">
        <v>45</v>
      </c>
      <c r="Q4578" t="s">
        <v>47</v>
      </c>
      <c r="R4578" t="s">
        <v>44</v>
      </c>
      <c r="S4578">
        <v>0</v>
      </c>
      <c r="W4578" s="3">
        <v>8.3333333333333339E-4</v>
      </c>
      <c r="X4578" t="s">
        <v>9310</v>
      </c>
      <c r="Y4578">
        <v>7</v>
      </c>
      <c r="Z4578">
        <v>0</v>
      </c>
      <c r="AA4578" t="s">
        <v>49</v>
      </c>
      <c r="AB4578">
        <v>0</v>
      </c>
      <c r="AC4578" t="s">
        <v>49</v>
      </c>
      <c r="AD4578">
        <v>0</v>
      </c>
      <c r="AE4578">
        <v>-1</v>
      </c>
      <c r="AF4578" t="s">
        <v>50</v>
      </c>
      <c r="AG4578" t="s">
        <v>8710</v>
      </c>
    </row>
    <row r="4579" spans="1:33" x14ac:dyDescent="0.35">
      <c r="A4579" s="1">
        <v>44599.48333333333</v>
      </c>
      <c r="B4579">
        <v>3441577</v>
      </c>
      <c r="C4579" t="s">
        <v>9311</v>
      </c>
      <c r="D4579" t="s">
        <v>1068</v>
      </c>
      <c r="E4579" s="2">
        <v>39318</v>
      </c>
      <c r="F4579" t="str">
        <f>"9780812200553"</f>
        <v>9780812200553</v>
      </c>
      <c r="G4579" t="str">
        <f>"9780812220049"</f>
        <v>9780812220049</v>
      </c>
      <c r="H4579" t="s">
        <v>1046</v>
      </c>
      <c r="I4579">
        <v>305.42072200000001</v>
      </c>
      <c r="K4579" t="s">
        <v>44</v>
      </c>
      <c r="N4579" t="s">
        <v>45</v>
      </c>
      <c r="O4579" t="s">
        <v>46</v>
      </c>
      <c r="P4579" t="s">
        <v>45</v>
      </c>
      <c r="Q4579" t="s">
        <v>47</v>
      </c>
      <c r="R4579" t="s">
        <v>44</v>
      </c>
      <c r="S4579">
        <v>0</v>
      </c>
      <c r="W4579" s="3">
        <v>1.2233796296296296E-2</v>
      </c>
      <c r="X4579" t="s">
        <v>9312</v>
      </c>
      <c r="Y4579">
        <v>23</v>
      </c>
      <c r="Z4579">
        <v>0</v>
      </c>
      <c r="AA4579" t="s">
        <v>49</v>
      </c>
      <c r="AB4579">
        <v>0</v>
      </c>
      <c r="AC4579" t="s">
        <v>49</v>
      </c>
      <c r="AD4579">
        <v>0</v>
      </c>
      <c r="AE4579">
        <v>10492034</v>
      </c>
      <c r="AF4579" t="s">
        <v>50</v>
      </c>
      <c r="AG4579" t="s">
        <v>9045</v>
      </c>
    </row>
    <row r="4580" spans="1:33" x14ac:dyDescent="0.35">
      <c r="A4580" s="1">
        <v>44599.466666666667</v>
      </c>
      <c r="B4580">
        <v>3382454</v>
      </c>
      <c r="C4580" t="s">
        <v>9300</v>
      </c>
      <c r="D4580" t="s">
        <v>9301</v>
      </c>
      <c r="E4580" s="2">
        <v>39753</v>
      </c>
      <c r="F4580" t="str">
        <f>"9781906574376"</f>
        <v>9781906574376</v>
      </c>
      <c r="G4580" t="str">
        <f>"9781906574000"</f>
        <v>9781906574000</v>
      </c>
      <c r="H4580" t="s">
        <v>1040</v>
      </c>
      <c r="J4580" t="s">
        <v>9302</v>
      </c>
      <c r="K4580" t="s">
        <v>44</v>
      </c>
      <c r="N4580" t="s">
        <v>45</v>
      </c>
      <c r="O4580" t="s">
        <v>46</v>
      </c>
      <c r="P4580" t="s">
        <v>45</v>
      </c>
      <c r="Q4580" t="s">
        <v>47</v>
      </c>
      <c r="R4580" t="s">
        <v>44</v>
      </c>
      <c r="S4580">
        <v>1</v>
      </c>
      <c r="W4580" s="3">
        <v>5.5324074074074069E-3</v>
      </c>
      <c r="X4580" t="s">
        <v>9313</v>
      </c>
      <c r="Y4580">
        <v>8</v>
      </c>
      <c r="Z4580">
        <v>0</v>
      </c>
      <c r="AA4580" t="s">
        <v>49</v>
      </c>
      <c r="AB4580">
        <v>0</v>
      </c>
      <c r="AC4580" t="s">
        <v>49</v>
      </c>
      <c r="AD4580">
        <v>0</v>
      </c>
      <c r="AE4580">
        <v>10595614</v>
      </c>
      <c r="AF4580" t="s">
        <v>63</v>
      </c>
      <c r="AG4580" t="s">
        <v>8576</v>
      </c>
    </row>
    <row r="4581" spans="1:33" x14ac:dyDescent="0.35">
      <c r="A4581" s="1">
        <v>44599.46597222222</v>
      </c>
      <c r="B4581">
        <v>3382454</v>
      </c>
      <c r="C4581" t="s">
        <v>9300</v>
      </c>
      <c r="D4581" t="s">
        <v>9301</v>
      </c>
      <c r="E4581" s="2">
        <v>39753</v>
      </c>
      <c r="F4581" t="str">
        <f>"9781906574376"</f>
        <v>9781906574376</v>
      </c>
      <c r="G4581" t="str">
        <f>"9781906574000"</f>
        <v>9781906574000</v>
      </c>
      <c r="H4581" t="s">
        <v>1040</v>
      </c>
      <c r="J4581" t="s">
        <v>9302</v>
      </c>
      <c r="K4581" t="s">
        <v>44</v>
      </c>
      <c r="N4581" t="s">
        <v>45</v>
      </c>
      <c r="O4581" t="s">
        <v>46</v>
      </c>
      <c r="P4581" t="s">
        <v>45</v>
      </c>
      <c r="Q4581" t="s">
        <v>47</v>
      </c>
      <c r="R4581" t="s">
        <v>44</v>
      </c>
      <c r="S4581">
        <v>0</v>
      </c>
      <c r="W4581" s="3">
        <v>8.7962962962962962E-4</v>
      </c>
      <c r="X4581" t="s">
        <v>9314</v>
      </c>
      <c r="Y4581">
        <v>3</v>
      </c>
      <c r="Z4581">
        <v>0</v>
      </c>
      <c r="AA4581" t="s">
        <v>49</v>
      </c>
      <c r="AB4581">
        <v>0</v>
      </c>
      <c r="AC4581" t="s">
        <v>49</v>
      </c>
      <c r="AD4581">
        <v>0</v>
      </c>
      <c r="AE4581">
        <v>10595614</v>
      </c>
      <c r="AF4581" t="s">
        <v>63</v>
      </c>
      <c r="AG4581" t="s">
        <v>8576</v>
      </c>
    </row>
    <row r="4582" spans="1:33" x14ac:dyDescent="0.35">
      <c r="A4582" s="1">
        <v>44599.464583333334</v>
      </c>
      <c r="B4582">
        <v>422777</v>
      </c>
      <c r="C4582" t="s">
        <v>9298</v>
      </c>
      <c r="D4582" t="s">
        <v>125</v>
      </c>
      <c r="E4582" s="2">
        <v>38652</v>
      </c>
      <c r="F4582" t="str">
        <f>"9780191517129"</f>
        <v>9780191517129</v>
      </c>
      <c r="G4582" t="str">
        <f>"9780192805102"</f>
        <v>9780192805102</v>
      </c>
      <c r="H4582" t="s">
        <v>1046</v>
      </c>
      <c r="I4582">
        <v>305.42090000000002</v>
      </c>
      <c r="J4582" t="s">
        <v>9299</v>
      </c>
      <c r="K4582" t="s">
        <v>44</v>
      </c>
      <c r="N4582" t="s">
        <v>45</v>
      </c>
      <c r="O4582" t="s">
        <v>46</v>
      </c>
      <c r="P4582" t="s">
        <v>45</v>
      </c>
      <c r="Q4582" t="s">
        <v>47</v>
      </c>
      <c r="R4582" t="s">
        <v>44</v>
      </c>
      <c r="S4582">
        <v>0</v>
      </c>
      <c r="W4582" s="3">
        <v>1.2708333333333334E-2</v>
      </c>
      <c r="X4582" t="s">
        <v>9315</v>
      </c>
      <c r="Y4582">
        <v>17</v>
      </c>
      <c r="Z4582">
        <v>0</v>
      </c>
      <c r="AA4582" t="s">
        <v>49</v>
      </c>
      <c r="AB4582">
        <v>0</v>
      </c>
      <c r="AC4582" t="s">
        <v>1025</v>
      </c>
      <c r="AD4582">
        <v>1</v>
      </c>
      <c r="AE4582">
        <v>10177926</v>
      </c>
      <c r="AF4582" t="s">
        <v>50</v>
      </c>
      <c r="AG4582" t="s">
        <v>9045</v>
      </c>
    </row>
    <row r="4583" spans="1:33" x14ac:dyDescent="0.35">
      <c r="A4583" s="1">
        <v>44599.447916666664</v>
      </c>
      <c r="B4583">
        <v>4532430</v>
      </c>
      <c r="C4583" t="s">
        <v>9266</v>
      </c>
      <c r="D4583" t="s">
        <v>105</v>
      </c>
      <c r="E4583" s="2">
        <v>42527</v>
      </c>
      <c r="F4583" t="str">
        <f>"9783319291857"</f>
        <v>9783319291857</v>
      </c>
      <c r="G4583" t="str">
        <f>"9783319291833"</f>
        <v>9783319291833</v>
      </c>
      <c r="H4583" t="s">
        <v>9267</v>
      </c>
      <c r="I4583">
        <v>617.95083</v>
      </c>
      <c r="J4583" t="s">
        <v>9268</v>
      </c>
      <c r="K4583" t="s">
        <v>55</v>
      </c>
      <c r="N4583" t="s">
        <v>79</v>
      </c>
      <c r="P4583" t="s">
        <v>80</v>
      </c>
      <c r="Q4583" t="s">
        <v>47</v>
      </c>
      <c r="R4583" t="s">
        <v>44</v>
      </c>
      <c r="S4583">
        <v>4</v>
      </c>
      <c r="T4583">
        <v>60</v>
      </c>
      <c r="U4583" s="1">
        <v>44599.439583333333</v>
      </c>
      <c r="V4583" s="1">
        <v>44659.439583333333</v>
      </c>
      <c r="W4583" s="3">
        <v>0</v>
      </c>
      <c r="X4583" t="s">
        <v>49</v>
      </c>
      <c r="Y4583">
        <v>0</v>
      </c>
      <c r="Z4583">
        <v>1</v>
      </c>
      <c r="AA4583" t="s">
        <v>9316</v>
      </c>
      <c r="AB4583">
        <v>18</v>
      </c>
      <c r="AC4583" t="s">
        <v>49</v>
      </c>
      <c r="AD4583">
        <v>0</v>
      </c>
      <c r="AE4583">
        <v>11214294</v>
      </c>
      <c r="AF4583" t="s">
        <v>63</v>
      </c>
      <c r="AG4583" t="s">
        <v>840</v>
      </c>
    </row>
    <row r="4584" spans="1:33" x14ac:dyDescent="0.35">
      <c r="A4584" s="1">
        <v>44599.447916666664</v>
      </c>
      <c r="B4584">
        <v>4532430</v>
      </c>
      <c r="C4584" t="s">
        <v>9266</v>
      </c>
      <c r="D4584" t="s">
        <v>105</v>
      </c>
      <c r="E4584" s="2">
        <v>42527</v>
      </c>
      <c r="F4584" t="str">
        <f>"9783319291857"</f>
        <v>9783319291857</v>
      </c>
      <c r="G4584" t="str">
        <f>"9783319291833"</f>
        <v>9783319291833</v>
      </c>
      <c r="H4584" t="s">
        <v>9267</v>
      </c>
      <c r="I4584">
        <v>617.95083</v>
      </c>
      <c r="J4584" t="s">
        <v>9268</v>
      </c>
      <c r="K4584" t="s">
        <v>55</v>
      </c>
      <c r="N4584" t="s">
        <v>79</v>
      </c>
      <c r="P4584" t="s">
        <v>80</v>
      </c>
      <c r="Q4584" t="s">
        <v>47</v>
      </c>
      <c r="R4584" t="s">
        <v>44</v>
      </c>
      <c r="S4584">
        <v>0</v>
      </c>
      <c r="W4584" s="3">
        <v>1.1574074074074073E-5</v>
      </c>
      <c r="X4584" t="s">
        <v>49</v>
      </c>
      <c r="Y4584">
        <v>0</v>
      </c>
      <c r="Z4584">
        <v>12</v>
      </c>
      <c r="AA4584" t="s">
        <v>9317</v>
      </c>
      <c r="AB4584">
        <v>119</v>
      </c>
      <c r="AC4584" t="s">
        <v>49</v>
      </c>
      <c r="AD4584">
        <v>0</v>
      </c>
      <c r="AE4584">
        <v>11214294</v>
      </c>
      <c r="AF4584" t="s">
        <v>63</v>
      </c>
      <c r="AG4584" t="s">
        <v>9307</v>
      </c>
    </row>
    <row r="4585" spans="1:33" x14ac:dyDescent="0.35">
      <c r="A4585" s="1">
        <v>44599.439583333333</v>
      </c>
      <c r="B4585">
        <v>4532430</v>
      </c>
      <c r="C4585" t="s">
        <v>9266</v>
      </c>
      <c r="D4585" t="s">
        <v>105</v>
      </c>
      <c r="E4585" s="2">
        <v>42527</v>
      </c>
      <c r="F4585" t="str">
        <f>"9783319291857"</f>
        <v>9783319291857</v>
      </c>
      <c r="G4585" t="str">
        <f>"9783319291833"</f>
        <v>9783319291833</v>
      </c>
      <c r="H4585" t="s">
        <v>9267</v>
      </c>
      <c r="I4585">
        <v>617.95083</v>
      </c>
      <c r="J4585" t="s">
        <v>9268</v>
      </c>
      <c r="K4585" t="s">
        <v>55</v>
      </c>
      <c r="N4585" t="s">
        <v>79</v>
      </c>
      <c r="P4585" t="s">
        <v>80</v>
      </c>
      <c r="Q4585" t="s">
        <v>47</v>
      </c>
      <c r="R4585" t="s">
        <v>44</v>
      </c>
      <c r="S4585">
        <v>1</v>
      </c>
      <c r="T4585">
        <v>60</v>
      </c>
      <c r="U4585" s="1">
        <v>44599.439583333333</v>
      </c>
      <c r="V4585" s="1">
        <v>44659.439583333333</v>
      </c>
      <c r="W4585" s="3">
        <v>0</v>
      </c>
      <c r="X4585" t="s">
        <v>49</v>
      </c>
      <c r="Y4585">
        <v>0</v>
      </c>
      <c r="Z4585">
        <v>0</v>
      </c>
      <c r="AA4585" t="s">
        <v>49</v>
      </c>
      <c r="AB4585">
        <v>0</v>
      </c>
      <c r="AC4585" t="s">
        <v>49</v>
      </c>
      <c r="AD4585">
        <v>0</v>
      </c>
      <c r="AE4585">
        <v>11214294</v>
      </c>
      <c r="AF4585" t="s">
        <v>63</v>
      </c>
      <c r="AG4585" t="s">
        <v>9307</v>
      </c>
    </row>
    <row r="4586" spans="1:33" x14ac:dyDescent="0.35">
      <c r="A4586" s="1">
        <v>44599.416666666664</v>
      </c>
      <c r="B4586">
        <v>1816432</v>
      </c>
      <c r="C4586" t="s">
        <v>9318</v>
      </c>
      <c r="D4586" t="s">
        <v>125</v>
      </c>
      <c r="E4586" s="2">
        <v>42085</v>
      </c>
      <c r="F4586" t="str">
        <f>"9780191651397"</f>
        <v>9780191651397</v>
      </c>
      <c r="G4586" t="str">
        <f>"9780199671618"</f>
        <v>9780199671618</v>
      </c>
      <c r="H4586" t="s">
        <v>147</v>
      </c>
      <c r="I4586">
        <v>616.83075480000002</v>
      </c>
      <c r="J4586" t="s">
        <v>9319</v>
      </c>
      <c r="K4586" t="s">
        <v>44</v>
      </c>
      <c r="N4586" t="s">
        <v>45</v>
      </c>
      <c r="O4586" t="s">
        <v>46</v>
      </c>
      <c r="P4586" t="s">
        <v>45</v>
      </c>
      <c r="Q4586" t="s">
        <v>47</v>
      </c>
      <c r="R4586" t="s">
        <v>44</v>
      </c>
      <c r="S4586">
        <v>0</v>
      </c>
      <c r="W4586" s="3">
        <v>1.9328703703703704E-3</v>
      </c>
      <c r="X4586" t="s">
        <v>9320</v>
      </c>
      <c r="Y4586">
        <v>4</v>
      </c>
      <c r="Z4586">
        <v>0</v>
      </c>
      <c r="AA4586" t="s">
        <v>49</v>
      </c>
      <c r="AB4586">
        <v>0</v>
      </c>
      <c r="AC4586" t="s">
        <v>49</v>
      </c>
      <c r="AD4586">
        <v>0</v>
      </c>
      <c r="AE4586">
        <v>10954059</v>
      </c>
      <c r="AF4586" t="s">
        <v>50</v>
      </c>
      <c r="AG4586" t="s">
        <v>8710</v>
      </c>
    </row>
    <row r="4587" spans="1:33" x14ac:dyDescent="0.35">
      <c r="A4587" s="1">
        <v>44599.401388888888</v>
      </c>
      <c r="B4587">
        <v>882731</v>
      </c>
      <c r="C4587" t="s">
        <v>8947</v>
      </c>
      <c r="D4587" t="s">
        <v>59</v>
      </c>
      <c r="E4587" s="2">
        <v>40973</v>
      </c>
      <c r="F4587" t="str">
        <f>"9781444355857"</f>
        <v>9781444355857</v>
      </c>
      <c r="G4587" t="str">
        <f>"9781444332872"</f>
        <v>9781444332872</v>
      </c>
      <c r="H4587" t="s">
        <v>8948</v>
      </c>
      <c r="I4587">
        <v>175</v>
      </c>
      <c r="J4587" t="s">
        <v>8949</v>
      </c>
      <c r="K4587" t="s">
        <v>44</v>
      </c>
      <c r="N4587" t="s">
        <v>45</v>
      </c>
      <c r="O4587" t="s">
        <v>46</v>
      </c>
      <c r="P4587" t="s">
        <v>45</v>
      </c>
      <c r="Q4587" t="s">
        <v>47</v>
      </c>
      <c r="R4587" t="s">
        <v>44</v>
      </c>
      <c r="S4587">
        <v>0</v>
      </c>
      <c r="W4587" s="3">
        <v>2.1307870370370369E-2</v>
      </c>
      <c r="X4587" t="s">
        <v>2424</v>
      </c>
      <c r="Y4587">
        <v>5</v>
      </c>
      <c r="Z4587">
        <v>0</v>
      </c>
      <c r="AA4587" t="s">
        <v>49</v>
      </c>
      <c r="AB4587">
        <v>0</v>
      </c>
      <c r="AC4587" t="s">
        <v>49</v>
      </c>
      <c r="AD4587">
        <v>0</v>
      </c>
      <c r="AE4587">
        <v>10630487</v>
      </c>
      <c r="AF4587" t="s">
        <v>50</v>
      </c>
      <c r="AG4587" t="s">
        <v>8710</v>
      </c>
    </row>
    <row r="4588" spans="1:33" x14ac:dyDescent="0.35">
      <c r="A4588" s="1">
        <v>44599.054166666669</v>
      </c>
      <c r="B4588">
        <v>882731</v>
      </c>
      <c r="C4588" t="s">
        <v>8947</v>
      </c>
      <c r="D4588" t="s">
        <v>59</v>
      </c>
      <c r="E4588" s="2">
        <v>40973</v>
      </c>
      <c r="F4588" t="str">
        <f>"9781444355857"</f>
        <v>9781444355857</v>
      </c>
      <c r="G4588" t="str">
        <f>"9781444332872"</f>
        <v>9781444332872</v>
      </c>
      <c r="H4588" t="s">
        <v>8948</v>
      </c>
      <c r="I4588">
        <v>175</v>
      </c>
      <c r="J4588" t="s">
        <v>8949</v>
      </c>
      <c r="K4588" t="s">
        <v>44</v>
      </c>
      <c r="N4588" t="s">
        <v>45</v>
      </c>
      <c r="O4588" t="s">
        <v>46</v>
      </c>
      <c r="P4588" t="s">
        <v>45</v>
      </c>
      <c r="Q4588" t="s">
        <v>47</v>
      </c>
      <c r="R4588" t="s">
        <v>44</v>
      </c>
      <c r="S4588">
        <v>0</v>
      </c>
      <c r="W4588" s="3">
        <v>4.7453703703703704E-4</v>
      </c>
      <c r="X4588" t="s">
        <v>56</v>
      </c>
      <c r="Y4588">
        <v>3</v>
      </c>
      <c r="Z4588">
        <v>0</v>
      </c>
      <c r="AA4588" t="s">
        <v>49</v>
      </c>
      <c r="AB4588">
        <v>0</v>
      </c>
      <c r="AC4588" t="s">
        <v>49</v>
      </c>
      <c r="AD4588">
        <v>0</v>
      </c>
      <c r="AE4588">
        <v>10630487</v>
      </c>
      <c r="AF4588" t="s">
        <v>50</v>
      </c>
      <c r="AG4588" t="s">
        <v>9321</v>
      </c>
    </row>
    <row r="4589" spans="1:33" x14ac:dyDescent="0.35">
      <c r="A4589" s="1">
        <v>44599.009722222225</v>
      </c>
      <c r="B4589">
        <v>1883961</v>
      </c>
      <c r="C4589" t="s">
        <v>8595</v>
      </c>
      <c r="D4589" t="s">
        <v>59</v>
      </c>
      <c r="E4589" s="2">
        <v>42114</v>
      </c>
      <c r="F4589" t="str">
        <f>"9783527673346"</f>
        <v>9783527673346</v>
      </c>
      <c r="G4589" t="str">
        <f>"9783527335534"</f>
        <v>9783527335534</v>
      </c>
      <c r="H4589" t="s">
        <v>8596</v>
      </c>
      <c r="I4589">
        <v>621.38152000000002</v>
      </c>
      <c r="J4589" t="s">
        <v>8597</v>
      </c>
      <c r="K4589" t="s">
        <v>44</v>
      </c>
      <c r="N4589" t="s">
        <v>45</v>
      </c>
      <c r="O4589" t="s">
        <v>46</v>
      </c>
      <c r="P4589" t="s">
        <v>45</v>
      </c>
      <c r="Q4589" t="s">
        <v>47</v>
      </c>
      <c r="R4589" t="s">
        <v>44</v>
      </c>
      <c r="S4589">
        <v>2</v>
      </c>
      <c r="W4589" s="3">
        <v>7.5231481481481471E-4</v>
      </c>
      <c r="X4589" t="s">
        <v>9322</v>
      </c>
      <c r="Y4589">
        <v>11</v>
      </c>
      <c r="Z4589">
        <v>0</v>
      </c>
      <c r="AA4589" t="s">
        <v>49</v>
      </c>
      <c r="AB4589">
        <v>0</v>
      </c>
      <c r="AC4589" t="s">
        <v>49</v>
      </c>
      <c r="AD4589">
        <v>0</v>
      </c>
      <c r="AE4589">
        <v>10993870</v>
      </c>
      <c r="AF4589" t="s">
        <v>63</v>
      </c>
      <c r="AG4589" t="s">
        <v>8799</v>
      </c>
    </row>
    <row r="4590" spans="1:33" x14ac:dyDescent="0.35">
      <c r="A4590" s="1">
        <v>44598.953472222223</v>
      </c>
      <c r="B4590">
        <v>3445112</v>
      </c>
      <c r="C4590" t="s">
        <v>9323</v>
      </c>
      <c r="D4590" t="s">
        <v>9324</v>
      </c>
      <c r="E4590" s="2">
        <v>36060</v>
      </c>
      <c r="F4590" t="str">
        <f>"9780299158934"</f>
        <v>9780299158934</v>
      </c>
      <c r="G4590" t="str">
        <f>"9780299158941"</f>
        <v>9780299158941</v>
      </c>
      <c r="H4590" t="s">
        <v>1046</v>
      </c>
      <c r="I4590">
        <v>306</v>
      </c>
      <c r="J4590" t="s">
        <v>9325</v>
      </c>
      <c r="K4590" t="s">
        <v>44</v>
      </c>
      <c r="N4590" t="s">
        <v>45</v>
      </c>
      <c r="O4590" t="s">
        <v>46</v>
      </c>
      <c r="P4590" t="s">
        <v>45</v>
      </c>
      <c r="Q4590" t="s">
        <v>47</v>
      </c>
      <c r="R4590" t="s">
        <v>44</v>
      </c>
      <c r="S4590">
        <v>0</v>
      </c>
      <c r="W4590" s="3">
        <v>2.0486111111111111E-2</v>
      </c>
      <c r="X4590" t="s">
        <v>9326</v>
      </c>
      <c r="Y4590">
        <v>32</v>
      </c>
      <c r="Z4590">
        <v>0</v>
      </c>
      <c r="AA4590" t="s">
        <v>49</v>
      </c>
      <c r="AB4590">
        <v>0</v>
      </c>
      <c r="AC4590" t="s">
        <v>49</v>
      </c>
      <c r="AD4590">
        <v>0</v>
      </c>
      <c r="AE4590">
        <v>10417074</v>
      </c>
      <c r="AF4590" t="s">
        <v>50</v>
      </c>
      <c r="AG4590" t="s">
        <v>8576</v>
      </c>
    </row>
    <row r="4591" spans="1:33" x14ac:dyDescent="0.35">
      <c r="A4591" s="1">
        <v>44598.94027777778</v>
      </c>
      <c r="B4591">
        <v>200711</v>
      </c>
      <c r="C4591" t="s">
        <v>9283</v>
      </c>
      <c r="D4591" t="s">
        <v>76</v>
      </c>
      <c r="E4591" s="2">
        <v>38324</v>
      </c>
      <c r="F4591" t="str">
        <f>"9780203446317"</f>
        <v>9780203446317</v>
      </c>
      <c r="G4591" t="str">
        <f>"9780415338677"</f>
        <v>9780415338677</v>
      </c>
      <c r="H4591" t="s">
        <v>1046</v>
      </c>
      <c r="I4591">
        <v>306</v>
      </c>
      <c r="J4591" t="s">
        <v>9284</v>
      </c>
      <c r="K4591" t="s">
        <v>44</v>
      </c>
      <c r="N4591" t="s">
        <v>45</v>
      </c>
      <c r="O4591" t="s">
        <v>46</v>
      </c>
      <c r="P4591" t="s">
        <v>45</v>
      </c>
      <c r="Q4591" t="s">
        <v>47</v>
      </c>
      <c r="R4591" t="s">
        <v>44</v>
      </c>
      <c r="S4591">
        <v>0</v>
      </c>
      <c r="W4591" s="3">
        <v>1.1990740740740739E-2</v>
      </c>
      <c r="X4591" t="s">
        <v>9327</v>
      </c>
      <c r="Y4591">
        <v>28</v>
      </c>
      <c r="Z4591">
        <v>0</v>
      </c>
      <c r="AA4591" t="s">
        <v>49</v>
      </c>
      <c r="AB4591">
        <v>0</v>
      </c>
      <c r="AC4591" t="s">
        <v>49</v>
      </c>
      <c r="AD4591">
        <v>0</v>
      </c>
      <c r="AE4591">
        <v>10402193</v>
      </c>
      <c r="AF4591" t="s">
        <v>50</v>
      </c>
      <c r="AG4591" t="s">
        <v>2128</v>
      </c>
    </row>
    <row r="4592" spans="1:33" x14ac:dyDescent="0.35">
      <c r="A4592" s="1">
        <v>44598.884722222225</v>
      </c>
      <c r="B4592">
        <v>200711</v>
      </c>
      <c r="C4592" t="s">
        <v>9283</v>
      </c>
      <c r="D4592" t="s">
        <v>76</v>
      </c>
      <c r="E4592" s="2">
        <v>38324</v>
      </c>
      <c r="F4592" t="str">
        <f>"9780203446317"</f>
        <v>9780203446317</v>
      </c>
      <c r="G4592" t="str">
        <f>"9780415338677"</f>
        <v>9780415338677</v>
      </c>
      <c r="H4592" t="s">
        <v>1046</v>
      </c>
      <c r="I4592">
        <v>306</v>
      </c>
      <c r="J4592" t="s">
        <v>9284</v>
      </c>
      <c r="K4592" t="s">
        <v>44</v>
      </c>
      <c r="N4592" t="s">
        <v>45</v>
      </c>
      <c r="O4592" t="s">
        <v>46</v>
      </c>
      <c r="P4592" t="s">
        <v>45</v>
      </c>
      <c r="Q4592" t="s">
        <v>47</v>
      </c>
      <c r="R4592" t="s">
        <v>44</v>
      </c>
      <c r="S4592">
        <v>0</v>
      </c>
      <c r="W4592" s="3">
        <v>1.7476851851851851E-2</v>
      </c>
      <c r="X4592" t="s">
        <v>9328</v>
      </c>
      <c r="Y4592">
        <v>30</v>
      </c>
      <c r="Z4592">
        <v>0</v>
      </c>
      <c r="AA4592" t="s">
        <v>49</v>
      </c>
      <c r="AB4592">
        <v>0</v>
      </c>
      <c r="AC4592" t="s">
        <v>49</v>
      </c>
      <c r="AD4592">
        <v>0</v>
      </c>
      <c r="AE4592">
        <v>10402193</v>
      </c>
      <c r="AF4592" t="s">
        <v>50</v>
      </c>
      <c r="AG4592" t="s">
        <v>2128</v>
      </c>
    </row>
    <row r="4593" spans="1:33" x14ac:dyDescent="0.35">
      <c r="A4593" s="1">
        <v>44598.811111111114</v>
      </c>
      <c r="B4593">
        <v>5796941</v>
      </c>
      <c r="C4593" t="s">
        <v>7395</v>
      </c>
      <c r="D4593" t="s">
        <v>844</v>
      </c>
      <c r="E4593" s="2">
        <v>43656</v>
      </c>
      <c r="F4593" t="str">
        <f>"9781787566811"</f>
        <v>9781787566811</v>
      </c>
      <c r="G4593" t="str">
        <f>"9781787566804"</f>
        <v>9781787566804</v>
      </c>
      <c r="H4593" t="s">
        <v>900</v>
      </c>
      <c r="I4593">
        <v>337.51056</v>
      </c>
      <c r="J4593" t="s">
        <v>1794</v>
      </c>
      <c r="K4593" t="s">
        <v>44</v>
      </c>
      <c r="N4593" t="s">
        <v>45</v>
      </c>
      <c r="O4593" t="s">
        <v>46</v>
      </c>
      <c r="P4593" t="s">
        <v>45</v>
      </c>
      <c r="Q4593" t="s">
        <v>47</v>
      </c>
      <c r="R4593" t="s">
        <v>44</v>
      </c>
      <c r="S4593">
        <v>0</v>
      </c>
      <c r="W4593" s="3">
        <v>7.6736111111111111E-3</v>
      </c>
      <c r="X4593" t="s">
        <v>9329</v>
      </c>
      <c r="Y4593">
        <v>17</v>
      </c>
      <c r="Z4593">
        <v>0</v>
      </c>
      <c r="AA4593" t="s">
        <v>49</v>
      </c>
      <c r="AB4593">
        <v>0</v>
      </c>
      <c r="AC4593" t="s">
        <v>1841</v>
      </c>
      <c r="AD4593">
        <v>1</v>
      </c>
      <c r="AE4593">
        <v>-1</v>
      </c>
      <c r="AF4593" t="s">
        <v>50</v>
      </c>
      <c r="AG4593" t="s">
        <v>8710</v>
      </c>
    </row>
    <row r="4594" spans="1:33" x14ac:dyDescent="0.35">
      <c r="A4594" s="1">
        <v>44598.762499999997</v>
      </c>
      <c r="B4594">
        <v>200711</v>
      </c>
      <c r="C4594" t="s">
        <v>9283</v>
      </c>
      <c r="D4594" t="s">
        <v>76</v>
      </c>
      <c r="E4594" s="2">
        <v>38324</v>
      </c>
      <c r="F4594" t="str">
        <f>"9780203446317"</f>
        <v>9780203446317</v>
      </c>
      <c r="G4594" t="str">
        <f>"9780415338677"</f>
        <v>9780415338677</v>
      </c>
      <c r="H4594" t="s">
        <v>1046</v>
      </c>
      <c r="I4594">
        <v>306</v>
      </c>
      <c r="J4594" t="s">
        <v>9284</v>
      </c>
      <c r="K4594" t="s">
        <v>44</v>
      </c>
      <c r="N4594" t="s">
        <v>45</v>
      </c>
      <c r="O4594" t="s">
        <v>46</v>
      </c>
      <c r="P4594" t="s">
        <v>45</v>
      </c>
      <c r="Q4594" t="s">
        <v>47</v>
      </c>
      <c r="R4594" t="s">
        <v>44</v>
      </c>
      <c r="S4594">
        <v>0</v>
      </c>
      <c r="W4594" s="3">
        <v>1.2534722222222223E-2</v>
      </c>
      <c r="X4594" t="s">
        <v>9330</v>
      </c>
      <c r="Y4594">
        <v>23</v>
      </c>
      <c r="Z4594">
        <v>0</v>
      </c>
      <c r="AA4594" t="s">
        <v>49</v>
      </c>
      <c r="AB4594">
        <v>0</v>
      </c>
      <c r="AC4594" t="s">
        <v>49</v>
      </c>
      <c r="AD4594">
        <v>0</v>
      </c>
      <c r="AE4594">
        <v>10402193</v>
      </c>
      <c r="AF4594" t="s">
        <v>50</v>
      </c>
      <c r="AG4594" t="s">
        <v>2128</v>
      </c>
    </row>
    <row r="4595" spans="1:33" x14ac:dyDescent="0.35">
      <c r="A4595" s="1">
        <v>44598.755555555559</v>
      </c>
      <c r="B4595">
        <v>5796941</v>
      </c>
      <c r="C4595" t="s">
        <v>7395</v>
      </c>
      <c r="D4595" t="s">
        <v>844</v>
      </c>
      <c r="E4595" s="2">
        <v>43656</v>
      </c>
      <c r="F4595" t="str">
        <f>"9781787566811"</f>
        <v>9781787566811</v>
      </c>
      <c r="G4595" t="str">
        <f>"9781787566804"</f>
        <v>9781787566804</v>
      </c>
      <c r="H4595" t="s">
        <v>900</v>
      </c>
      <c r="I4595">
        <v>337.51056</v>
      </c>
      <c r="J4595" t="s">
        <v>1794</v>
      </c>
      <c r="K4595" t="s">
        <v>44</v>
      </c>
      <c r="N4595" t="s">
        <v>45</v>
      </c>
      <c r="O4595" t="s">
        <v>46</v>
      </c>
      <c r="P4595" t="s">
        <v>45</v>
      </c>
      <c r="Q4595" t="s">
        <v>47</v>
      </c>
      <c r="R4595" t="s">
        <v>44</v>
      </c>
      <c r="S4595">
        <v>0</v>
      </c>
      <c r="W4595" s="3">
        <v>1.4120370370370369E-3</v>
      </c>
      <c r="X4595" t="s">
        <v>9331</v>
      </c>
      <c r="Y4595">
        <v>18</v>
      </c>
      <c r="Z4595">
        <v>0</v>
      </c>
      <c r="AA4595" t="s">
        <v>49</v>
      </c>
      <c r="AB4595">
        <v>0</v>
      </c>
      <c r="AC4595" t="s">
        <v>49</v>
      </c>
      <c r="AD4595">
        <v>0</v>
      </c>
      <c r="AE4595">
        <v>-1</v>
      </c>
      <c r="AF4595" t="s">
        <v>50</v>
      </c>
      <c r="AG4595" t="s">
        <v>8710</v>
      </c>
    </row>
    <row r="4596" spans="1:33" x14ac:dyDescent="0.35">
      <c r="A4596" s="1">
        <v>44598.729166666664</v>
      </c>
      <c r="B4596">
        <v>1699226</v>
      </c>
      <c r="C4596" t="s">
        <v>6670</v>
      </c>
      <c r="D4596" t="s">
        <v>6671</v>
      </c>
      <c r="E4596" s="2">
        <v>41780</v>
      </c>
      <c r="F4596" t="str">
        <f>"9780739179079"</f>
        <v>9780739179079</v>
      </c>
      <c r="G4596" t="str">
        <f>"9780739179062"</f>
        <v>9780739179062</v>
      </c>
      <c r="H4596" t="s">
        <v>162</v>
      </c>
      <c r="I4596">
        <v>297.08199999999999</v>
      </c>
      <c r="J4596" t="s">
        <v>6672</v>
      </c>
      <c r="K4596" t="s">
        <v>44</v>
      </c>
      <c r="N4596" t="s">
        <v>45</v>
      </c>
      <c r="O4596" t="s">
        <v>46</v>
      </c>
      <c r="P4596" t="s">
        <v>45</v>
      </c>
      <c r="Q4596" t="s">
        <v>47</v>
      </c>
      <c r="R4596" t="s">
        <v>44</v>
      </c>
      <c r="S4596">
        <v>0</v>
      </c>
      <c r="W4596" s="3">
        <v>7.5231481481481477E-3</v>
      </c>
      <c r="X4596" t="s">
        <v>9332</v>
      </c>
      <c r="Y4596">
        <v>8</v>
      </c>
      <c r="Z4596">
        <v>0</v>
      </c>
      <c r="AA4596" t="s">
        <v>49</v>
      </c>
      <c r="AB4596">
        <v>0</v>
      </c>
      <c r="AC4596" t="s">
        <v>49</v>
      </c>
      <c r="AD4596">
        <v>0</v>
      </c>
      <c r="AE4596">
        <v>10878893</v>
      </c>
      <c r="AF4596" t="s">
        <v>50</v>
      </c>
      <c r="AG4596" t="s">
        <v>9307</v>
      </c>
    </row>
    <row r="4597" spans="1:33" x14ac:dyDescent="0.35">
      <c r="A4597" s="1">
        <v>44598.729166666664</v>
      </c>
      <c r="B4597">
        <v>4396580</v>
      </c>
      <c r="C4597" t="s">
        <v>8855</v>
      </c>
      <c r="D4597" t="s">
        <v>645</v>
      </c>
      <c r="E4597" s="2">
        <v>42278</v>
      </c>
      <c r="F4597" t="str">
        <f>"9781438457949"</f>
        <v>9781438457949</v>
      </c>
      <c r="G4597" t="str">
        <f>"9781438457932"</f>
        <v>9781438457932</v>
      </c>
      <c r="H4597" t="s">
        <v>1046</v>
      </c>
      <c r="I4597" t="s">
        <v>8856</v>
      </c>
      <c r="K4597" t="s">
        <v>44</v>
      </c>
      <c r="N4597" t="s">
        <v>45</v>
      </c>
      <c r="O4597" t="s">
        <v>46</v>
      </c>
      <c r="P4597" t="s">
        <v>45</v>
      </c>
      <c r="Q4597" t="s">
        <v>47</v>
      </c>
      <c r="R4597" t="s">
        <v>44</v>
      </c>
      <c r="S4597">
        <v>0</v>
      </c>
      <c r="W4597" s="3">
        <v>6.7476851851851856E-3</v>
      </c>
      <c r="X4597" t="s">
        <v>9333</v>
      </c>
      <c r="Y4597">
        <v>29</v>
      </c>
      <c r="Z4597">
        <v>0</v>
      </c>
      <c r="AA4597" t="s">
        <v>49</v>
      </c>
      <c r="AB4597">
        <v>0</v>
      </c>
      <c r="AC4597" t="s">
        <v>9334</v>
      </c>
      <c r="AD4597">
        <v>1</v>
      </c>
      <c r="AE4597">
        <v>11155585</v>
      </c>
      <c r="AF4597" t="s">
        <v>50</v>
      </c>
      <c r="AG4597" t="s">
        <v>9307</v>
      </c>
    </row>
    <row r="4598" spans="1:33" x14ac:dyDescent="0.35">
      <c r="A4598" s="1">
        <v>44598.728472222225</v>
      </c>
      <c r="B4598">
        <v>776553</v>
      </c>
      <c r="C4598" t="s">
        <v>6652</v>
      </c>
      <c r="D4598" t="s">
        <v>2754</v>
      </c>
      <c r="E4598" s="2">
        <v>40729</v>
      </c>
      <c r="F4598" t="str">
        <f>"9780816678327"</f>
        <v>9780816678327</v>
      </c>
      <c r="G4598" t="str">
        <f>"9780816651344"</f>
        <v>9780816651344</v>
      </c>
      <c r="H4598" t="s">
        <v>1046</v>
      </c>
      <c r="I4598">
        <v>305.42096400000003</v>
      </c>
      <c r="J4598" t="s">
        <v>6653</v>
      </c>
      <c r="K4598" t="s">
        <v>44</v>
      </c>
      <c r="N4598" t="s">
        <v>45</v>
      </c>
      <c r="O4598" t="s">
        <v>46</v>
      </c>
      <c r="P4598" t="s">
        <v>45</v>
      </c>
      <c r="Q4598" t="s">
        <v>47</v>
      </c>
      <c r="R4598" t="s">
        <v>44</v>
      </c>
      <c r="S4598">
        <v>0</v>
      </c>
      <c r="W4598" s="3">
        <v>1.8518518518518518E-4</v>
      </c>
      <c r="X4598" t="s">
        <v>205</v>
      </c>
      <c r="Y4598">
        <v>2</v>
      </c>
      <c r="Z4598">
        <v>0</v>
      </c>
      <c r="AA4598" t="s">
        <v>49</v>
      </c>
      <c r="AB4598">
        <v>0</v>
      </c>
      <c r="AC4598" t="s">
        <v>49</v>
      </c>
      <c r="AD4598">
        <v>0</v>
      </c>
      <c r="AE4598">
        <v>10500268</v>
      </c>
      <c r="AF4598" t="s">
        <v>50</v>
      </c>
      <c r="AG4598" t="s">
        <v>9307</v>
      </c>
    </row>
    <row r="4599" spans="1:33" x14ac:dyDescent="0.35">
      <c r="A4599" s="1">
        <v>44598.618750000001</v>
      </c>
      <c r="B4599">
        <v>4914179</v>
      </c>
      <c r="C4599" t="s">
        <v>7239</v>
      </c>
      <c r="D4599" t="s">
        <v>59</v>
      </c>
      <c r="E4599" s="2">
        <v>42961</v>
      </c>
      <c r="F4599" t="str">
        <f>"9781119420705"</f>
        <v>9781119420705</v>
      </c>
      <c r="G4599" t="str">
        <f>"9781118116173"</f>
        <v>9781118116173</v>
      </c>
      <c r="H4599" t="s">
        <v>6624</v>
      </c>
      <c r="I4599">
        <v>6.22</v>
      </c>
      <c r="J4599" t="s">
        <v>7240</v>
      </c>
      <c r="K4599" t="s">
        <v>44</v>
      </c>
      <c r="N4599" t="s">
        <v>45</v>
      </c>
      <c r="O4599" t="s">
        <v>46</v>
      </c>
      <c r="P4599" t="s">
        <v>45</v>
      </c>
      <c r="Q4599" t="s">
        <v>47</v>
      </c>
      <c r="R4599" t="s">
        <v>44</v>
      </c>
      <c r="S4599">
        <v>0</v>
      </c>
      <c r="W4599" s="3">
        <v>9.0740740740740729E-3</v>
      </c>
      <c r="X4599" t="s">
        <v>9335</v>
      </c>
      <c r="Y4599">
        <v>18</v>
      </c>
      <c r="Z4599">
        <v>0</v>
      </c>
      <c r="AA4599" t="s">
        <v>49</v>
      </c>
      <c r="AB4599">
        <v>0</v>
      </c>
      <c r="AC4599" t="s">
        <v>49</v>
      </c>
      <c r="AD4599">
        <v>0</v>
      </c>
      <c r="AE4599">
        <v>11412425</v>
      </c>
      <c r="AF4599" t="s">
        <v>50</v>
      </c>
      <c r="AG4599" t="s">
        <v>8710</v>
      </c>
    </row>
    <row r="4600" spans="1:33" x14ac:dyDescent="0.35">
      <c r="A4600" s="1">
        <v>44598.513194444444</v>
      </c>
      <c r="B4600">
        <v>4043002</v>
      </c>
      <c r="C4600" t="s">
        <v>7814</v>
      </c>
      <c r="D4600" t="s">
        <v>59</v>
      </c>
      <c r="E4600" s="2">
        <v>42388</v>
      </c>
      <c r="F4600" t="str">
        <f>"9781119045076"</f>
        <v>9781119045076</v>
      </c>
      <c r="G4600" t="str">
        <f>"9781119045069"</f>
        <v>9781119045069</v>
      </c>
      <c r="H4600" t="s">
        <v>1046</v>
      </c>
      <c r="I4600" t="s">
        <v>3427</v>
      </c>
      <c r="J4600" t="s">
        <v>7815</v>
      </c>
      <c r="K4600" t="s">
        <v>44</v>
      </c>
      <c r="N4600" t="s">
        <v>45</v>
      </c>
      <c r="O4600" t="s">
        <v>46</v>
      </c>
      <c r="P4600" t="s">
        <v>45</v>
      </c>
      <c r="Q4600" t="s">
        <v>47</v>
      </c>
      <c r="R4600" t="s">
        <v>44</v>
      </c>
      <c r="S4600">
        <v>0</v>
      </c>
      <c r="W4600" s="3">
        <v>2.199074074074074E-4</v>
      </c>
      <c r="X4600" t="s">
        <v>9336</v>
      </c>
      <c r="Y4600">
        <v>8</v>
      </c>
      <c r="Z4600">
        <v>0</v>
      </c>
      <c r="AA4600" t="s">
        <v>49</v>
      </c>
      <c r="AB4600">
        <v>0</v>
      </c>
      <c r="AC4600" t="s">
        <v>49</v>
      </c>
      <c r="AD4600">
        <v>0</v>
      </c>
      <c r="AE4600">
        <v>11115179</v>
      </c>
      <c r="AF4600" t="s">
        <v>50</v>
      </c>
      <c r="AG4600" t="s">
        <v>9307</v>
      </c>
    </row>
    <row r="4601" spans="1:33" x14ac:dyDescent="0.35">
      <c r="A4601" s="1">
        <v>44598.468055555553</v>
      </c>
      <c r="B4601">
        <v>882731</v>
      </c>
      <c r="C4601" t="s">
        <v>8947</v>
      </c>
      <c r="D4601" t="s">
        <v>59</v>
      </c>
      <c r="E4601" s="2">
        <v>40973</v>
      </c>
      <c r="F4601" t="str">
        <f>"9781444355857"</f>
        <v>9781444355857</v>
      </c>
      <c r="G4601" t="str">
        <f>"9781444332872"</f>
        <v>9781444332872</v>
      </c>
      <c r="H4601" t="s">
        <v>8948</v>
      </c>
      <c r="I4601">
        <v>175</v>
      </c>
      <c r="J4601" t="s">
        <v>8949</v>
      </c>
      <c r="K4601" t="s">
        <v>44</v>
      </c>
      <c r="N4601" t="s">
        <v>45</v>
      </c>
      <c r="O4601" t="s">
        <v>46</v>
      </c>
      <c r="P4601" t="s">
        <v>45</v>
      </c>
      <c r="Q4601" t="s">
        <v>47</v>
      </c>
      <c r="R4601" t="s">
        <v>44</v>
      </c>
      <c r="S4601">
        <v>0</v>
      </c>
      <c r="W4601" s="3">
        <v>8.7962962962962962E-4</v>
      </c>
      <c r="X4601" t="s">
        <v>121</v>
      </c>
      <c r="Y4601">
        <v>1</v>
      </c>
      <c r="Z4601">
        <v>1</v>
      </c>
      <c r="AA4601" t="s">
        <v>9337</v>
      </c>
      <c r="AB4601">
        <v>17</v>
      </c>
      <c r="AC4601" t="s">
        <v>49</v>
      </c>
      <c r="AD4601">
        <v>0</v>
      </c>
      <c r="AE4601">
        <v>10630487</v>
      </c>
      <c r="AF4601" t="s">
        <v>50</v>
      </c>
      <c r="AG4601" t="s">
        <v>8710</v>
      </c>
    </row>
    <row r="4602" spans="1:33" x14ac:dyDescent="0.35">
      <c r="A4602" s="1">
        <v>44598.409722222219</v>
      </c>
      <c r="B4602">
        <v>294338</v>
      </c>
      <c r="C4602" t="s">
        <v>7595</v>
      </c>
      <c r="D4602" t="s">
        <v>65</v>
      </c>
      <c r="E4602" s="2">
        <v>38999</v>
      </c>
      <c r="F4602" t="str">
        <f>"9780080480589"</f>
        <v>9780080480589</v>
      </c>
      <c r="G4602" t="str">
        <f>"9781493300723"</f>
        <v>9781493300723</v>
      </c>
      <c r="H4602" t="s">
        <v>6985</v>
      </c>
      <c r="I4602">
        <v>621.36779999999999</v>
      </c>
      <c r="J4602" t="s">
        <v>7596</v>
      </c>
      <c r="K4602" t="s">
        <v>44</v>
      </c>
      <c r="N4602" t="s">
        <v>45</v>
      </c>
      <c r="O4602" t="s">
        <v>46</v>
      </c>
      <c r="P4602" t="s">
        <v>45</v>
      </c>
      <c r="Q4602" t="s">
        <v>47</v>
      </c>
      <c r="R4602" t="s">
        <v>44</v>
      </c>
      <c r="S4602">
        <v>0</v>
      </c>
      <c r="W4602" s="3">
        <v>0</v>
      </c>
      <c r="X4602" t="s">
        <v>49</v>
      </c>
      <c r="Y4602">
        <v>0</v>
      </c>
      <c r="Z4602">
        <v>1</v>
      </c>
      <c r="AA4602" t="s">
        <v>9338</v>
      </c>
      <c r="AB4602">
        <v>30</v>
      </c>
      <c r="AC4602" t="s">
        <v>49</v>
      </c>
      <c r="AD4602">
        <v>0</v>
      </c>
      <c r="AE4602">
        <v>10186058</v>
      </c>
      <c r="AF4602" t="s">
        <v>50</v>
      </c>
      <c r="AG4602" t="s">
        <v>8799</v>
      </c>
    </row>
    <row r="4603" spans="1:33" x14ac:dyDescent="0.35">
      <c r="A4603" s="1">
        <v>44598.054861111108</v>
      </c>
      <c r="B4603">
        <v>226735</v>
      </c>
      <c r="C4603" t="s">
        <v>9339</v>
      </c>
      <c r="D4603" t="s">
        <v>65</v>
      </c>
      <c r="E4603" s="2">
        <v>38217</v>
      </c>
      <c r="F4603" t="str">
        <f>"9780080477695"</f>
        <v>9780080477695</v>
      </c>
      <c r="G4603" t="str">
        <f>"9780750677196"</f>
        <v>9780750677196</v>
      </c>
      <c r="H4603" t="s">
        <v>252</v>
      </c>
      <c r="I4603" t="s">
        <v>9340</v>
      </c>
      <c r="J4603" t="s">
        <v>9341</v>
      </c>
      <c r="K4603" t="s">
        <v>44</v>
      </c>
      <c r="N4603" t="s">
        <v>45</v>
      </c>
      <c r="O4603" t="s">
        <v>46</v>
      </c>
      <c r="P4603" t="s">
        <v>45</v>
      </c>
      <c r="Q4603" t="s">
        <v>47</v>
      </c>
      <c r="R4603" t="s">
        <v>44</v>
      </c>
      <c r="S4603">
        <v>0</v>
      </c>
      <c r="W4603" s="3">
        <v>3.1018518518518522E-3</v>
      </c>
      <c r="X4603" t="s">
        <v>9342</v>
      </c>
      <c r="Y4603">
        <v>22</v>
      </c>
      <c r="Z4603">
        <v>0</v>
      </c>
      <c r="AA4603" t="s">
        <v>49</v>
      </c>
      <c r="AB4603">
        <v>0</v>
      </c>
      <c r="AC4603" t="s">
        <v>49</v>
      </c>
      <c r="AD4603">
        <v>0</v>
      </c>
      <c r="AE4603">
        <v>10128080</v>
      </c>
      <c r="AF4603" t="s">
        <v>50</v>
      </c>
      <c r="AG4603" t="s">
        <v>8710</v>
      </c>
    </row>
    <row r="4604" spans="1:33" x14ac:dyDescent="0.35">
      <c r="A4604" s="1">
        <v>44597.966666666667</v>
      </c>
      <c r="B4604">
        <v>882731</v>
      </c>
      <c r="C4604" t="s">
        <v>8947</v>
      </c>
      <c r="D4604" t="s">
        <v>59</v>
      </c>
      <c r="E4604" s="2">
        <v>40973</v>
      </c>
      <c r="F4604" t="str">
        <f>"9781444355857"</f>
        <v>9781444355857</v>
      </c>
      <c r="G4604" t="str">
        <f>"9781444332872"</f>
        <v>9781444332872</v>
      </c>
      <c r="H4604" t="s">
        <v>8948</v>
      </c>
      <c r="I4604">
        <v>175</v>
      </c>
      <c r="J4604" t="s">
        <v>8949</v>
      </c>
      <c r="K4604" t="s">
        <v>44</v>
      </c>
      <c r="N4604" t="s">
        <v>45</v>
      </c>
      <c r="O4604" t="s">
        <v>46</v>
      </c>
      <c r="P4604" t="s">
        <v>45</v>
      </c>
      <c r="Q4604" t="s">
        <v>47</v>
      </c>
      <c r="R4604" t="s">
        <v>44</v>
      </c>
      <c r="S4604">
        <v>0</v>
      </c>
      <c r="W4604" s="3">
        <v>4.0509259259259258E-4</v>
      </c>
      <c r="X4604" t="s">
        <v>9343</v>
      </c>
      <c r="Y4604">
        <v>3</v>
      </c>
      <c r="Z4604">
        <v>0</v>
      </c>
      <c r="AA4604" t="s">
        <v>49</v>
      </c>
      <c r="AB4604">
        <v>0</v>
      </c>
      <c r="AC4604" t="s">
        <v>49</v>
      </c>
      <c r="AD4604">
        <v>0</v>
      </c>
      <c r="AE4604">
        <v>10630487</v>
      </c>
      <c r="AF4604" t="s">
        <v>50</v>
      </c>
      <c r="AG4604" t="s">
        <v>4222</v>
      </c>
    </row>
    <row r="4605" spans="1:33" x14ac:dyDescent="0.35">
      <c r="A4605" s="1">
        <v>44597.963888888888</v>
      </c>
      <c r="B4605">
        <v>882731</v>
      </c>
      <c r="C4605" t="s">
        <v>8947</v>
      </c>
      <c r="D4605" t="s">
        <v>59</v>
      </c>
      <c r="E4605" s="2">
        <v>40973</v>
      </c>
      <c r="F4605" t="str">
        <f>"9781444355857"</f>
        <v>9781444355857</v>
      </c>
      <c r="G4605" t="str">
        <f>"9781444332872"</f>
        <v>9781444332872</v>
      </c>
      <c r="H4605" t="s">
        <v>8948</v>
      </c>
      <c r="I4605">
        <v>175</v>
      </c>
      <c r="J4605" t="s">
        <v>8949</v>
      </c>
      <c r="K4605" t="s">
        <v>44</v>
      </c>
      <c r="N4605" t="s">
        <v>45</v>
      </c>
      <c r="O4605" t="s">
        <v>46</v>
      </c>
      <c r="P4605" t="s">
        <v>45</v>
      </c>
      <c r="Q4605" t="s">
        <v>47</v>
      </c>
      <c r="R4605" t="s">
        <v>44</v>
      </c>
      <c r="S4605">
        <v>0</v>
      </c>
      <c r="W4605" s="3">
        <v>6.9444444444444444E-5</v>
      </c>
      <c r="X4605" t="s">
        <v>121</v>
      </c>
      <c r="Y4605">
        <v>1</v>
      </c>
      <c r="Z4605">
        <v>0</v>
      </c>
      <c r="AA4605" t="s">
        <v>49</v>
      </c>
      <c r="AB4605">
        <v>0</v>
      </c>
      <c r="AC4605" t="s">
        <v>49</v>
      </c>
      <c r="AD4605">
        <v>0</v>
      </c>
      <c r="AE4605">
        <v>10630487</v>
      </c>
      <c r="AF4605" t="s">
        <v>50</v>
      </c>
      <c r="AG4605" t="s">
        <v>9344</v>
      </c>
    </row>
    <row r="4606" spans="1:33" x14ac:dyDescent="0.35">
      <c r="A4606" s="1">
        <v>44597.963194444441</v>
      </c>
      <c r="B4606">
        <v>882731</v>
      </c>
      <c r="C4606" t="s">
        <v>8947</v>
      </c>
      <c r="D4606" t="s">
        <v>59</v>
      </c>
      <c r="E4606" s="2">
        <v>40973</v>
      </c>
      <c r="F4606" t="str">
        <f>"9781444355857"</f>
        <v>9781444355857</v>
      </c>
      <c r="G4606" t="str">
        <f>"9781444332872"</f>
        <v>9781444332872</v>
      </c>
      <c r="H4606" t="s">
        <v>8948</v>
      </c>
      <c r="I4606">
        <v>175</v>
      </c>
      <c r="J4606" t="s">
        <v>8949</v>
      </c>
      <c r="K4606" t="s">
        <v>44</v>
      </c>
      <c r="N4606" t="s">
        <v>45</v>
      </c>
      <c r="O4606" t="s">
        <v>46</v>
      </c>
      <c r="P4606" t="s">
        <v>45</v>
      </c>
      <c r="Q4606" t="s">
        <v>47</v>
      </c>
      <c r="R4606" t="s">
        <v>44</v>
      </c>
      <c r="S4606">
        <v>0</v>
      </c>
      <c r="W4606" s="3">
        <v>3.0543981481481481E-2</v>
      </c>
      <c r="X4606" t="s">
        <v>9345</v>
      </c>
      <c r="Y4606">
        <v>14</v>
      </c>
      <c r="Z4606">
        <v>0</v>
      </c>
      <c r="AA4606" t="s">
        <v>49</v>
      </c>
      <c r="AB4606">
        <v>0</v>
      </c>
      <c r="AC4606" t="s">
        <v>49</v>
      </c>
      <c r="AD4606">
        <v>0</v>
      </c>
      <c r="AE4606">
        <v>10630487</v>
      </c>
      <c r="AF4606" t="s">
        <v>50</v>
      </c>
      <c r="AG4606" t="s">
        <v>9346</v>
      </c>
    </row>
    <row r="4607" spans="1:33" x14ac:dyDescent="0.35">
      <c r="A4607" s="1">
        <v>44597.961805555555</v>
      </c>
      <c r="B4607">
        <v>882731</v>
      </c>
      <c r="C4607" t="s">
        <v>8947</v>
      </c>
      <c r="D4607" t="s">
        <v>59</v>
      </c>
      <c r="E4607" s="2">
        <v>40973</v>
      </c>
      <c r="F4607" t="str">
        <f>"9781444355857"</f>
        <v>9781444355857</v>
      </c>
      <c r="G4607" t="str">
        <f>"9781444332872"</f>
        <v>9781444332872</v>
      </c>
      <c r="H4607" t="s">
        <v>8948</v>
      </c>
      <c r="I4607">
        <v>175</v>
      </c>
      <c r="J4607" t="s">
        <v>8949</v>
      </c>
      <c r="K4607" t="s">
        <v>44</v>
      </c>
      <c r="N4607" t="s">
        <v>45</v>
      </c>
      <c r="O4607" t="s">
        <v>46</v>
      </c>
      <c r="P4607" t="s">
        <v>45</v>
      </c>
      <c r="Q4607" t="s">
        <v>47</v>
      </c>
      <c r="R4607" t="s">
        <v>44</v>
      </c>
      <c r="S4607">
        <v>1</v>
      </c>
      <c r="W4607" s="3">
        <v>3.6689814814814814E-3</v>
      </c>
      <c r="X4607" t="s">
        <v>9347</v>
      </c>
      <c r="Y4607">
        <v>6</v>
      </c>
      <c r="Z4607">
        <v>0</v>
      </c>
      <c r="AA4607" t="s">
        <v>49</v>
      </c>
      <c r="AB4607">
        <v>0</v>
      </c>
      <c r="AC4607" t="s">
        <v>49</v>
      </c>
      <c r="AD4607">
        <v>0</v>
      </c>
      <c r="AE4607">
        <v>10630487</v>
      </c>
      <c r="AF4607" t="s">
        <v>63</v>
      </c>
      <c r="AG4607" t="s">
        <v>8908</v>
      </c>
    </row>
    <row r="4608" spans="1:33" x14ac:dyDescent="0.35">
      <c r="A4608" s="1">
        <v>44597.959722222222</v>
      </c>
      <c r="B4608">
        <v>882731</v>
      </c>
      <c r="C4608" t="s">
        <v>8947</v>
      </c>
      <c r="D4608" t="s">
        <v>59</v>
      </c>
      <c r="E4608" s="2">
        <v>40973</v>
      </c>
      <c r="F4608" t="str">
        <f>"9781444355857"</f>
        <v>9781444355857</v>
      </c>
      <c r="G4608" t="str">
        <f>"9781444332872"</f>
        <v>9781444332872</v>
      </c>
      <c r="H4608" t="s">
        <v>8948</v>
      </c>
      <c r="I4608">
        <v>175</v>
      </c>
      <c r="J4608" t="s">
        <v>8949</v>
      </c>
      <c r="K4608" t="s">
        <v>44</v>
      </c>
      <c r="N4608" t="s">
        <v>45</v>
      </c>
      <c r="O4608" t="s">
        <v>46</v>
      </c>
      <c r="P4608" t="s">
        <v>45</v>
      </c>
      <c r="Q4608" t="s">
        <v>47</v>
      </c>
      <c r="R4608" t="s">
        <v>44</v>
      </c>
      <c r="S4608">
        <v>0</v>
      </c>
      <c r="W4608" s="3">
        <v>5.4398148148148144E-4</v>
      </c>
      <c r="X4608" t="s">
        <v>9348</v>
      </c>
      <c r="Y4608">
        <v>9</v>
      </c>
      <c r="Z4608">
        <v>1</v>
      </c>
      <c r="AA4608" t="s">
        <v>9337</v>
      </c>
      <c r="AB4608">
        <v>17</v>
      </c>
      <c r="AC4608" t="s">
        <v>49</v>
      </c>
      <c r="AD4608">
        <v>0</v>
      </c>
      <c r="AE4608">
        <v>10630487</v>
      </c>
      <c r="AF4608" t="s">
        <v>50</v>
      </c>
      <c r="AG4608" t="s">
        <v>8908</v>
      </c>
    </row>
    <row r="4609" spans="1:33" x14ac:dyDescent="0.35">
      <c r="A4609" s="1">
        <v>44597.943749999999</v>
      </c>
      <c r="B4609">
        <v>435879</v>
      </c>
      <c r="C4609" t="s">
        <v>9349</v>
      </c>
      <c r="D4609" t="s">
        <v>9350</v>
      </c>
      <c r="E4609" s="2">
        <v>39934</v>
      </c>
      <c r="F4609" t="str">
        <f>"9781775568216"</f>
        <v>9781775568216</v>
      </c>
      <c r="G4609" t="str">
        <f>""</f>
        <v/>
      </c>
      <c r="H4609" t="s">
        <v>498</v>
      </c>
      <c r="I4609" t="s">
        <v>9351</v>
      </c>
      <c r="J4609" t="s">
        <v>9352</v>
      </c>
      <c r="K4609" t="s">
        <v>44</v>
      </c>
      <c r="N4609" t="s">
        <v>45</v>
      </c>
      <c r="O4609" t="s">
        <v>46</v>
      </c>
      <c r="P4609" t="s">
        <v>177</v>
      </c>
      <c r="Q4609" t="s">
        <v>47</v>
      </c>
      <c r="R4609" t="s">
        <v>55</v>
      </c>
      <c r="S4609">
        <v>0</v>
      </c>
      <c r="W4609" s="3">
        <v>1.5046296296296297E-4</v>
      </c>
      <c r="X4609" t="s">
        <v>593</v>
      </c>
      <c r="Y4609">
        <v>2</v>
      </c>
      <c r="Z4609">
        <v>0</v>
      </c>
      <c r="AA4609" t="s">
        <v>49</v>
      </c>
      <c r="AB4609">
        <v>0</v>
      </c>
      <c r="AC4609" t="s">
        <v>49</v>
      </c>
      <c r="AD4609">
        <v>0</v>
      </c>
      <c r="AE4609">
        <v>10801805</v>
      </c>
      <c r="AF4609" t="s">
        <v>50</v>
      </c>
      <c r="AG4609" t="s">
        <v>9277</v>
      </c>
    </row>
    <row r="4610" spans="1:33" x14ac:dyDescent="0.35">
      <c r="A4610" s="1">
        <v>44597.9375</v>
      </c>
      <c r="B4610">
        <v>601666</v>
      </c>
      <c r="C4610" t="s">
        <v>9353</v>
      </c>
      <c r="D4610" t="s">
        <v>497</v>
      </c>
      <c r="E4610" s="2">
        <v>40226</v>
      </c>
      <c r="F4610" t="str">
        <f>"9781441181022"</f>
        <v>9781441181022</v>
      </c>
      <c r="G4610" t="str">
        <f>"9780826498083"</f>
        <v>9780826498083</v>
      </c>
      <c r="H4610" t="s">
        <v>498</v>
      </c>
      <c r="I4610" t="s">
        <v>9351</v>
      </c>
      <c r="J4610" t="s">
        <v>9354</v>
      </c>
      <c r="K4610" t="s">
        <v>44</v>
      </c>
      <c r="N4610" t="s">
        <v>45</v>
      </c>
      <c r="O4610" t="s">
        <v>46</v>
      </c>
      <c r="P4610" t="s">
        <v>45</v>
      </c>
      <c r="Q4610" t="s">
        <v>47</v>
      </c>
      <c r="R4610" t="s">
        <v>44</v>
      </c>
      <c r="S4610">
        <v>0</v>
      </c>
      <c r="W4610" s="3">
        <v>2.7777777777777778E-4</v>
      </c>
      <c r="X4610" t="s">
        <v>9355</v>
      </c>
      <c r="Y4610">
        <v>4</v>
      </c>
      <c r="Z4610">
        <v>0</v>
      </c>
      <c r="AA4610" t="s">
        <v>49</v>
      </c>
      <c r="AB4610">
        <v>0</v>
      </c>
      <c r="AC4610" t="s">
        <v>49</v>
      </c>
      <c r="AD4610">
        <v>0</v>
      </c>
      <c r="AE4610">
        <v>10427342</v>
      </c>
      <c r="AF4610" t="s">
        <v>50</v>
      </c>
      <c r="AG4610" t="s">
        <v>9277</v>
      </c>
    </row>
    <row r="4611" spans="1:33" x14ac:dyDescent="0.35">
      <c r="A4611" s="1">
        <v>44597.718055555553</v>
      </c>
      <c r="B4611">
        <v>836562</v>
      </c>
      <c r="C4611" t="s">
        <v>9356</v>
      </c>
      <c r="D4611" t="s">
        <v>59</v>
      </c>
      <c r="E4611" s="2">
        <v>41743</v>
      </c>
      <c r="F4611" t="str">
        <f>"9781118220320"</f>
        <v>9781118220320</v>
      </c>
      <c r="G4611" t="str">
        <f>"9780470494394"</f>
        <v>9780470494394</v>
      </c>
      <c r="H4611" t="s">
        <v>133</v>
      </c>
      <c r="I4611" t="s">
        <v>9357</v>
      </c>
      <c r="J4611" t="s">
        <v>9358</v>
      </c>
      <c r="K4611" t="s">
        <v>44</v>
      </c>
      <c r="N4611" t="s">
        <v>45</v>
      </c>
      <c r="O4611" t="s">
        <v>46</v>
      </c>
      <c r="P4611" t="s">
        <v>45</v>
      </c>
      <c r="Q4611" t="s">
        <v>47</v>
      </c>
      <c r="R4611" t="s">
        <v>44</v>
      </c>
      <c r="S4611">
        <v>0</v>
      </c>
      <c r="W4611" s="3">
        <v>1.8634259259259261E-3</v>
      </c>
      <c r="X4611" t="s">
        <v>9359</v>
      </c>
      <c r="Y4611">
        <v>11</v>
      </c>
      <c r="Z4611">
        <v>0</v>
      </c>
      <c r="AA4611" t="s">
        <v>49</v>
      </c>
      <c r="AB4611">
        <v>0</v>
      </c>
      <c r="AC4611" t="s">
        <v>49</v>
      </c>
      <c r="AD4611">
        <v>0</v>
      </c>
      <c r="AE4611">
        <v>10849286</v>
      </c>
      <c r="AF4611" t="s">
        <v>50</v>
      </c>
      <c r="AG4611" t="s">
        <v>8710</v>
      </c>
    </row>
    <row r="4612" spans="1:33" x14ac:dyDescent="0.35">
      <c r="A4612" s="1">
        <v>44597.654861111114</v>
      </c>
      <c r="B4612">
        <v>882731</v>
      </c>
      <c r="C4612" t="s">
        <v>8947</v>
      </c>
      <c r="D4612" t="s">
        <v>59</v>
      </c>
      <c r="E4612" s="2">
        <v>40973</v>
      </c>
      <c r="F4612" t="str">
        <f>"9781444355857"</f>
        <v>9781444355857</v>
      </c>
      <c r="G4612" t="str">
        <f>"9781444332872"</f>
        <v>9781444332872</v>
      </c>
      <c r="H4612" t="s">
        <v>8948</v>
      </c>
      <c r="I4612">
        <v>175</v>
      </c>
      <c r="J4612" t="s">
        <v>8949</v>
      </c>
      <c r="K4612" t="s">
        <v>44</v>
      </c>
      <c r="N4612" t="s">
        <v>45</v>
      </c>
      <c r="O4612" t="s">
        <v>46</v>
      </c>
      <c r="P4612" t="s">
        <v>45</v>
      </c>
      <c r="Q4612" t="s">
        <v>47</v>
      </c>
      <c r="R4612" t="s">
        <v>44</v>
      </c>
      <c r="S4612">
        <v>0</v>
      </c>
      <c r="W4612" s="3">
        <v>1.0185185185185186E-3</v>
      </c>
      <c r="X4612" t="s">
        <v>9360</v>
      </c>
      <c r="Y4612">
        <v>10</v>
      </c>
      <c r="Z4612">
        <v>0</v>
      </c>
      <c r="AA4612" t="s">
        <v>49</v>
      </c>
      <c r="AB4612">
        <v>0</v>
      </c>
      <c r="AC4612" t="s">
        <v>49</v>
      </c>
      <c r="AD4612">
        <v>0</v>
      </c>
      <c r="AE4612">
        <v>10630487</v>
      </c>
      <c r="AF4612" t="s">
        <v>50</v>
      </c>
      <c r="AG4612" t="s">
        <v>9346</v>
      </c>
    </row>
    <row r="4613" spans="1:33" x14ac:dyDescent="0.35">
      <c r="A4613" s="1">
        <v>44597.373611111114</v>
      </c>
      <c r="B4613">
        <v>200711</v>
      </c>
      <c r="C4613" t="s">
        <v>9283</v>
      </c>
      <c r="D4613" t="s">
        <v>76</v>
      </c>
      <c r="E4613" s="2">
        <v>38324</v>
      </c>
      <c r="F4613" t="str">
        <f>"9780203446317"</f>
        <v>9780203446317</v>
      </c>
      <c r="G4613" t="str">
        <f>"9780415338677"</f>
        <v>9780415338677</v>
      </c>
      <c r="H4613" t="s">
        <v>1046</v>
      </c>
      <c r="I4613">
        <v>306</v>
      </c>
      <c r="J4613" t="s">
        <v>9284</v>
      </c>
      <c r="K4613" t="s">
        <v>44</v>
      </c>
      <c r="N4613" t="s">
        <v>45</v>
      </c>
      <c r="O4613" t="s">
        <v>46</v>
      </c>
      <c r="P4613" t="s">
        <v>45</v>
      </c>
      <c r="Q4613" t="s">
        <v>47</v>
      </c>
      <c r="R4613" t="s">
        <v>44</v>
      </c>
      <c r="S4613">
        <v>0</v>
      </c>
      <c r="W4613" s="3">
        <v>1.3194444444444443E-3</v>
      </c>
      <c r="X4613" t="s">
        <v>9361</v>
      </c>
      <c r="Y4613">
        <v>25</v>
      </c>
      <c r="Z4613">
        <v>0</v>
      </c>
      <c r="AA4613" t="s">
        <v>49</v>
      </c>
      <c r="AB4613">
        <v>0</v>
      </c>
      <c r="AC4613" t="s">
        <v>49</v>
      </c>
      <c r="AD4613">
        <v>0</v>
      </c>
      <c r="AE4613">
        <v>10402193</v>
      </c>
      <c r="AF4613" t="s">
        <v>50</v>
      </c>
      <c r="AG4613" t="s">
        <v>4222</v>
      </c>
    </row>
    <row r="4614" spans="1:33" x14ac:dyDescent="0.35">
      <c r="A4614" s="1">
        <v>44596.99722222222</v>
      </c>
      <c r="B4614">
        <v>5446363</v>
      </c>
      <c r="C4614" t="s">
        <v>9362</v>
      </c>
      <c r="D4614" t="s">
        <v>9363</v>
      </c>
      <c r="E4614" s="2">
        <v>38651</v>
      </c>
      <c r="F4614" t="str">
        <f>"9781467787031"</f>
        <v>9781467787031</v>
      </c>
      <c r="G4614" t="str">
        <f>""</f>
        <v/>
      </c>
      <c r="H4614" t="s">
        <v>1069</v>
      </c>
      <c r="I4614" t="s">
        <v>9364</v>
      </c>
      <c r="J4614" t="s">
        <v>9365</v>
      </c>
      <c r="K4614" t="s">
        <v>44</v>
      </c>
      <c r="N4614" t="s">
        <v>45</v>
      </c>
      <c r="O4614" t="s">
        <v>46</v>
      </c>
      <c r="P4614" t="s">
        <v>45</v>
      </c>
      <c r="Q4614" t="s">
        <v>47</v>
      </c>
      <c r="R4614" t="s">
        <v>44</v>
      </c>
      <c r="S4614">
        <v>0</v>
      </c>
      <c r="W4614" s="3">
        <v>1.273148148148148E-4</v>
      </c>
      <c r="X4614" t="s">
        <v>9366</v>
      </c>
      <c r="Y4614">
        <v>2</v>
      </c>
      <c r="Z4614">
        <v>0</v>
      </c>
      <c r="AA4614" t="s">
        <v>49</v>
      </c>
      <c r="AB4614">
        <v>0</v>
      </c>
      <c r="AC4614" t="s">
        <v>49</v>
      </c>
      <c r="AD4614">
        <v>0</v>
      </c>
      <c r="AE4614">
        <v>11590806</v>
      </c>
      <c r="AF4614" t="s">
        <v>50</v>
      </c>
      <c r="AG4614" t="s">
        <v>9367</v>
      </c>
    </row>
    <row r="4615" spans="1:33" x14ac:dyDescent="0.35">
      <c r="A4615" s="1">
        <v>44595.622916666667</v>
      </c>
      <c r="B4615">
        <v>6123281</v>
      </c>
      <c r="C4615" t="s">
        <v>8236</v>
      </c>
      <c r="D4615" t="s">
        <v>59</v>
      </c>
      <c r="E4615" s="2">
        <v>43879</v>
      </c>
      <c r="F4615" t="str">
        <f>"9780730368465"</f>
        <v>9780730368465</v>
      </c>
      <c r="G4615" t="str">
        <f>"9780730368441"</f>
        <v>9780730368441</v>
      </c>
      <c r="H4615" t="s">
        <v>244</v>
      </c>
      <c r="I4615">
        <v>158.1</v>
      </c>
      <c r="J4615" t="s">
        <v>8237</v>
      </c>
      <c r="K4615" t="s">
        <v>55</v>
      </c>
      <c r="Q4615" t="s">
        <v>47</v>
      </c>
      <c r="R4615" t="s">
        <v>44</v>
      </c>
      <c r="S4615">
        <v>0</v>
      </c>
      <c r="W4615" s="3">
        <v>1.6087962962962963E-3</v>
      </c>
      <c r="X4615" t="s">
        <v>9368</v>
      </c>
      <c r="Y4615">
        <v>14</v>
      </c>
      <c r="Z4615">
        <v>0</v>
      </c>
      <c r="AA4615" t="s">
        <v>49</v>
      </c>
      <c r="AB4615">
        <v>0</v>
      </c>
      <c r="AC4615" t="s">
        <v>49</v>
      </c>
      <c r="AD4615">
        <v>0</v>
      </c>
      <c r="AE4615">
        <v>-1</v>
      </c>
      <c r="AF4615" t="s">
        <v>63</v>
      </c>
      <c r="AG4615" t="s">
        <v>8710</v>
      </c>
    </row>
    <row r="4616" spans="1:33" x14ac:dyDescent="0.35">
      <c r="A4616" s="1">
        <v>44595.600694444445</v>
      </c>
      <c r="B4616">
        <v>6099680</v>
      </c>
      <c r="C4616" t="s">
        <v>9201</v>
      </c>
      <c r="D4616" t="s">
        <v>9202</v>
      </c>
      <c r="E4616" s="2">
        <v>41094</v>
      </c>
      <c r="F4616" t="str">
        <f>"9781401945534"</f>
        <v>9781401945534</v>
      </c>
      <c r="G4616" t="str">
        <f>"9781933885995"</f>
        <v>9781933885995</v>
      </c>
      <c r="H4616" t="s">
        <v>6352</v>
      </c>
      <c r="I4616">
        <v>128.19999999999999</v>
      </c>
      <c r="J4616" t="s">
        <v>9203</v>
      </c>
      <c r="K4616" t="s">
        <v>55</v>
      </c>
      <c r="N4616" t="s">
        <v>79</v>
      </c>
      <c r="P4616" t="s">
        <v>97</v>
      </c>
      <c r="Q4616" t="s">
        <v>47</v>
      </c>
      <c r="R4616" t="s">
        <v>44</v>
      </c>
      <c r="S4616">
        <v>4</v>
      </c>
      <c r="T4616">
        <v>1</v>
      </c>
      <c r="U4616" s="1">
        <v>44595.600694444445</v>
      </c>
      <c r="V4616" s="1">
        <v>44596.600694444445</v>
      </c>
      <c r="W4616" s="3">
        <v>6.9097222222222225E-3</v>
      </c>
      <c r="X4616" t="s">
        <v>9369</v>
      </c>
      <c r="Y4616">
        <v>25</v>
      </c>
      <c r="Z4616">
        <v>0</v>
      </c>
      <c r="AA4616" t="s">
        <v>49</v>
      </c>
      <c r="AB4616">
        <v>0</v>
      </c>
      <c r="AC4616" t="s">
        <v>49</v>
      </c>
      <c r="AD4616">
        <v>0</v>
      </c>
      <c r="AE4616">
        <v>-1</v>
      </c>
      <c r="AF4616" t="s">
        <v>63</v>
      </c>
      <c r="AG4616" t="s">
        <v>8710</v>
      </c>
    </row>
    <row r="4617" spans="1:33" x14ac:dyDescent="0.35">
      <c r="A4617" s="1">
        <v>44595.474999999999</v>
      </c>
      <c r="B4617">
        <v>1480377</v>
      </c>
      <c r="C4617" t="s">
        <v>8955</v>
      </c>
      <c r="D4617" t="s">
        <v>76</v>
      </c>
      <c r="E4617" s="2">
        <v>41604</v>
      </c>
      <c r="F4617" t="str">
        <f>"9781439871799"</f>
        <v>9781439871799</v>
      </c>
      <c r="G4617" t="str">
        <f>"9781439871782"</f>
        <v>9781439871782</v>
      </c>
      <c r="H4617" t="s">
        <v>214</v>
      </c>
      <c r="I4617">
        <v>541.33000000000004</v>
      </c>
      <c r="J4617" t="s">
        <v>8956</v>
      </c>
      <c r="K4617" t="s">
        <v>55</v>
      </c>
      <c r="P4617" t="s">
        <v>97</v>
      </c>
      <c r="Q4617" t="s">
        <v>47</v>
      </c>
      <c r="R4617" t="s">
        <v>44</v>
      </c>
      <c r="S4617">
        <v>0</v>
      </c>
      <c r="W4617" s="3">
        <v>3.7500000000000003E-3</v>
      </c>
      <c r="X4617" t="s">
        <v>9370</v>
      </c>
      <c r="Y4617">
        <v>69</v>
      </c>
      <c r="Z4617">
        <v>0</v>
      </c>
      <c r="AA4617" t="s">
        <v>49</v>
      </c>
      <c r="AB4617">
        <v>0</v>
      </c>
      <c r="AC4617" t="s">
        <v>49</v>
      </c>
      <c r="AD4617">
        <v>0</v>
      </c>
      <c r="AE4617">
        <v>10821673</v>
      </c>
      <c r="AF4617" t="s">
        <v>63</v>
      </c>
      <c r="AG4617" t="s">
        <v>8710</v>
      </c>
    </row>
    <row r="4618" spans="1:33" x14ac:dyDescent="0.35">
      <c r="A4618" s="1">
        <v>44595.47152777778</v>
      </c>
      <c r="B4618">
        <v>313592</v>
      </c>
      <c r="C4618" t="s">
        <v>8605</v>
      </c>
      <c r="D4618" t="s">
        <v>65</v>
      </c>
      <c r="E4618" s="2">
        <v>39336</v>
      </c>
      <c r="F4618" t="str">
        <f>"9780080551913"</f>
        <v>9780080551913</v>
      </c>
      <c r="G4618" t="str">
        <f>"9780444528377"</f>
        <v>9780444528377</v>
      </c>
      <c r="H4618" t="s">
        <v>214</v>
      </c>
      <c r="I4618">
        <v>541.2242</v>
      </c>
      <c r="J4618" t="s">
        <v>8606</v>
      </c>
      <c r="K4618" t="s">
        <v>44</v>
      </c>
      <c r="Q4618" t="s">
        <v>47</v>
      </c>
      <c r="R4618" t="s">
        <v>44</v>
      </c>
      <c r="S4618">
        <v>0</v>
      </c>
      <c r="W4618" s="3">
        <v>2.199074074074074E-4</v>
      </c>
      <c r="X4618" t="s">
        <v>56</v>
      </c>
      <c r="Y4618">
        <v>3</v>
      </c>
      <c r="Z4618">
        <v>0</v>
      </c>
      <c r="AA4618" t="s">
        <v>49</v>
      </c>
      <c r="AB4618">
        <v>0</v>
      </c>
      <c r="AC4618" t="s">
        <v>49</v>
      </c>
      <c r="AD4618">
        <v>0</v>
      </c>
      <c r="AE4618">
        <v>10190879</v>
      </c>
      <c r="AF4618" t="s">
        <v>63</v>
      </c>
      <c r="AG4618" t="s">
        <v>8710</v>
      </c>
    </row>
    <row r="4619" spans="1:33" x14ac:dyDescent="0.35">
      <c r="A4619" s="1">
        <v>44594.915972222225</v>
      </c>
      <c r="B4619">
        <v>3339142</v>
      </c>
      <c r="C4619" t="s">
        <v>7658</v>
      </c>
      <c r="D4619" t="s">
        <v>303</v>
      </c>
      <c r="E4619" s="2">
        <v>40025</v>
      </c>
      <c r="F4619" t="str">
        <f>"9780262270830"</f>
        <v>9780262270830</v>
      </c>
      <c r="G4619" t="str">
        <f>"9780262033848"</f>
        <v>9780262033848</v>
      </c>
      <c r="H4619" t="s">
        <v>138</v>
      </c>
      <c r="I4619">
        <v>5.0999999999999996</v>
      </c>
      <c r="J4619" t="s">
        <v>7659</v>
      </c>
      <c r="K4619" t="s">
        <v>44</v>
      </c>
      <c r="N4619" t="s">
        <v>45</v>
      </c>
      <c r="O4619" t="s">
        <v>46</v>
      </c>
      <c r="P4619" t="s">
        <v>45</v>
      </c>
      <c r="Q4619" t="s">
        <v>47</v>
      </c>
      <c r="R4619" t="s">
        <v>44</v>
      </c>
      <c r="S4619">
        <v>0</v>
      </c>
      <c r="W4619" s="3">
        <v>5.393518518518519E-2</v>
      </c>
      <c r="X4619" t="s">
        <v>9371</v>
      </c>
      <c r="Y4619">
        <v>37</v>
      </c>
      <c r="Z4619">
        <v>0</v>
      </c>
      <c r="AA4619" t="s">
        <v>49</v>
      </c>
      <c r="AB4619">
        <v>0</v>
      </c>
      <c r="AC4619" t="s">
        <v>49</v>
      </c>
      <c r="AD4619">
        <v>0</v>
      </c>
      <c r="AE4619">
        <v>10397652</v>
      </c>
      <c r="AF4619" t="s">
        <v>50</v>
      </c>
      <c r="AG4619" t="s">
        <v>8908</v>
      </c>
    </row>
    <row r="4620" spans="1:33" x14ac:dyDescent="0.35">
      <c r="A4620" s="1">
        <v>44594.86041666667</v>
      </c>
      <c r="B4620">
        <v>3339142</v>
      </c>
      <c r="C4620" t="s">
        <v>7658</v>
      </c>
      <c r="D4620" t="s">
        <v>303</v>
      </c>
      <c r="E4620" s="2">
        <v>40025</v>
      </c>
      <c r="F4620" t="str">
        <f>"9780262270830"</f>
        <v>9780262270830</v>
      </c>
      <c r="G4620" t="str">
        <f>"9780262033848"</f>
        <v>9780262033848</v>
      </c>
      <c r="H4620" t="s">
        <v>138</v>
      </c>
      <c r="I4620">
        <v>5.0999999999999996</v>
      </c>
      <c r="J4620" t="s">
        <v>7659</v>
      </c>
      <c r="K4620" t="s">
        <v>44</v>
      </c>
      <c r="N4620" t="s">
        <v>45</v>
      </c>
      <c r="O4620" t="s">
        <v>46</v>
      </c>
      <c r="P4620" t="s">
        <v>45</v>
      </c>
      <c r="Q4620" t="s">
        <v>47</v>
      </c>
      <c r="R4620" t="s">
        <v>44</v>
      </c>
      <c r="S4620">
        <v>0</v>
      </c>
      <c r="W4620" s="3">
        <v>5.5555555555555556E-4</v>
      </c>
      <c r="X4620" t="s">
        <v>9372</v>
      </c>
      <c r="Y4620">
        <v>11</v>
      </c>
      <c r="Z4620">
        <v>0</v>
      </c>
      <c r="AA4620" t="s">
        <v>49</v>
      </c>
      <c r="AB4620">
        <v>0</v>
      </c>
      <c r="AC4620" t="s">
        <v>9373</v>
      </c>
      <c r="AD4620">
        <v>1</v>
      </c>
      <c r="AE4620">
        <v>10397652</v>
      </c>
      <c r="AF4620" t="s">
        <v>50</v>
      </c>
      <c r="AG4620" t="s">
        <v>8908</v>
      </c>
    </row>
    <row r="4621" spans="1:33" x14ac:dyDescent="0.35">
      <c r="A4621" s="1">
        <v>44594.845138888886</v>
      </c>
      <c r="B4621">
        <v>3382460</v>
      </c>
      <c r="C4621" t="s">
        <v>9374</v>
      </c>
      <c r="D4621" t="s">
        <v>9301</v>
      </c>
      <c r="E4621" s="2">
        <v>40238</v>
      </c>
      <c r="F4621" t="str">
        <f>"9781906574086"</f>
        <v>9781906574086</v>
      </c>
      <c r="G4621" t="str">
        <f>"9781906574680"</f>
        <v>9781906574680</v>
      </c>
      <c r="H4621" t="s">
        <v>1040</v>
      </c>
      <c r="J4621" t="s">
        <v>9375</v>
      </c>
      <c r="K4621" t="s">
        <v>44</v>
      </c>
      <c r="N4621" t="s">
        <v>45</v>
      </c>
      <c r="O4621" t="s">
        <v>46</v>
      </c>
      <c r="P4621" t="s">
        <v>45</v>
      </c>
      <c r="Q4621" t="s">
        <v>47</v>
      </c>
      <c r="R4621" t="s">
        <v>44</v>
      </c>
      <c r="S4621">
        <v>2</v>
      </c>
      <c r="W4621" s="3">
        <v>1.1574074074074073E-5</v>
      </c>
      <c r="X4621" t="s">
        <v>49</v>
      </c>
      <c r="Y4621">
        <v>0</v>
      </c>
      <c r="Z4621">
        <v>4</v>
      </c>
      <c r="AA4621" t="s">
        <v>9376</v>
      </c>
      <c r="AB4621">
        <v>82</v>
      </c>
      <c r="AC4621" t="s">
        <v>49</v>
      </c>
      <c r="AD4621">
        <v>0</v>
      </c>
      <c r="AE4621">
        <v>10595620</v>
      </c>
      <c r="AF4621" t="s">
        <v>63</v>
      </c>
      <c r="AG4621" t="s">
        <v>8710</v>
      </c>
    </row>
    <row r="4622" spans="1:33" x14ac:dyDescent="0.35">
      <c r="A4622" s="1">
        <v>44594.743750000001</v>
      </c>
      <c r="B4622">
        <v>3382460</v>
      </c>
      <c r="C4622" t="s">
        <v>9374</v>
      </c>
      <c r="D4622" t="s">
        <v>9301</v>
      </c>
      <c r="E4622" s="2">
        <v>40238</v>
      </c>
      <c r="F4622" t="str">
        <f>"9781906574086"</f>
        <v>9781906574086</v>
      </c>
      <c r="G4622" t="str">
        <f>"9781906574680"</f>
        <v>9781906574680</v>
      </c>
      <c r="H4622" t="s">
        <v>1040</v>
      </c>
      <c r="J4622" t="s">
        <v>9375</v>
      </c>
      <c r="K4622" t="s">
        <v>44</v>
      </c>
      <c r="N4622" t="s">
        <v>45</v>
      </c>
      <c r="O4622" t="s">
        <v>46</v>
      </c>
      <c r="P4622" t="s">
        <v>45</v>
      </c>
      <c r="Q4622" t="s">
        <v>47</v>
      </c>
      <c r="R4622" t="s">
        <v>44</v>
      </c>
      <c r="S4622">
        <v>0</v>
      </c>
      <c r="W4622" s="3">
        <v>1.087962962962963E-2</v>
      </c>
      <c r="X4622" t="s">
        <v>9377</v>
      </c>
      <c r="Y4622">
        <v>40</v>
      </c>
      <c r="Z4622">
        <v>1</v>
      </c>
      <c r="AA4622" t="s">
        <v>2390</v>
      </c>
      <c r="AB4622">
        <v>1</v>
      </c>
      <c r="AC4622" t="s">
        <v>49</v>
      </c>
      <c r="AD4622">
        <v>0</v>
      </c>
      <c r="AE4622">
        <v>10595620</v>
      </c>
      <c r="AF4622" t="s">
        <v>50</v>
      </c>
      <c r="AG4622" t="s">
        <v>8710</v>
      </c>
    </row>
    <row r="4623" spans="1:33" x14ac:dyDescent="0.35">
      <c r="A4623" s="1">
        <v>44594.742361111108</v>
      </c>
      <c r="B4623">
        <v>3339142</v>
      </c>
      <c r="C4623" t="s">
        <v>7658</v>
      </c>
      <c r="D4623" t="s">
        <v>303</v>
      </c>
      <c r="E4623" s="2">
        <v>40025</v>
      </c>
      <c r="F4623" t="str">
        <f>"9780262270830"</f>
        <v>9780262270830</v>
      </c>
      <c r="G4623" t="str">
        <f>"9780262033848"</f>
        <v>9780262033848</v>
      </c>
      <c r="H4623" t="s">
        <v>138</v>
      </c>
      <c r="I4623">
        <v>5.0999999999999996</v>
      </c>
      <c r="J4623" t="s">
        <v>7659</v>
      </c>
      <c r="K4623" t="s">
        <v>44</v>
      </c>
      <c r="N4623" t="s">
        <v>45</v>
      </c>
      <c r="O4623" t="s">
        <v>46</v>
      </c>
      <c r="P4623" t="s">
        <v>45</v>
      </c>
      <c r="Q4623" t="s">
        <v>47</v>
      </c>
      <c r="R4623" t="s">
        <v>44</v>
      </c>
      <c r="S4623">
        <v>0</v>
      </c>
      <c r="W4623" s="3">
        <v>1.9247685185185184E-2</v>
      </c>
      <c r="X4623" t="s">
        <v>9378</v>
      </c>
      <c r="Y4623">
        <v>25</v>
      </c>
      <c r="Z4623">
        <v>0</v>
      </c>
      <c r="AA4623" t="s">
        <v>49</v>
      </c>
      <c r="AB4623">
        <v>0</v>
      </c>
      <c r="AC4623" t="s">
        <v>49</v>
      </c>
      <c r="AD4623">
        <v>0</v>
      </c>
      <c r="AE4623">
        <v>10397652</v>
      </c>
      <c r="AF4623" t="s">
        <v>63</v>
      </c>
      <c r="AG4623" t="s">
        <v>8908</v>
      </c>
    </row>
    <row r="4624" spans="1:33" x14ac:dyDescent="0.35">
      <c r="A4624" s="1">
        <v>44594.686805555553</v>
      </c>
      <c r="B4624">
        <v>3382460</v>
      </c>
      <c r="C4624" t="s">
        <v>9374</v>
      </c>
      <c r="D4624" t="s">
        <v>9301</v>
      </c>
      <c r="E4624" s="2">
        <v>40238</v>
      </c>
      <c r="F4624" t="str">
        <f>"9781906574086"</f>
        <v>9781906574086</v>
      </c>
      <c r="G4624" t="str">
        <f>"9781906574680"</f>
        <v>9781906574680</v>
      </c>
      <c r="H4624" t="s">
        <v>1040</v>
      </c>
      <c r="J4624" t="s">
        <v>9375</v>
      </c>
      <c r="K4624" t="s">
        <v>44</v>
      </c>
      <c r="N4624" t="s">
        <v>45</v>
      </c>
      <c r="O4624" t="s">
        <v>46</v>
      </c>
      <c r="P4624" t="s">
        <v>45</v>
      </c>
      <c r="Q4624" t="s">
        <v>47</v>
      </c>
      <c r="R4624" t="s">
        <v>44</v>
      </c>
      <c r="S4624">
        <v>0</v>
      </c>
      <c r="W4624" s="3">
        <v>5.37037037037037E-3</v>
      </c>
      <c r="X4624" t="s">
        <v>9379</v>
      </c>
      <c r="Y4624">
        <v>7</v>
      </c>
      <c r="Z4624">
        <v>0</v>
      </c>
      <c r="AA4624" t="s">
        <v>49</v>
      </c>
      <c r="AB4624">
        <v>0</v>
      </c>
      <c r="AC4624" t="s">
        <v>49</v>
      </c>
      <c r="AD4624">
        <v>0</v>
      </c>
      <c r="AE4624">
        <v>10595620</v>
      </c>
      <c r="AF4624" t="s">
        <v>50</v>
      </c>
      <c r="AG4624" t="s">
        <v>8710</v>
      </c>
    </row>
    <row r="4625" spans="1:33" x14ac:dyDescent="0.35">
      <c r="A4625" s="1">
        <v>44594.606249999997</v>
      </c>
      <c r="B4625">
        <v>1829440</v>
      </c>
      <c r="C4625" t="s">
        <v>9380</v>
      </c>
      <c r="D4625" t="s">
        <v>59</v>
      </c>
      <c r="E4625" s="2">
        <v>42024</v>
      </c>
      <c r="F4625" t="str">
        <f>"9781118717882"</f>
        <v>9781118717882</v>
      </c>
      <c r="G4625" t="str">
        <f>"9781118717868"</f>
        <v>9781118717868</v>
      </c>
      <c r="H4625" t="s">
        <v>712</v>
      </c>
      <c r="I4625" t="s">
        <v>9381</v>
      </c>
      <c r="J4625" t="s">
        <v>9382</v>
      </c>
      <c r="K4625" t="s">
        <v>44</v>
      </c>
      <c r="N4625" t="s">
        <v>45</v>
      </c>
      <c r="O4625" t="s">
        <v>46</v>
      </c>
      <c r="P4625" t="s">
        <v>45</v>
      </c>
      <c r="Q4625" t="s">
        <v>47</v>
      </c>
      <c r="R4625" t="s">
        <v>44</v>
      </c>
      <c r="S4625">
        <v>0</v>
      </c>
      <c r="W4625" s="3">
        <v>3.7037037037037035E-4</v>
      </c>
      <c r="X4625" t="s">
        <v>2605</v>
      </c>
      <c r="Y4625">
        <v>2</v>
      </c>
      <c r="Z4625">
        <v>0</v>
      </c>
      <c r="AA4625" t="s">
        <v>49</v>
      </c>
      <c r="AB4625">
        <v>0</v>
      </c>
      <c r="AC4625" t="s">
        <v>49</v>
      </c>
      <c r="AD4625">
        <v>0</v>
      </c>
      <c r="AE4625">
        <v>10962093</v>
      </c>
      <c r="AF4625" t="s">
        <v>63</v>
      </c>
      <c r="AG4625" t="s">
        <v>8710</v>
      </c>
    </row>
    <row r="4626" spans="1:33" x14ac:dyDescent="0.35">
      <c r="A4626" s="1">
        <v>44594.584027777775</v>
      </c>
      <c r="B4626">
        <v>200711</v>
      </c>
      <c r="C4626" t="s">
        <v>9283</v>
      </c>
      <c r="D4626" t="s">
        <v>76</v>
      </c>
      <c r="E4626" s="2">
        <v>38324</v>
      </c>
      <c r="F4626" t="str">
        <f>"9780203446317"</f>
        <v>9780203446317</v>
      </c>
      <c r="G4626" t="str">
        <f>"9780415338677"</f>
        <v>9780415338677</v>
      </c>
      <c r="H4626" t="s">
        <v>1046</v>
      </c>
      <c r="I4626">
        <v>306</v>
      </c>
      <c r="J4626" t="s">
        <v>9284</v>
      </c>
      <c r="K4626" t="s">
        <v>44</v>
      </c>
      <c r="N4626" t="s">
        <v>45</v>
      </c>
      <c r="O4626" t="s">
        <v>46</v>
      </c>
      <c r="P4626" t="s">
        <v>45</v>
      </c>
      <c r="Q4626" t="s">
        <v>47</v>
      </c>
      <c r="R4626" t="s">
        <v>44</v>
      </c>
      <c r="S4626">
        <v>0</v>
      </c>
      <c r="W4626" s="3">
        <v>2.8935185185185188E-3</v>
      </c>
      <c r="X4626" t="s">
        <v>9383</v>
      </c>
      <c r="Y4626">
        <v>5</v>
      </c>
      <c r="Z4626">
        <v>0</v>
      </c>
      <c r="AA4626" t="s">
        <v>49</v>
      </c>
      <c r="AB4626">
        <v>0</v>
      </c>
      <c r="AC4626" t="s">
        <v>49</v>
      </c>
      <c r="AD4626">
        <v>0</v>
      </c>
      <c r="AE4626">
        <v>10402193</v>
      </c>
      <c r="AF4626" t="s">
        <v>50</v>
      </c>
      <c r="AG4626" t="s">
        <v>9171</v>
      </c>
    </row>
    <row r="4627" spans="1:33" x14ac:dyDescent="0.35">
      <c r="A4627" s="1">
        <v>44594.580555555556</v>
      </c>
      <c r="B4627">
        <v>3300889</v>
      </c>
      <c r="C4627" t="s">
        <v>9384</v>
      </c>
      <c r="D4627" t="s">
        <v>1202</v>
      </c>
      <c r="E4627" s="2">
        <v>40481</v>
      </c>
      <c r="F4627" t="str">
        <f>"9780674059177"</f>
        <v>9780674059177</v>
      </c>
      <c r="G4627" t="str">
        <f>"9780674050594"</f>
        <v>9780674050594</v>
      </c>
      <c r="H4627" t="s">
        <v>1914</v>
      </c>
      <c r="I4627" t="s">
        <v>9385</v>
      </c>
      <c r="J4627" t="s">
        <v>9386</v>
      </c>
      <c r="K4627" t="s">
        <v>44</v>
      </c>
      <c r="N4627" t="s">
        <v>45</v>
      </c>
      <c r="O4627" t="s">
        <v>46</v>
      </c>
      <c r="P4627" t="s">
        <v>177</v>
      </c>
      <c r="Q4627" t="s">
        <v>47</v>
      </c>
      <c r="R4627" t="s">
        <v>55</v>
      </c>
      <c r="S4627">
        <v>0</v>
      </c>
      <c r="W4627" s="3">
        <v>5.7870370370370366E-5</v>
      </c>
      <c r="X4627" t="s">
        <v>121</v>
      </c>
      <c r="Y4627">
        <v>1</v>
      </c>
      <c r="Z4627">
        <v>0</v>
      </c>
      <c r="AA4627" t="s">
        <v>49</v>
      </c>
      <c r="AB4627">
        <v>0</v>
      </c>
      <c r="AC4627" t="s">
        <v>49</v>
      </c>
      <c r="AD4627">
        <v>0</v>
      </c>
      <c r="AE4627">
        <v>10448658</v>
      </c>
      <c r="AF4627" t="s">
        <v>50</v>
      </c>
      <c r="AG4627" t="s">
        <v>9387</v>
      </c>
    </row>
    <row r="4628" spans="1:33" x14ac:dyDescent="0.35">
      <c r="A4628" s="1">
        <v>44594.511805555558</v>
      </c>
      <c r="B4628">
        <v>6863050</v>
      </c>
      <c r="C4628" t="s">
        <v>9388</v>
      </c>
      <c r="D4628" t="s">
        <v>76</v>
      </c>
      <c r="E4628" s="2">
        <v>44562</v>
      </c>
      <c r="F4628" t="str">
        <f>"9781000526813"</f>
        <v>9781000526813</v>
      </c>
      <c r="G4628" t="str">
        <f>"9780367457365"</f>
        <v>9780367457365</v>
      </c>
      <c r="H4628" t="s">
        <v>542</v>
      </c>
      <c r="I4628" t="s">
        <v>9389</v>
      </c>
      <c r="J4628" t="s">
        <v>9390</v>
      </c>
      <c r="K4628" t="s">
        <v>55</v>
      </c>
      <c r="N4628" t="s">
        <v>79</v>
      </c>
      <c r="P4628" t="s">
        <v>80</v>
      </c>
      <c r="Q4628" t="s">
        <v>47</v>
      </c>
      <c r="R4628" t="s">
        <v>44</v>
      </c>
      <c r="S4628">
        <v>1</v>
      </c>
      <c r="T4628">
        <v>90</v>
      </c>
      <c r="U4628" s="1">
        <v>44594.511805555558</v>
      </c>
      <c r="V4628" s="1">
        <v>44684.511805555558</v>
      </c>
      <c r="W4628" s="3">
        <v>1.1574074074074073E-5</v>
      </c>
      <c r="X4628" t="s">
        <v>49</v>
      </c>
      <c r="Y4628">
        <v>0</v>
      </c>
      <c r="Z4628">
        <v>8</v>
      </c>
      <c r="AA4628" t="s">
        <v>9391</v>
      </c>
      <c r="AB4628">
        <v>56</v>
      </c>
      <c r="AC4628" t="s">
        <v>49</v>
      </c>
      <c r="AD4628">
        <v>0</v>
      </c>
      <c r="AE4628">
        <v>-1</v>
      </c>
      <c r="AF4628" t="s">
        <v>63</v>
      </c>
      <c r="AG4628" t="s">
        <v>9392</v>
      </c>
    </row>
    <row r="4629" spans="1:33" x14ac:dyDescent="0.35">
      <c r="A4629" s="1">
        <v>44594.486111111109</v>
      </c>
      <c r="B4629">
        <v>1595823</v>
      </c>
      <c r="C4629" t="s">
        <v>9393</v>
      </c>
      <c r="D4629" t="s">
        <v>170</v>
      </c>
      <c r="E4629" s="2">
        <v>40389</v>
      </c>
      <c r="F4629" t="str">
        <f>"9781462913640"</f>
        <v>9781462913640</v>
      </c>
      <c r="G4629" t="str">
        <f>"9784805308592"</f>
        <v>9784805308592</v>
      </c>
      <c r="H4629" t="s">
        <v>171</v>
      </c>
      <c r="I4629" t="s">
        <v>9394</v>
      </c>
      <c r="J4629" t="s">
        <v>9395</v>
      </c>
      <c r="K4629" t="s">
        <v>44</v>
      </c>
      <c r="N4629" t="s">
        <v>45</v>
      </c>
      <c r="O4629" t="s">
        <v>46</v>
      </c>
      <c r="P4629" t="s">
        <v>45</v>
      </c>
      <c r="Q4629" t="s">
        <v>47</v>
      </c>
      <c r="R4629" t="s">
        <v>44</v>
      </c>
      <c r="S4629">
        <v>0</v>
      </c>
      <c r="W4629" s="3">
        <v>1.3425925925925925E-3</v>
      </c>
      <c r="X4629" t="s">
        <v>9396</v>
      </c>
      <c r="Y4629">
        <v>10</v>
      </c>
      <c r="Z4629">
        <v>0</v>
      </c>
      <c r="AA4629" t="s">
        <v>49</v>
      </c>
      <c r="AB4629">
        <v>0</v>
      </c>
      <c r="AC4629" t="s">
        <v>49</v>
      </c>
      <c r="AD4629">
        <v>0</v>
      </c>
      <c r="AE4629">
        <v>10841257</v>
      </c>
      <c r="AF4629" t="s">
        <v>50</v>
      </c>
      <c r="AG4629" t="s">
        <v>8710</v>
      </c>
    </row>
    <row r="4630" spans="1:33" x14ac:dyDescent="0.35">
      <c r="A4630" s="1">
        <v>44594.486111111109</v>
      </c>
      <c r="B4630">
        <v>2035955</v>
      </c>
      <c r="C4630" t="s">
        <v>9397</v>
      </c>
      <c r="D4630" t="s">
        <v>170</v>
      </c>
      <c r="E4630" s="2">
        <v>42045</v>
      </c>
      <c r="F4630" t="str">
        <f>"9781462915026"</f>
        <v>9781462915026</v>
      </c>
      <c r="G4630" t="str">
        <f>"9784805313404"</f>
        <v>9784805313404</v>
      </c>
      <c r="H4630" t="s">
        <v>171</v>
      </c>
      <c r="I4630" t="s">
        <v>9398</v>
      </c>
      <c r="J4630" t="s">
        <v>9399</v>
      </c>
      <c r="K4630" t="s">
        <v>44</v>
      </c>
      <c r="N4630" t="s">
        <v>45</v>
      </c>
      <c r="O4630" t="s">
        <v>46</v>
      </c>
      <c r="P4630" t="s">
        <v>45</v>
      </c>
      <c r="Q4630" t="s">
        <v>47</v>
      </c>
      <c r="R4630" t="s">
        <v>44</v>
      </c>
      <c r="S4630">
        <v>0</v>
      </c>
      <c r="W4630" s="3">
        <v>7.175925925925927E-4</v>
      </c>
      <c r="X4630" t="s">
        <v>9400</v>
      </c>
      <c r="Y4630">
        <v>6</v>
      </c>
      <c r="Z4630">
        <v>0</v>
      </c>
      <c r="AA4630" t="s">
        <v>49</v>
      </c>
      <c r="AB4630">
        <v>0</v>
      </c>
      <c r="AC4630" t="s">
        <v>49</v>
      </c>
      <c r="AD4630">
        <v>0</v>
      </c>
      <c r="AE4630">
        <v>11055839</v>
      </c>
      <c r="AF4630" t="s">
        <v>50</v>
      </c>
      <c r="AG4630" t="s">
        <v>8710</v>
      </c>
    </row>
    <row r="4631" spans="1:33" x14ac:dyDescent="0.35">
      <c r="A4631" s="1">
        <v>44594.48333333333</v>
      </c>
      <c r="B4631">
        <v>1507301</v>
      </c>
      <c r="C4631" t="s">
        <v>9401</v>
      </c>
      <c r="D4631" t="s">
        <v>170</v>
      </c>
      <c r="E4631" s="2">
        <v>39005</v>
      </c>
      <c r="F4631" t="str">
        <f>"9781462910632"</f>
        <v>9781462910632</v>
      </c>
      <c r="G4631" t="str">
        <f>"9780804837798"</f>
        <v>9780804837798</v>
      </c>
      <c r="H4631" t="s">
        <v>171</v>
      </c>
      <c r="I4631">
        <v>495.61099999999999</v>
      </c>
      <c r="J4631" t="s">
        <v>9402</v>
      </c>
      <c r="K4631" t="s">
        <v>44</v>
      </c>
      <c r="N4631" t="s">
        <v>45</v>
      </c>
      <c r="O4631" t="s">
        <v>46</v>
      </c>
      <c r="P4631" t="s">
        <v>45</v>
      </c>
      <c r="Q4631" t="s">
        <v>47</v>
      </c>
      <c r="R4631" t="s">
        <v>44</v>
      </c>
      <c r="S4631">
        <v>0</v>
      </c>
      <c r="W4631" s="3">
        <v>2.4652777777777776E-3</v>
      </c>
      <c r="X4631" t="s">
        <v>9403</v>
      </c>
      <c r="Y4631">
        <v>21</v>
      </c>
      <c r="Z4631">
        <v>1</v>
      </c>
      <c r="AA4631" t="s">
        <v>9404</v>
      </c>
      <c r="AB4631">
        <v>14</v>
      </c>
      <c r="AC4631" t="s">
        <v>49</v>
      </c>
      <c r="AD4631">
        <v>0</v>
      </c>
      <c r="AE4631">
        <v>10795880</v>
      </c>
      <c r="AF4631" t="s">
        <v>50</v>
      </c>
      <c r="AG4631" t="s">
        <v>8710</v>
      </c>
    </row>
    <row r="4632" spans="1:33" x14ac:dyDescent="0.35">
      <c r="A4632" s="1">
        <v>44594.438194444447</v>
      </c>
      <c r="B4632">
        <v>4860513</v>
      </c>
      <c r="C4632" t="s">
        <v>9405</v>
      </c>
      <c r="D4632" t="s">
        <v>59</v>
      </c>
      <c r="E4632" s="2">
        <v>42885</v>
      </c>
      <c r="F4632" t="str">
        <f>"9781119229056"</f>
        <v>9781119229056</v>
      </c>
      <c r="G4632" t="str">
        <f>"9781119229049"</f>
        <v>9781119229049</v>
      </c>
      <c r="H4632" t="s">
        <v>100</v>
      </c>
      <c r="I4632">
        <v>625.14028556999995</v>
      </c>
      <c r="J4632" t="s">
        <v>9406</v>
      </c>
      <c r="K4632" t="s">
        <v>44</v>
      </c>
      <c r="N4632" t="s">
        <v>45</v>
      </c>
      <c r="O4632" t="s">
        <v>46</v>
      </c>
      <c r="P4632" t="s">
        <v>45</v>
      </c>
      <c r="Q4632" t="s">
        <v>47</v>
      </c>
      <c r="R4632" t="s">
        <v>44</v>
      </c>
      <c r="S4632">
        <v>0</v>
      </c>
      <c r="W4632" s="3">
        <v>2.9282407407407412E-3</v>
      </c>
      <c r="X4632" t="s">
        <v>9407</v>
      </c>
      <c r="Y4632">
        <v>13</v>
      </c>
      <c r="Z4632">
        <v>0</v>
      </c>
      <c r="AA4632" t="s">
        <v>49</v>
      </c>
      <c r="AB4632">
        <v>0</v>
      </c>
      <c r="AC4632" t="s">
        <v>752</v>
      </c>
      <c r="AD4632">
        <v>1</v>
      </c>
      <c r="AE4632">
        <v>11385347</v>
      </c>
      <c r="AF4632" t="s">
        <v>50</v>
      </c>
      <c r="AG4632" t="s">
        <v>5698</v>
      </c>
    </row>
    <row r="4633" spans="1:33" x14ac:dyDescent="0.35">
      <c r="A4633" s="1">
        <v>44594.415972222225</v>
      </c>
      <c r="B4633">
        <v>1816432</v>
      </c>
      <c r="C4633" t="s">
        <v>9318</v>
      </c>
      <c r="D4633" t="s">
        <v>125</v>
      </c>
      <c r="E4633" s="2">
        <v>42085</v>
      </c>
      <c r="F4633" t="str">
        <f>"9780191651397"</f>
        <v>9780191651397</v>
      </c>
      <c r="G4633" t="str">
        <f>"9780199671618"</f>
        <v>9780199671618</v>
      </c>
      <c r="H4633" t="s">
        <v>147</v>
      </c>
      <c r="I4633">
        <v>616.83075480000002</v>
      </c>
      <c r="J4633" t="s">
        <v>9319</v>
      </c>
      <c r="K4633" t="s">
        <v>44</v>
      </c>
      <c r="N4633" t="s">
        <v>45</v>
      </c>
      <c r="O4633" t="s">
        <v>46</v>
      </c>
      <c r="P4633" t="s">
        <v>45</v>
      </c>
      <c r="Q4633" t="s">
        <v>47</v>
      </c>
      <c r="R4633" t="s">
        <v>44</v>
      </c>
      <c r="S4633">
        <v>0</v>
      </c>
      <c r="W4633" s="3">
        <v>4.6296296296296294E-5</v>
      </c>
      <c r="X4633" t="s">
        <v>121</v>
      </c>
      <c r="Y4633">
        <v>1</v>
      </c>
      <c r="Z4633">
        <v>0</v>
      </c>
      <c r="AA4633" t="s">
        <v>49</v>
      </c>
      <c r="AB4633">
        <v>0</v>
      </c>
      <c r="AC4633" t="s">
        <v>49</v>
      </c>
      <c r="AD4633">
        <v>0</v>
      </c>
      <c r="AE4633">
        <v>10954059</v>
      </c>
      <c r="AF4633" t="s">
        <v>50</v>
      </c>
      <c r="AG4633" t="s">
        <v>8710</v>
      </c>
    </row>
    <row r="4634" spans="1:33" x14ac:dyDescent="0.35">
      <c r="A4634" s="1">
        <v>44594.379861111112</v>
      </c>
      <c r="B4634">
        <v>1816432</v>
      </c>
      <c r="C4634" t="s">
        <v>9318</v>
      </c>
      <c r="D4634" t="s">
        <v>125</v>
      </c>
      <c r="E4634" s="2">
        <v>42085</v>
      </c>
      <c r="F4634" t="str">
        <f>"9780191651397"</f>
        <v>9780191651397</v>
      </c>
      <c r="G4634" t="str">
        <f>"9780199671618"</f>
        <v>9780199671618</v>
      </c>
      <c r="H4634" t="s">
        <v>147</v>
      </c>
      <c r="I4634">
        <v>616.83075480000002</v>
      </c>
      <c r="J4634" t="s">
        <v>9319</v>
      </c>
      <c r="K4634" t="s">
        <v>44</v>
      </c>
      <c r="N4634" t="s">
        <v>45</v>
      </c>
      <c r="O4634" t="s">
        <v>46</v>
      </c>
      <c r="P4634" t="s">
        <v>45</v>
      </c>
      <c r="Q4634" t="s">
        <v>47</v>
      </c>
      <c r="R4634" t="s">
        <v>44</v>
      </c>
      <c r="S4634">
        <v>0</v>
      </c>
      <c r="W4634" s="3">
        <v>6.9444444444444444E-5</v>
      </c>
      <c r="X4634" t="s">
        <v>121</v>
      </c>
      <c r="Y4634">
        <v>1</v>
      </c>
      <c r="Z4634">
        <v>0</v>
      </c>
      <c r="AA4634" t="s">
        <v>49</v>
      </c>
      <c r="AB4634">
        <v>0</v>
      </c>
      <c r="AC4634" t="s">
        <v>49</v>
      </c>
      <c r="AD4634">
        <v>0</v>
      </c>
      <c r="AE4634">
        <v>10954059</v>
      </c>
      <c r="AF4634" t="s">
        <v>50</v>
      </c>
      <c r="AG4634" t="s">
        <v>8710</v>
      </c>
    </row>
    <row r="4635" spans="1:33" x14ac:dyDescent="0.35">
      <c r="A4635" s="1">
        <v>44593.760416666664</v>
      </c>
      <c r="B4635">
        <v>3433778</v>
      </c>
      <c r="C4635" t="s">
        <v>9408</v>
      </c>
      <c r="D4635" t="s">
        <v>303</v>
      </c>
      <c r="E4635" s="2">
        <v>42139</v>
      </c>
      <c r="F4635" t="str">
        <f>"9780262327077"</f>
        <v>9780262327077</v>
      </c>
      <c r="G4635" t="str">
        <f>"9780262527330"</f>
        <v>9780262527330</v>
      </c>
      <c r="H4635" t="s">
        <v>9409</v>
      </c>
      <c r="I4635">
        <v>553.20000000000005</v>
      </c>
      <c r="J4635" t="s">
        <v>9410</v>
      </c>
      <c r="K4635" t="s">
        <v>44</v>
      </c>
      <c r="N4635" t="s">
        <v>45</v>
      </c>
      <c r="O4635" t="s">
        <v>46</v>
      </c>
      <c r="P4635" t="s">
        <v>45</v>
      </c>
      <c r="Q4635" t="s">
        <v>47</v>
      </c>
      <c r="R4635" t="s">
        <v>44</v>
      </c>
      <c r="S4635">
        <v>0</v>
      </c>
      <c r="W4635" s="3">
        <v>1.1238425925925928E-2</v>
      </c>
      <c r="X4635" t="s">
        <v>1304</v>
      </c>
      <c r="Y4635">
        <v>3</v>
      </c>
      <c r="Z4635">
        <v>0</v>
      </c>
      <c r="AA4635" t="s">
        <v>49</v>
      </c>
      <c r="AB4635">
        <v>0</v>
      </c>
      <c r="AC4635" t="s">
        <v>5579</v>
      </c>
      <c r="AD4635">
        <v>2</v>
      </c>
      <c r="AE4635">
        <v>11057111</v>
      </c>
      <c r="AF4635" t="s">
        <v>50</v>
      </c>
      <c r="AG4635" t="s">
        <v>9307</v>
      </c>
    </row>
    <row r="4636" spans="1:33" x14ac:dyDescent="0.35">
      <c r="A4636" s="1">
        <v>44593.70208333333</v>
      </c>
      <c r="B4636">
        <v>6424571</v>
      </c>
      <c r="C4636" t="s">
        <v>9411</v>
      </c>
      <c r="D4636" t="s">
        <v>59</v>
      </c>
      <c r="E4636" s="2">
        <v>44203</v>
      </c>
      <c r="F4636" t="str">
        <f>"9781119692713"</f>
        <v>9781119692713</v>
      </c>
      <c r="G4636" t="str">
        <f>"9781119692584"</f>
        <v>9781119692584</v>
      </c>
      <c r="H4636" t="s">
        <v>233</v>
      </c>
      <c r="I4636">
        <v>629.46429999999998</v>
      </c>
      <c r="J4636" t="s">
        <v>9412</v>
      </c>
      <c r="K4636" t="s">
        <v>55</v>
      </c>
      <c r="N4636" t="s">
        <v>79</v>
      </c>
      <c r="P4636" t="s">
        <v>80</v>
      </c>
      <c r="Q4636" t="s">
        <v>47</v>
      </c>
      <c r="R4636" t="s">
        <v>44</v>
      </c>
      <c r="S4636">
        <v>1</v>
      </c>
      <c r="T4636">
        <v>90</v>
      </c>
      <c r="U4636" s="1">
        <v>44593.70208333333</v>
      </c>
      <c r="V4636" s="1">
        <v>44683.70208333333</v>
      </c>
      <c r="W4636" s="3">
        <v>0</v>
      </c>
      <c r="X4636" t="s">
        <v>49</v>
      </c>
      <c r="Y4636">
        <v>0</v>
      </c>
      <c r="Z4636">
        <v>0</v>
      </c>
      <c r="AA4636" t="s">
        <v>49</v>
      </c>
      <c r="AB4636">
        <v>0</v>
      </c>
      <c r="AC4636" t="s">
        <v>49</v>
      </c>
      <c r="AD4636">
        <v>0</v>
      </c>
      <c r="AE4636">
        <v>-1</v>
      </c>
      <c r="AF4636" t="s">
        <v>63</v>
      </c>
      <c r="AG4636" t="s">
        <v>8710</v>
      </c>
    </row>
    <row r="4637" spans="1:33" x14ac:dyDescent="0.35">
      <c r="A4637" s="1">
        <v>44593.6875</v>
      </c>
      <c r="B4637">
        <v>1688023</v>
      </c>
      <c r="C4637" t="s">
        <v>9413</v>
      </c>
      <c r="D4637" t="s">
        <v>59</v>
      </c>
      <c r="E4637" s="2">
        <v>41778</v>
      </c>
      <c r="F4637" t="str">
        <f>"9781118931004"</f>
        <v>9781118931004</v>
      </c>
      <c r="G4637" t="str">
        <f>"9781118930991"</f>
        <v>9781118930991</v>
      </c>
      <c r="H4637" t="s">
        <v>1349</v>
      </c>
      <c r="I4637" t="s">
        <v>9414</v>
      </c>
      <c r="J4637" t="s">
        <v>9415</v>
      </c>
      <c r="K4637" t="s">
        <v>44</v>
      </c>
      <c r="N4637" t="s">
        <v>45</v>
      </c>
      <c r="O4637" t="s">
        <v>46</v>
      </c>
      <c r="P4637" t="s">
        <v>45</v>
      </c>
      <c r="Q4637" t="s">
        <v>47</v>
      </c>
      <c r="R4637" t="s">
        <v>44</v>
      </c>
      <c r="S4637">
        <v>0</v>
      </c>
      <c r="W4637" s="3">
        <v>2.4305555555555552E-4</v>
      </c>
      <c r="X4637" t="s">
        <v>4135</v>
      </c>
      <c r="Y4637">
        <v>4</v>
      </c>
      <c r="Z4637">
        <v>0</v>
      </c>
      <c r="AA4637" t="s">
        <v>49</v>
      </c>
      <c r="AB4637">
        <v>0</v>
      </c>
      <c r="AC4637" t="s">
        <v>49</v>
      </c>
      <c r="AD4637">
        <v>0</v>
      </c>
      <c r="AE4637">
        <v>10870260</v>
      </c>
      <c r="AF4637" t="s">
        <v>50</v>
      </c>
      <c r="AG4637" t="s">
        <v>9307</v>
      </c>
    </row>
    <row r="4638" spans="1:33" x14ac:dyDescent="0.35">
      <c r="A4638" s="1">
        <v>44593.668749999997</v>
      </c>
      <c r="B4638">
        <v>3339142</v>
      </c>
      <c r="C4638" t="s">
        <v>7658</v>
      </c>
      <c r="D4638" t="s">
        <v>303</v>
      </c>
      <c r="E4638" s="2">
        <v>40025</v>
      </c>
      <c r="F4638" t="str">
        <f>"9780262270830"</f>
        <v>9780262270830</v>
      </c>
      <c r="G4638" t="str">
        <f>"9780262033848"</f>
        <v>9780262033848</v>
      </c>
      <c r="H4638" t="s">
        <v>138</v>
      </c>
      <c r="I4638">
        <v>5.0999999999999996</v>
      </c>
      <c r="J4638" t="s">
        <v>7659</v>
      </c>
      <c r="K4638" t="s">
        <v>44</v>
      </c>
      <c r="N4638" t="s">
        <v>45</v>
      </c>
      <c r="O4638" t="s">
        <v>46</v>
      </c>
      <c r="P4638" t="s">
        <v>45</v>
      </c>
      <c r="Q4638" t="s">
        <v>47</v>
      </c>
      <c r="R4638" t="s">
        <v>44</v>
      </c>
      <c r="S4638">
        <v>0</v>
      </c>
      <c r="W4638" s="3">
        <v>1.1898148148148149E-2</v>
      </c>
      <c r="X4638" t="s">
        <v>9416</v>
      </c>
      <c r="Y4638">
        <v>36</v>
      </c>
      <c r="Z4638">
        <v>0</v>
      </c>
      <c r="AA4638" t="s">
        <v>49</v>
      </c>
      <c r="AB4638">
        <v>0</v>
      </c>
      <c r="AC4638" t="s">
        <v>49</v>
      </c>
      <c r="AD4638">
        <v>0</v>
      </c>
      <c r="AE4638">
        <v>10397652</v>
      </c>
      <c r="AF4638" t="s">
        <v>50</v>
      </c>
      <c r="AG4638" t="s">
        <v>8908</v>
      </c>
    </row>
    <row r="4639" spans="1:33" x14ac:dyDescent="0.35">
      <c r="A4639" s="1">
        <v>44593.618750000001</v>
      </c>
      <c r="B4639">
        <v>294338</v>
      </c>
      <c r="C4639" t="s">
        <v>7595</v>
      </c>
      <c r="D4639" t="s">
        <v>65</v>
      </c>
      <c r="E4639" s="2">
        <v>38999</v>
      </c>
      <c r="F4639" t="str">
        <f>"9780080480589"</f>
        <v>9780080480589</v>
      </c>
      <c r="G4639" t="str">
        <f>"9781493300723"</f>
        <v>9781493300723</v>
      </c>
      <c r="H4639" t="s">
        <v>6985</v>
      </c>
      <c r="I4639">
        <v>621.36779999999999</v>
      </c>
      <c r="J4639" t="s">
        <v>7596</v>
      </c>
      <c r="K4639" t="s">
        <v>44</v>
      </c>
      <c r="N4639" t="s">
        <v>45</v>
      </c>
      <c r="O4639" t="s">
        <v>46</v>
      </c>
      <c r="P4639" t="s">
        <v>45</v>
      </c>
      <c r="Q4639" t="s">
        <v>47</v>
      </c>
      <c r="R4639" t="s">
        <v>44</v>
      </c>
      <c r="S4639">
        <v>0</v>
      </c>
      <c r="W4639" s="3">
        <v>2.6620370370370372E-4</v>
      </c>
      <c r="X4639" t="s">
        <v>9417</v>
      </c>
      <c r="Y4639">
        <v>3</v>
      </c>
      <c r="Z4639">
        <v>1</v>
      </c>
      <c r="AA4639" t="s">
        <v>9338</v>
      </c>
      <c r="AB4639">
        <v>30</v>
      </c>
      <c r="AC4639" t="s">
        <v>49</v>
      </c>
      <c r="AD4639">
        <v>0</v>
      </c>
      <c r="AE4639">
        <v>10186058</v>
      </c>
      <c r="AF4639" t="s">
        <v>50</v>
      </c>
      <c r="AG4639" t="s">
        <v>8710</v>
      </c>
    </row>
    <row r="4640" spans="1:33" x14ac:dyDescent="0.35">
      <c r="A4640" s="1">
        <v>44593.579861111109</v>
      </c>
      <c r="B4640">
        <v>4354964</v>
      </c>
      <c r="C4640" t="s">
        <v>9418</v>
      </c>
      <c r="D4640" t="s">
        <v>2116</v>
      </c>
      <c r="E4640" s="2">
        <v>42391</v>
      </c>
      <c r="F4640" t="str">
        <f>"9781606507087"</f>
        <v>9781606507087</v>
      </c>
      <c r="G4640" t="str">
        <f>"9781606507070"</f>
        <v>9781606507070</v>
      </c>
      <c r="H4640" t="s">
        <v>1545</v>
      </c>
      <c r="K4640" t="s">
        <v>44</v>
      </c>
      <c r="N4640" t="s">
        <v>45</v>
      </c>
      <c r="O4640" t="s">
        <v>46</v>
      </c>
      <c r="P4640" t="s">
        <v>45</v>
      </c>
      <c r="Q4640" t="s">
        <v>47</v>
      </c>
      <c r="R4640" t="s">
        <v>44</v>
      </c>
      <c r="S4640">
        <v>0</v>
      </c>
      <c r="W4640" s="3">
        <v>1.3194444444444443E-3</v>
      </c>
      <c r="X4640" t="s">
        <v>9419</v>
      </c>
      <c r="Y4640">
        <v>7</v>
      </c>
      <c r="Z4640">
        <v>0</v>
      </c>
      <c r="AA4640" t="s">
        <v>49</v>
      </c>
      <c r="AB4640">
        <v>0</v>
      </c>
      <c r="AC4640" t="s">
        <v>49</v>
      </c>
      <c r="AD4640">
        <v>0</v>
      </c>
      <c r="AE4640">
        <v>11149532</v>
      </c>
      <c r="AF4640" t="s">
        <v>50</v>
      </c>
      <c r="AG4640" t="s">
        <v>8710</v>
      </c>
    </row>
    <row r="4641" spans="1:33" x14ac:dyDescent="0.35">
      <c r="A4641" s="1">
        <v>44593.556250000001</v>
      </c>
      <c r="B4641">
        <v>6533324</v>
      </c>
      <c r="C4641" t="s">
        <v>9420</v>
      </c>
      <c r="D4641" t="s">
        <v>614</v>
      </c>
      <c r="E4641" s="2">
        <v>44288</v>
      </c>
      <c r="F4641" t="str">
        <f>"9789813347304"</f>
        <v>9789813347304</v>
      </c>
      <c r="G4641" t="str">
        <f>"9789813347298"</f>
        <v>9789813347298</v>
      </c>
      <c r="H4641" t="s">
        <v>5961</v>
      </c>
      <c r="I4641">
        <v>327.47053599999998</v>
      </c>
      <c r="J4641" t="s">
        <v>9421</v>
      </c>
      <c r="K4641" t="s">
        <v>55</v>
      </c>
      <c r="N4641" t="s">
        <v>79</v>
      </c>
      <c r="P4641" t="s">
        <v>80</v>
      </c>
      <c r="Q4641" t="s">
        <v>47</v>
      </c>
      <c r="R4641" t="s">
        <v>44</v>
      </c>
      <c r="S4641">
        <v>0</v>
      </c>
      <c r="W4641" s="3">
        <v>1.9409722222222221E-2</v>
      </c>
      <c r="X4641" t="s">
        <v>9422</v>
      </c>
      <c r="Y4641">
        <v>125</v>
      </c>
      <c r="Z4641">
        <v>2</v>
      </c>
      <c r="AA4641" t="s">
        <v>9423</v>
      </c>
      <c r="AB4641">
        <v>50</v>
      </c>
      <c r="AC4641" t="s">
        <v>49</v>
      </c>
      <c r="AD4641">
        <v>0</v>
      </c>
      <c r="AE4641">
        <v>-1</v>
      </c>
      <c r="AF4641" t="s">
        <v>50</v>
      </c>
      <c r="AG4641" t="s">
        <v>8710</v>
      </c>
    </row>
    <row r="4642" spans="1:33" x14ac:dyDescent="0.35">
      <c r="A4642" s="1">
        <v>44593.532638888886</v>
      </c>
      <c r="B4642">
        <v>3016843</v>
      </c>
      <c r="C4642" t="s">
        <v>8542</v>
      </c>
      <c r="D4642" t="s">
        <v>8543</v>
      </c>
      <c r="E4642" s="2">
        <v>39173</v>
      </c>
      <c r="F4642" t="str">
        <f>"9781593322861"</f>
        <v>9781593322861</v>
      </c>
      <c r="G4642" t="str">
        <f>"9781593321970"</f>
        <v>9781593321970</v>
      </c>
      <c r="H4642" t="s">
        <v>1046</v>
      </c>
      <c r="I4642">
        <v>364.360973</v>
      </c>
      <c r="J4642" t="s">
        <v>8544</v>
      </c>
      <c r="K4642" t="s">
        <v>44</v>
      </c>
      <c r="N4642" t="s">
        <v>45</v>
      </c>
      <c r="O4642" t="s">
        <v>46</v>
      </c>
      <c r="P4642" t="s">
        <v>177</v>
      </c>
      <c r="Q4642" t="s">
        <v>47</v>
      </c>
      <c r="R4642" t="s">
        <v>55</v>
      </c>
      <c r="S4642">
        <v>0</v>
      </c>
      <c r="W4642" s="3">
        <v>1.2708333333333334E-2</v>
      </c>
      <c r="X4642" t="s">
        <v>9424</v>
      </c>
      <c r="Y4642">
        <v>66</v>
      </c>
      <c r="Z4642">
        <v>0</v>
      </c>
      <c r="AA4642" t="s">
        <v>49</v>
      </c>
      <c r="AB4642">
        <v>0</v>
      </c>
      <c r="AC4642" t="s">
        <v>49</v>
      </c>
      <c r="AD4642">
        <v>0</v>
      </c>
      <c r="AE4642">
        <v>10225153</v>
      </c>
      <c r="AF4642" t="s">
        <v>50</v>
      </c>
      <c r="AG4642" t="s">
        <v>528</v>
      </c>
    </row>
    <row r="4643" spans="1:33" x14ac:dyDescent="0.35">
      <c r="A4643" s="1">
        <v>44593.502083333333</v>
      </c>
      <c r="B4643">
        <v>254370</v>
      </c>
      <c r="C4643" t="s">
        <v>7986</v>
      </c>
      <c r="D4643" t="s">
        <v>76</v>
      </c>
      <c r="E4643" s="2">
        <v>38708</v>
      </c>
      <c r="F4643" t="str">
        <f>"9780203479469"</f>
        <v>9780203479469</v>
      </c>
      <c r="G4643" t="str">
        <f>"9780415700740"</f>
        <v>9780415700740</v>
      </c>
      <c r="H4643" t="s">
        <v>1046</v>
      </c>
      <c r="I4643" t="s">
        <v>3427</v>
      </c>
      <c r="J4643" t="s">
        <v>7987</v>
      </c>
      <c r="K4643" t="s">
        <v>44</v>
      </c>
      <c r="N4643" t="s">
        <v>45</v>
      </c>
      <c r="O4643" t="s">
        <v>46</v>
      </c>
      <c r="P4643" t="s">
        <v>45</v>
      </c>
      <c r="Q4643" t="s">
        <v>47</v>
      </c>
      <c r="R4643" t="s">
        <v>44</v>
      </c>
      <c r="S4643">
        <v>1</v>
      </c>
      <c r="W4643" s="3">
        <v>0</v>
      </c>
      <c r="X4643" t="s">
        <v>49</v>
      </c>
      <c r="Y4643">
        <v>0</v>
      </c>
      <c r="Z4643">
        <v>0</v>
      </c>
      <c r="AA4643" t="s">
        <v>49</v>
      </c>
      <c r="AB4643">
        <v>0</v>
      </c>
      <c r="AC4643" t="s">
        <v>49</v>
      </c>
      <c r="AD4643">
        <v>0</v>
      </c>
      <c r="AE4643">
        <v>10163367</v>
      </c>
      <c r="AF4643" t="s">
        <v>63</v>
      </c>
      <c r="AG4643" t="s">
        <v>8710</v>
      </c>
    </row>
    <row r="4644" spans="1:33" x14ac:dyDescent="0.35">
      <c r="A4644" s="1">
        <v>44593.500694444447</v>
      </c>
      <c r="B4644">
        <v>254370</v>
      </c>
      <c r="C4644" t="s">
        <v>7986</v>
      </c>
      <c r="D4644" t="s">
        <v>76</v>
      </c>
      <c r="E4644" s="2">
        <v>38708</v>
      </c>
      <c r="F4644" t="str">
        <f>"9780203479469"</f>
        <v>9780203479469</v>
      </c>
      <c r="G4644" t="str">
        <f>"9780415700740"</f>
        <v>9780415700740</v>
      </c>
      <c r="H4644" t="s">
        <v>1046</v>
      </c>
      <c r="I4644" t="s">
        <v>3427</v>
      </c>
      <c r="J4644" t="s">
        <v>7987</v>
      </c>
      <c r="K4644" t="s">
        <v>44</v>
      </c>
      <c r="N4644" t="s">
        <v>45</v>
      </c>
      <c r="O4644" t="s">
        <v>46</v>
      </c>
      <c r="P4644" t="s">
        <v>45</v>
      </c>
      <c r="Q4644" t="s">
        <v>47</v>
      </c>
      <c r="R4644" t="s">
        <v>44</v>
      </c>
      <c r="S4644">
        <v>0</v>
      </c>
      <c r="W4644" s="3">
        <v>1.0185185185185186E-3</v>
      </c>
      <c r="X4644" t="s">
        <v>9425</v>
      </c>
      <c r="Y4644">
        <v>9</v>
      </c>
      <c r="Z4644">
        <v>0</v>
      </c>
      <c r="AA4644" t="s">
        <v>49</v>
      </c>
      <c r="AB4644">
        <v>0</v>
      </c>
      <c r="AC4644" t="s">
        <v>49</v>
      </c>
      <c r="AD4644">
        <v>0</v>
      </c>
      <c r="AE4644">
        <v>10163367</v>
      </c>
      <c r="AF4644" t="s">
        <v>50</v>
      </c>
      <c r="AG4644" t="s">
        <v>8710</v>
      </c>
    </row>
    <row r="4645" spans="1:33" x14ac:dyDescent="0.35">
      <c r="A4645" s="1">
        <v>44593.48541666667</v>
      </c>
      <c r="B4645">
        <v>585479</v>
      </c>
      <c r="C4645" t="s">
        <v>8882</v>
      </c>
      <c r="D4645" t="s">
        <v>76</v>
      </c>
      <c r="E4645" s="2">
        <v>40387</v>
      </c>
      <c r="F4645" t="str">
        <f>"9781849776462"</f>
        <v>9781849776462</v>
      </c>
      <c r="G4645" t="str">
        <f>"9781844078226"</f>
        <v>9781844078226</v>
      </c>
      <c r="H4645" t="s">
        <v>8883</v>
      </c>
      <c r="I4645" t="s">
        <v>8884</v>
      </c>
      <c r="J4645" t="s">
        <v>8885</v>
      </c>
      <c r="K4645" t="s">
        <v>44</v>
      </c>
      <c r="N4645" t="s">
        <v>45</v>
      </c>
      <c r="O4645" t="s">
        <v>46</v>
      </c>
      <c r="P4645" t="s">
        <v>45</v>
      </c>
      <c r="Q4645" t="s">
        <v>47</v>
      </c>
      <c r="R4645" t="s">
        <v>44</v>
      </c>
      <c r="S4645">
        <v>0</v>
      </c>
      <c r="W4645" s="3">
        <v>7.1759259259259259E-3</v>
      </c>
      <c r="X4645" t="s">
        <v>9426</v>
      </c>
      <c r="Y4645">
        <v>21</v>
      </c>
      <c r="Z4645">
        <v>0</v>
      </c>
      <c r="AA4645" t="s">
        <v>49</v>
      </c>
      <c r="AB4645">
        <v>0</v>
      </c>
      <c r="AC4645" t="s">
        <v>49</v>
      </c>
      <c r="AD4645">
        <v>0</v>
      </c>
      <c r="AE4645">
        <v>10420052</v>
      </c>
      <c r="AF4645" t="s">
        <v>50</v>
      </c>
      <c r="AG4645" t="s">
        <v>8710</v>
      </c>
    </row>
    <row r="4646" spans="1:33" x14ac:dyDescent="0.35">
      <c r="A4646" s="1">
        <v>44593.414583333331</v>
      </c>
      <c r="B4646">
        <v>333985</v>
      </c>
      <c r="C4646" t="s">
        <v>9427</v>
      </c>
      <c r="D4646" t="s">
        <v>65</v>
      </c>
      <c r="E4646" s="2">
        <v>38128</v>
      </c>
      <c r="F4646" t="str">
        <f>"9780080490519"</f>
        <v>9780080490519</v>
      </c>
      <c r="G4646" t="str">
        <f>"9781558608566"</f>
        <v>9781558608566</v>
      </c>
      <c r="H4646" t="s">
        <v>9428</v>
      </c>
      <c r="I4646">
        <v>6.3330000000000002</v>
      </c>
      <c r="J4646" t="s">
        <v>9429</v>
      </c>
      <c r="K4646" t="s">
        <v>44</v>
      </c>
      <c r="N4646" t="s">
        <v>45</v>
      </c>
      <c r="O4646" t="s">
        <v>46</v>
      </c>
      <c r="P4646" t="s">
        <v>45</v>
      </c>
      <c r="Q4646" t="s">
        <v>47</v>
      </c>
      <c r="R4646" t="s">
        <v>44</v>
      </c>
      <c r="S4646">
        <v>1</v>
      </c>
      <c r="W4646" s="3">
        <v>1.1574074074074073E-5</v>
      </c>
      <c r="X4646" t="s">
        <v>49</v>
      </c>
      <c r="Y4646">
        <v>0</v>
      </c>
      <c r="Z4646">
        <v>0</v>
      </c>
      <c r="AA4646" t="s">
        <v>49</v>
      </c>
      <c r="AB4646">
        <v>0</v>
      </c>
      <c r="AC4646" t="s">
        <v>49</v>
      </c>
      <c r="AD4646">
        <v>0</v>
      </c>
      <c r="AE4646">
        <v>10226616</v>
      </c>
      <c r="AF4646" t="s">
        <v>63</v>
      </c>
      <c r="AG4646" t="s">
        <v>8710</v>
      </c>
    </row>
    <row r="4647" spans="1:33" x14ac:dyDescent="0.35">
      <c r="A4647" s="1">
        <v>44593.338888888888</v>
      </c>
      <c r="B4647">
        <v>776553</v>
      </c>
      <c r="C4647" t="s">
        <v>6652</v>
      </c>
      <c r="D4647" t="s">
        <v>2754</v>
      </c>
      <c r="E4647" s="2">
        <v>40729</v>
      </c>
      <c r="F4647" t="str">
        <f>"9780816678327"</f>
        <v>9780816678327</v>
      </c>
      <c r="G4647" t="str">
        <f>"9780816651344"</f>
        <v>9780816651344</v>
      </c>
      <c r="H4647" t="s">
        <v>1046</v>
      </c>
      <c r="I4647">
        <v>305.42096400000003</v>
      </c>
      <c r="J4647" t="s">
        <v>6653</v>
      </c>
      <c r="K4647" t="s">
        <v>44</v>
      </c>
      <c r="N4647" t="s">
        <v>45</v>
      </c>
      <c r="O4647" t="s">
        <v>46</v>
      </c>
      <c r="P4647" t="s">
        <v>45</v>
      </c>
      <c r="Q4647" t="s">
        <v>47</v>
      </c>
      <c r="R4647" t="s">
        <v>44</v>
      </c>
      <c r="S4647">
        <v>0</v>
      </c>
      <c r="W4647" s="3">
        <v>1.0879629629629629E-3</v>
      </c>
      <c r="X4647" t="s">
        <v>9430</v>
      </c>
      <c r="Y4647">
        <v>5</v>
      </c>
      <c r="Z4647">
        <v>0</v>
      </c>
      <c r="AA4647" t="s">
        <v>49</v>
      </c>
      <c r="AB4647">
        <v>0</v>
      </c>
      <c r="AC4647" t="s">
        <v>49</v>
      </c>
      <c r="AD4647">
        <v>0</v>
      </c>
      <c r="AE4647">
        <v>10500268</v>
      </c>
      <c r="AF4647" t="s">
        <v>50</v>
      </c>
      <c r="AG4647" t="s">
        <v>8710</v>
      </c>
    </row>
    <row r="4648" spans="1:33" x14ac:dyDescent="0.35">
      <c r="A4648" s="1">
        <v>44592.912499999999</v>
      </c>
      <c r="B4648">
        <v>3050518</v>
      </c>
      <c r="C4648" t="s">
        <v>9431</v>
      </c>
      <c r="D4648" t="s">
        <v>711</v>
      </c>
      <c r="E4648" s="2">
        <v>37226</v>
      </c>
      <c r="F4648" t="str">
        <f>"9781280088100"</f>
        <v>9781280088100</v>
      </c>
      <c r="G4648" t="str">
        <f>"9780821351055"</f>
        <v>9780821351055</v>
      </c>
      <c r="H4648" t="s">
        <v>60</v>
      </c>
      <c r="I4648" t="s">
        <v>9432</v>
      </c>
      <c r="J4648" t="s">
        <v>9433</v>
      </c>
      <c r="K4648" t="s">
        <v>44</v>
      </c>
      <c r="N4648" t="s">
        <v>45</v>
      </c>
      <c r="O4648" t="s">
        <v>46</v>
      </c>
      <c r="P4648" t="s">
        <v>177</v>
      </c>
      <c r="Q4648" t="s">
        <v>47</v>
      </c>
      <c r="R4648" t="s">
        <v>55</v>
      </c>
      <c r="S4648">
        <v>0</v>
      </c>
      <c r="W4648" s="3">
        <v>1.712962962962963E-3</v>
      </c>
      <c r="X4648" t="s">
        <v>9434</v>
      </c>
      <c r="Y4648">
        <v>7</v>
      </c>
      <c r="Z4648">
        <v>0</v>
      </c>
      <c r="AA4648" t="s">
        <v>49</v>
      </c>
      <c r="AB4648">
        <v>0</v>
      </c>
      <c r="AC4648" t="s">
        <v>49</v>
      </c>
      <c r="AD4648">
        <v>0</v>
      </c>
      <c r="AE4648">
        <v>10020686</v>
      </c>
      <c r="AF4648" t="s">
        <v>50</v>
      </c>
      <c r="AG4648" t="s">
        <v>8710</v>
      </c>
    </row>
    <row r="4649" spans="1:33" x14ac:dyDescent="0.35">
      <c r="A4649" s="1">
        <v>44592.895833333336</v>
      </c>
      <c r="B4649">
        <v>836562</v>
      </c>
      <c r="C4649" t="s">
        <v>9356</v>
      </c>
      <c r="D4649" t="s">
        <v>59</v>
      </c>
      <c r="E4649" s="2">
        <v>41743</v>
      </c>
      <c r="F4649" t="str">
        <f>"9781118220320"</f>
        <v>9781118220320</v>
      </c>
      <c r="G4649" t="str">
        <f>"9780470494394"</f>
        <v>9780470494394</v>
      </c>
      <c r="H4649" t="s">
        <v>133</v>
      </c>
      <c r="I4649" t="s">
        <v>9357</v>
      </c>
      <c r="J4649" t="s">
        <v>9358</v>
      </c>
      <c r="K4649" t="s">
        <v>44</v>
      </c>
      <c r="N4649" t="s">
        <v>45</v>
      </c>
      <c r="O4649" t="s">
        <v>46</v>
      </c>
      <c r="P4649" t="s">
        <v>45</v>
      </c>
      <c r="Q4649" t="s">
        <v>47</v>
      </c>
      <c r="R4649" t="s">
        <v>44</v>
      </c>
      <c r="S4649">
        <v>0</v>
      </c>
      <c r="W4649" s="3">
        <v>4.7800925925925919E-3</v>
      </c>
      <c r="X4649" t="s">
        <v>9435</v>
      </c>
      <c r="Y4649">
        <v>30</v>
      </c>
      <c r="Z4649">
        <v>0</v>
      </c>
      <c r="AA4649" t="s">
        <v>49</v>
      </c>
      <c r="AB4649">
        <v>0</v>
      </c>
      <c r="AC4649" t="s">
        <v>49</v>
      </c>
      <c r="AD4649">
        <v>0</v>
      </c>
      <c r="AE4649">
        <v>10849286</v>
      </c>
      <c r="AF4649" t="s">
        <v>50</v>
      </c>
      <c r="AG4649" t="s">
        <v>8710</v>
      </c>
    </row>
    <row r="4650" spans="1:33" x14ac:dyDescent="0.35">
      <c r="A4650" s="1">
        <v>44592.78125</v>
      </c>
      <c r="B4650">
        <v>534996</v>
      </c>
      <c r="C4650" t="s">
        <v>9436</v>
      </c>
      <c r="D4650" t="s">
        <v>65</v>
      </c>
      <c r="E4650" s="2">
        <v>39435</v>
      </c>
      <c r="F4650" t="str">
        <f>"9780080556703"</f>
        <v>9780080556703</v>
      </c>
      <c r="G4650" t="str">
        <f>"9780125586917"</f>
        <v>9780125586917</v>
      </c>
      <c r="H4650" t="s">
        <v>1454</v>
      </c>
      <c r="I4650">
        <v>551.52459999999996</v>
      </c>
      <c r="J4650" t="s">
        <v>9437</v>
      </c>
      <c r="K4650" t="s">
        <v>44</v>
      </c>
      <c r="N4650" t="s">
        <v>45</v>
      </c>
      <c r="O4650" t="s">
        <v>46</v>
      </c>
      <c r="P4650" t="s">
        <v>45</v>
      </c>
      <c r="Q4650" t="s">
        <v>47</v>
      </c>
      <c r="R4650" t="s">
        <v>44</v>
      </c>
      <c r="S4650">
        <v>0</v>
      </c>
      <c r="W4650" s="3">
        <v>1.5636574074074074E-2</v>
      </c>
      <c r="X4650" t="s">
        <v>9438</v>
      </c>
      <c r="Y4650">
        <v>35</v>
      </c>
      <c r="Z4650">
        <v>1</v>
      </c>
      <c r="AA4650" t="s">
        <v>4385</v>
      </c>
      <c r="AB4650">
        <v>2</v>
      </c>
      <c r="AC4650" t="s">
        <v>49</v>
      </c>
      <c r="AD4650">
        <v>0</v>
      </c>
      <c r="AE4650">
        <v>10378944</v>
      </c>
      <c r="AF4650" t="s">
        <v>50</v>
      </c>
      <c r="AG4650" t="s">
        <v>4702</v>
      </c>
    </row>
    <row r="4651" spans="1:33" x14ac:dyDescent="0.35">
      <c r="A4651" s="1">
        <v>44592.738888888889</v>
      </c>
      <c r="B4651">
        <v>294338</v>
      </c>
      <c r="C4651" t="s">
        <v>7595</v>
      </c>
      <c r="D4651" t="s">
        <v>65</v>
      </c>
      <c r="E4651" s="2">
        <v>38999</v>
      </c>
      <c r="F4651" t="str">
        <f>"9780080480589"</f>
        <v>9780080480589</v>
      </c>
      <c r="G4651" t="str">
        <f>"9781493300723"</f>
        <v>9781493300723</v>
      </c>
      <c r="H4651" t="s">
        <v>6985</v>
      </c>
      <c r="I4651">
        <v>621.36779999999999</v>
      </c>
      <c r="J4651" t="s">
        <v>7596</v>
      </c>
      <c r="K4651" t="s">
        <v>44</v>
      </c>
      <c r="N4651" t="s">
        <v>45</v>
      </c>
      <c r="O4651" t="s">
        <v>46</v>
      </c>
      <c r="P4651" t="s">
        <v>45</v>
      </c>
      <c r="Q4651" t="s">
        <v>47</v>
      </c>
      <c r="R4651" t="s">
        <v>44</v>
      </c>
      <c r="S4651">
        <v>0</v>
      </c>
      <c r="W4651" s="3">
        <v>4.2372685185185187E-2</v>
      </c>
      <c r="X4651" t="s">
        <v>9439</v>
      </c>
      <c r="Y4651">
        <v>35</v>
      </c>
      <c r="Z4651">
        <v>0</v>
      </c>
      <c r="AA4651" t="s">
        <v>49</v>
      </c>
      <c r="AB4651">
        <v>0</v>
      </c>
      <c r="AC4651" t="s">
        <v>9440</v>
      </c>
      <c r="AD4651">
        <v>2</v>
      </c>
      <c r="AE4651">
        <v>10186058</v>
      </c>
      <c r="AF4651" t="s">
        <v>50</v>
      </c>
      <c r="AG4651" t="s">
        <v>8710</v>
      </c>
    </row>
    <row r="4652" spans="1:33" x14ac:dyDescent="0.35">
      <c r="A4652" s="1">
        <v>44592.730555555558</v>
      </c>
      <c r="B4652">
        <v>313592</v>
      </c>
      <c r="C4652" t="s">
        <v>8605</v>
      </c>
      <c r="D4652" t="s">
        <v>65</v>
      </c>
      <c r="E4652" s="2">
        <v>39336</v>
      </c>
      <c r="F4652" t="str">
        <f>"9780080551913"</f>
        <v>9780080551913</v>
      </c>
      <c r="G4652" t="str">
        <f>"9780444528377"</f>
        <v>9780444528377</v>
      </c>
      <c r="H4652" t="s">
        <v>214</v>
      </c>
      <c r="I4652">
        <v>541.2242</v>
      </c>
      <c r="J4652" t="s">
        <v>8606</v>
      </c>
      <c r="K4652" t="s">
        <v>44</v>
      </c>
      <c r="N4652" t="s">
        <v>45</v>
      </c>
      <c r="O4652" t="s">
        <v>46</v>
      </c>
      <c r="P4652" t="s">
        <v>45</v>
      </c>
      <c r="Q4652" t="s">
        <v>47</v>
      </c>
      <c r="R4652" t="s">
        <v>44</v>
      </c>
      <c r="S4652">
        <v>0</v>
      </c>
      <c r="W4652" s="3">
        <v>4.9016203703703708E-2</v>
      </c>
      <c r="X4652" t="s">
        <v>9441</v>
      </c>
      <c r="Y4652">
        <v>112</v>
      </c>
      <c r="Z4652">
        <v>0</v>
      </c>
      <c r="AA4652" t="s">
        <v>49</v>
      </c>
      <c r="AB4652">
        <v>0</v>
      </c>
      <c r="AC4652" t="s">
        <v>9442</v>
      </c>
      <c r="AD4652">
        <v>3</v>
      </c>
      <c r="AE4652">
        <v>10190879</v>
      </c>
      <c r="AF4652" t="s">
        <v>50</v>
      </c>
      <c r="AG4652" t="s">
        <v>8710</v>
      </c>
    </row>
    <row r="4653" spans="1:33" x14ac:dyDescent="0.35">
      <c r="A4653" s="1">
        <v>44592.654166666667</v>
      </c>
      <c r="B4653">
        <v>4742052</v>
      </c>
      <c r="C4653" t="s">
        <v>9443</v>
      </c>
      <c r="D4653" t="s">
        <v>7257</v>
      </c>
      <c r="E4653" s="2">
        <v>42444</v>
      </c>
      <c r="F4653" t="str">
        <f>"9781780236155"</f>
        <v>9781780236155</v>
      </c>
      <c r="G4653" t="str">
        <f>"9781780235806"</f>
        <v>9781780235806</v>
      </c>
      <c r="H4653" t="s">
        <v>667</v>
      </c>
      <c r="I4653">
        <v>953.57</v>
      </c>
      <c r="J4653" t="s">
        <v>9444</v>
      </c>
      <c r="K4653" t="s">
        <v>44</v>
      </c>
      <c r="N4653" t="s">
        <v>45</v>
      </c>
      <c r="O4653" t="s">
        <v>46</v>
      </c>
      <c r="P4653" t="s">
        <v>177</v>
      </c>
      <c r="Q4653" t="s">
        <v>47</v>
      </c>
      <c r="R4653" t="s">
        <v>55</v>
      </c>
      <c r="S4653">
        <v>0</v>
      </c>
      <c r="W4653" s="3">
        <v>2.0833333333333335E-4</v>
      </c>
      <c r="X4653" t="s">
        <v>9445</v>
      </c>
      <c r="Y4653">
        <v>2</v>
      </c>
      <c r="Z4653">
        <v>0</v>
      </c>
      <c r="AA4653" t="s">
        <v>49</v>
      </c>
      <c r="AB4653">
        <v>0</v>
      </c>
      <c r="AC4653" t="s">
        <v>49</v>
      </c>
      <c r="AD4653">
        <v>0</v>
      </c>
      <c r="AE4653">
        <v>11297932</v>
      </c>
      <c r="AF4653" t="s">
        <v>50</v>
      </c>
      <c r="AG4653" t="s">
        <v>1691</v>
      </c>
    </row>
    <row r="4654" spans="1:33" x14ac:dyDescent="0.35">
      <c r="A4654" s="1">
        <v>44592.576388888891</v>
      </c>
      <c r="B4654">
        <v>4045058</v>
      </c>
      <c r="C4654" t="s">
        <v>9446</v>
      </c>
      <c r="D4654" t="s">
        <v>65</v>
      </c>
      <c r="E4654" s="2">
        <v>42317</v>
      </c>
      <c r="F4654" t="str">
        <f>"9780444636126"</f>
        <v>9780444636126</v>
      </c>
      <c r="G4654" t="str">
        <f>"9780444636072"</f>
        <v>9780444636072</v>
      </c>
      <c r="H4654" t="s">
        <v>290</v>
      </c>
      <c r="I4654">
        <v>628.21</v>
      </c>
      <c r="J4654" t="s">
        <v>9447</v>
      </c>
      <c r="K4654" t="s">
        <v>44</v>
      </c>
      <c r="N4654" t="s">
        <v>45</v>
      </c>
      <c r="O4654" t="s">
        <v>46</v>
      </c>
      <c r="P4654" t="s">
        <v>45</v>
      </c>
      <c r="Q4654" t="s">
        <v>47</v>
      </c>
      <c r="R4654" t="s">
        <v>44</v>
      </c>
      <c r="S4654">
        <v>0</v>
      </c>
      <c r="W4654" s="3">
        <v>4.9768518518518521E-4</v>
      </c>
      <c r="X4654" t="s">
        <v>9448</v>
      </c>
      <c r="Y4654">
        <v>7</v>
      </c>
      <c r="Z4654">
        <v>0</v>
      </c>
      <c r="AA4654" t="s">
        <v>49</v>
      </c>
      <c r="AB4654">
        <v>0</v>
      </c>
      <c r="AC4654" t="s">
        <v>49</v>
      </c>
      <c r="AD4654">
        <v>0</v>
      </c>
      <c r="AE4654">
        <v>11117257</v>
      </c>
      <c r="AF4654" t="s">
        <v>50</v>
      </c>
      <c r="AG4654" t="s">
        <v>8710</v>
      </c>
    </row>
    <row r="4655" spans="1:33" x14ac:dyDescent="0.35">
      <c r="A4655" s="1">
        <v>44592.489583333336</v>
      </c>
      <c r="B4655">
        <v>2128320</v>
      </c>
      <c r="C4655" t="s">
        <v>9449</v>
      </c>
      <c r="D4655" t="s">
        <v>9450</v>
      </c>
      <c r="E4655" s="2">
        <v>41500</v>
      </c>
      <c r="F4655" t="str">
        <f>"9781938548116"</f>
        <v>9781938548116</v>
      </c>
      <c r="G4655" t="str">
        <f>"9781938548093"</f>
        <v>9781938548093</v>
      </c>
      <c r="H4655" t="s">
        <v>60</v>
      </c>
      <c r="I4655">
        <v>658.404</v>
      </c>
      <c r="J4655" t="s">
        <v>9451</v>
      </c>
      <c r="K4655" t="s">
        <v>44</v>
      </c>
      <c r="N4655" t="s">
        <v>45</v>
      </c>
      <c r="O4655" t="s">
        <v>46</v>
      </c>
      <c r="P4655" t="s">
        <v>45</v>
      </c>
      <c r="Q4655" t="s">
        <v>47</v>
      </c>
      <c r="R4655" t="s">
        <v>44</v>
      </c>
      <c r="S4655">
        <v>0</v>
      </c>
      <c r="W4655" s="3">
        <v>1.621527777777778E-2</v>
      </c>
      <c r="X4655" t="s">
        <v>9452</v>
      </c>
      <c r="Y4655">
        <v>10</v>
      </c>
      <c r="Z4655">
        <v>0</v>
      </c>
      <c r="AA4655" t="s">
        <v>49</v>
      </c>
      <c r="AB4655">
        <v>0</v>
      </c>
      <c r="AC4655" t="s">
        <v>49</v>
      </c>
      <c r="AD4655">
        <v>0</v>
      </c>
      <c r="AE4655">
        <v>-1</v>
      </c>
      <c r="AF4655" t="s">
        <v>50</v>
      </c>
      <c r="AG4655" t="s">
        <v>8710</v>
      </c>
    </row>
    <row r="4656" spans="1:33" x14ac:dyDescent="0.35">
      <c r="A4656" s="1">
        <v>44592.484722222223</v>
      </c>
      <c r="B4656">
        <v>453061</v>
      </c>
      <c r="C4656" t="s">
        <v>9453</v>
      </c>
      <c r="D4656" t="s">
        <v>65</v>
      </c>
      <c r="E4656" s="2">
        <v>40080</v>
      </c>
      <c r="F4656" t="str">
        <f>"9780080949802"</f>
        <v>9780080949802</v>
      </c>
      <c r="G4656" t="str">
        <f>"9781856175487"</f>
        <v>9781856175487</v>
      </c>
      <c r="H4656" t="s">
        <v>2355</v>
      </c>
      <c r="I4656">
        <v>690.06799999999998</v>
      </c>
      <c r="J4656" t="s">
        <v>9454</v>
      </c>
      <c r="K4656" t="s">
        <v>44</v>
      </c>
      <c r="N4656" t="s">
        <v>45</v>
      </c>
      <c r="O4656" t="s">
        <v>46</v>
      </c>
      <c r="P4656" t="s">
        <v>45</v>
      </c>
      <c r="Q4656" t="s">
        <v>47</v>
      </c>
      <c r="R4656" t="s">
        <v>44</v>
      </c>
      <c r="S4656">
        <v>0</v>
      </c>
      <c r="W4656" s="3">
        <v>1.8553240740740742E-2</v>
      </c>
      <c r="X4656" t="s">
        <v>9455</v>
      </c>
      <c r="Y4656">
        <v>56</v>
      </c>
      <c r="Z4656">
        <v>2</v>
      </c>
      <c r="AA4656" t="s">
        <v>9456</v>
      </c>
      <c r="AB4656">
        <v>29</v>
      </c>
      <c r="AC4656" t="s">
        <v>49</v>
      </c>
      <c r="AD4656">
        <v>0</v>
      </c>
      <c r="AE4656">
        <v>10329372</v>
      </c>
      <c r="AF4656" t="s">
        <v>50</v>
      </c>
      <c r="AG4656" t="s">
        <v>8710</v>
      </c>
    </row>
    <row r="4657" spans="1:33" x14ac:dyDescent="0.35">
      <c r="A4657" s="1">
        <v>44592.413194444445</v>
      </c>
      <c r="B4657">
        <v>284778</v>
      </c>
      <c r="C4657" t="s">
        <v>7807</v>
      </c>
      <c r="D4657" t="s">
        <v>7808</v>
      </c>
      <c r="E4657" s="2">
        <v>38353</v>
      </c>
      <c r="F4657" t="str">
        <f>"9781280268670"</f>
        <v>9781280268670</v>
      </c>
      <c r="G4657" t="str">
        <f>"9789289013772"</f>
        <v>9789289013772</v>
      </c>
      <c r="H4657" t="s">
        <v>525</v>
      </c>
      <c r="I4657">
        <v>362.20940000000002</v>
      </c>
      <c r="J4657" t="s">
        <v>7809</v>
      </c>
      <c r="K4657" t="s">
        <v>44</v>
      </c>
      <c r="N4657" t="s">
        <v>45</v>
      </c>
      <c r="O4657" t="s">
        <v>46</v>
      </c>
      <c r="P4657" t="s">
        <v>45</v>
      </c>
      <c r="Q4657" t="s">
        <v>47</v>
      </c>
      <c r="R4657" t="s">
        <v>44</v>
      </c>
      <c r="S4657">
        <v>0</v>
      </c>
      <c r="W4657" s="3">
        <v>0</v>
      </c>
      <c r="X4657" t="s">
        <v>49</v>
      </c>
      <c r="Y4657">
        <v>0</v>
      </c>
      <c r="Z4657">
        <v>0</v>
      </c>
      <c r="AA4657" t="s">
        <v>49</v>
      </c>
      <c r="AB4657">
        <v>0</v>
      </c>
      <c r="AC4657" t="s">
        <v>49</v>
      </c>
      <c r="AD4657">
        <v>0</v>
      </c>
      <c r="AE4657">
        <v>10104339</v>
      </c>
      <c r="AF4657" t="s">
        <v>50</v>
      </c>
      <c r="AG4657" t="s">
        <v>835</v>
      </c>
    </row>
    <row r="4658" spans="1:33" x14ac:dyDescent="0.35">
      <c r="A4658" s="1">
        <v>44591.910416666666</v>
      </c>
      <c r="B4658">
        <v>3111501</v>
      </c>
      <c r="C4658" t="s">
        <v>9457</v>
      </c>
      <c r="D4658" t="s">
        <v>738</v>
      </c>
      <c r="E4658" s="2">
        <v>36526</v>
      </c>
      <c r="F4658" t="str">
        <f>"9781600861253"</f>
        <v>9781600861253</v>
      </c>
      <c r="G4658" t="str">
        <f>"9781563479267"</f>
        <v>9781563479267</v>
      </c>
      <c r="H4658" t="s">
        <v>538</v>
      </c>
      <c r="I4658" t="s">
        <v>9458</v>
      </c>
      <c r="J4658" t="s">
        <v>9459</v>
      </c>
      <c r="K4658" t="s">
        <v>44</v>
      </c>
      <c r="N4658" t="s">
        <v>45</v>
      </c>
      <c r="O4658" t="s">
        <v>46</v>
      </c>
      <c r="P4658" t="s">
        <v>45</v>
      </c>
      <c r="Q4658" t="s">
        <v>47</v>
      </c>
      <c r="R4658" t="s">
        <v>44</v>
      </c>
      <c r="S4658">
        <v>0</v>
      </c>
      <c r="W4658" s="3">
        <v>8.1018518518518516E-4</v>
      </c>
      <c r="X4658" t="s">
        <v>9460</v>
      </c>
      <c r="Y4658">
        <v>6</v>
      </c>
      <c r="Z4658">
        <v>0</v>
      </c>
      <c r="AA4658" t="s">
        <v>49</v>
      </c>
      <c r="AB4658">
        <v>0</v>
      </c>
      <c r="AC4658" t="s">
        <v>49</v>
      </c>
      <c r="AD4658">
        <v>0</v>
      </c>
      <c r="AE4658">
        <v>10516605</v>
      </c>
      <c r="AF4658" t="s">
        <v>50</v>
      </c>
      <c r="AG4658" t="s">
        <v>9461</v>
      </c>
    </row>
    <row r="4659" spans="1:33" x14ac:dyDescent="0.35">
      <c r="A4659" s="1">
        <v>44591.763888888891</v>
      </c>
      <c r="B4659">
        <v>800831</v>
      </c>
      <c r="C4659" t="s">
        <v>9270</v>
      </c>
      <c r="D4659" t="s">
        <v>125</v>
      </c>
      <c r="E4659" s="2">
        <v>40624</v>
      </c>
      <c r="F4659" t="str">
        <f>"9780199813544"</f>
        <v>9780199813544</v>
      </c>
      <c r="G4659" t="str">
        <f>"9780199730728"</f>
        <v>9780199730728</v>
      </c>
      <c r="H4659" t="s">
        <v>1626</v>
      </c>
      <c r="I4659">
        <v>551.48</v>
      </c>
      <c r="J4659" t="s">
        <v>9271</v>
      </c>
      <c r="K4659" t="s">
        <v>44</v>
      </c>
      <c r="N4659" t="s">
        <v>45</v>
      </c>
      <c r="O4659" t="s">
        <v>46</v>
      </c>
      <c r="P4659" t="s">
        <v>45</v>
      </c>
      <c r="Q4659" t="s">
        <v>47</v>
      </c>
      <c r="R4659" t="s">
        <v>44</v>
      </c>
      <c r="S4659">
        <v>0</v>
      </c>
      <c r="W4659" s="3">
        <v>4.1782407407407402E-3</v>
      </c>
      <c r="X4659" t="s">
        <v>9462</v>
      </c>
      <c r="Y4659">
        <v>21</v>
      </c>
      <c r="Z4659">
        <v>0</v>
      </c>
      <c r="AA4659" t="s">
        <v>49</v>
      </c>
      <c r="AB4659">
        <v>0</v>
      </c>
      <c r="AC4659" t="s">
        <v>49</v>
      </c>
      <c r="AD4659">
        <v>0</v>
      </c>
      <c r="AE4659">
        <v>10509689</v>
      </c>
      <c r="AF4659" t="s">
        <v>50</v>
      </c>
      <c r="AG4659" t="s">
        <v>9171</v>
      </c>
    </row>
    <row r="4660" spans="1:33" x14ac:dyDescent="0.35">
      <c r="A4660" s="1">
        <v>44591.347916666666</v>
      </c>
      <c r="B4660">
        <v>4037275</v>
      </c>
      <c r="C4660" t="s">
        <v>3891</v>
      </c>
      <c r="D4660" t="s">
        <v>3579</v>
      </c>
      <c r="E4660" s="2">
        <v>42233</v>
      </c>
      <c r="F4660" t="str">
        <f>"9781118652671"</f>
        <v>9781118652671</v>
      </c>
      <c r="G4660" t="str">
        <f>"9781118652732"</f>
        <v>9781118652732</v>
      </c>
      <c r="H4660" t="s">
        <v>237</v>
      </c>
      <c r="I4660" t="s">
        <v>7091</v>
      </c>
      <c r="J4660" t="s">
        <v>7092</v>
      </c>
      <c r="K4660" t="s">
        <v>44</v>
      </c>
      <c r="N4660" t="s">
        <v>45</v>
      </c>
      <c r="O4660" t="s">
        <v>46</v>
      </c>
      <c r="P4660" t="s">
        <v>45</v>
      </c>
      <c r="Q4660" t="s">
        <v>47</v>
      </c>
      <c r="R4660" t="s">
        <v>44</v>
      </c>
      <c r="S4660">
        <v>0</v>
      </c>
      <c r="W4660" s="3">
        <v>5.7870370370370366E-5</v>
      </c>
      <c r="X4660" t="s">
        <v>121</v>
      </c>
      <c r="Y4660">
        <v>1</v>
      </c>
      <c r="Z4660">
        <v>0</v>
      </c>
      <c r="AA4660" t="s">
        <v>49</v>
      </c>
      <c r="AB4660">
        <v>0</v>
      </c>
      <c r="AC4660" t="s">
        <v>49</v>
      </c>
      <c r="AD4660">
        <v>0</v>
      </c>
      <c r="AE4660">
        <v>11111615</v>
      </c>
      <c r="AF4660" t="s">
        <v>50</v>
      </c>
      <c r="AG4660" t="s">
        <v>9463</v>
      </c>
    </row>
    <row r="4661" spans="1:33" x14ac:dyDescent="0.35">
      <c r="A4661" s="1">
        <v>44590.969444444447</v>
      </c>
      <c r="B4661">
        <v>4678331</v>
      </c>
      <c r="C4661" t="s">
        <v>9464</v>
      </c>
      <c r="D4661" t="s">
        <v>59</v>
      </c>
      <c r="E4661" s="2">
        <v>42688</v>
      </c>
      <c r="F4661" t="str">
        <f>"9781118751213"</f>
        <v>9781118751213</v>
      </c>
      <c r="G4661" t="str">
        <f>"9781118751121"</f>
        <v>9781118751121</v>
      </c>
      <c r="H4661" t="s">
        <v>214</v>
      </c>
      <c r="I4661">
        <v>541</v>
      </c>
      <c r="J4661" t="s">
        <v>9465</v>
      </c>
      <c r="K4661" t="s">
        <v>44</v>
      </c>
      <c r="N4661" t="s">
        <v>45</v>
      </c>
      <c r="O4661" t="s">
        <v>46</v>
      </c>
      <c r="P4661" t="s">
        <v>45</v>
      </c>
      <c r="Q4661" t="s">
        <v>47</v>
      </c>
      <c r="R4661" t="s">
        <v>44</v>
      </c>
      <c r="S4661">
        <v>0</v>
      </c>
      <c r="W4661" s="3">
        <v>2.1759259259259259E-2</v>
      </c>
      <c r="X4661" t="s">
        <v>9466</v>
      </c>
      <c r="Y4661">
        <v>35</v>
      </c>
      <c r="Z4661">
        <v>0</v>
      </c>
      <c r="AA4661" t="s">
        <v>49</v>
      </c>
      <c r="AB4661">
        <v>0</v>
      </c>
      <c r="AC4661" t="s">
        <v>49</v>
      </c>
      <c r="AD4661">
        <v>0</v>
      </c>
      <c r="AE4661">
        <v>11263177</v>
      </c>
      <c r="AF4661" t="s">
        <v>50</v>
      </c>
      <c r="AG4661" t="s">
        <v>9171</v>
      </c>
    </row>
    <row r="4662" spans="1:33" x14ac:dyDescent="0.35">
      <c r="A4662" s="1">
        <v>44590.969444444447</v>
      </c>
      <c r="B4662">
        <v>1446670</v>
      </c>
      <c r="C4662" t="s">
        <v>9467</v>
      </c>
      <c r="D4662" t="s">
        <v>76</v>
      </c>
      <c r="E4662" s="2">
        <v>40883</v>
      </c>
      <c r="F4662" t="str">
        <f>"9781439897898"</f>
        <v>9781439897898</v>
      </c>
      <c r="G4662" t="str">
        <f>"9781439810774"</f>
        <v>9781439810774</v>
      </c>
      <c r="H4662" t="s">
        <v>1040</v>
      </c>
      <c r="I4662">
        <v>541</v>
      </c>
      <c r="J4662" t="s">
        <v>9468</v>
      </c>
      <c r="K4662" t="s">
        <v>44</v>
      </c>
      <c r="N4662" t="s">
        <v>45</v>
      </c>
      <c r="O4662" t="s">
        <v>46</v>
      </c>
      <c r="P4662" t="s">
        <v>45</v>
      </c>
      <c r="Q4662" t="s">
        <v>47</v>
      </c>
      <c r="R4662" t="s">
        <v>44</v>
      </c>
      <c r="S4662">
        <v>0</v>
      </c>
      <c r="W4662" s="3">
        <v>3.1597222222222222E-3</v>
      </c>
      <c r="X4662" t="s">
        <v>9469</v>
      </c>
      <c r="Y4662">
        <v>23</v>
      </c>
      <c r="Z4662">
        <v>0</v>
      </c>
      <c r="AA4662" t="s">
        <v>49</v>
      </c>
      <c r="AB4662">
        <v>0</v>
      </c>
      <c r="AC4662" t="s">
        <v>49</v>
      </c>
      <c r="AD4662">
        <v>0</v>
      </c>
      <c r="AE4662">
        <v>11166088</v>
      </c>
      <c r="AF4662" t="s">
        <v>50</v>
      </c>
      <c r="AG4662" t="s">
        <v>9171</v>
      </c>
    </row>
    <row r="4663" spans="1:33" x14ac:dyDescent="0.35">
      <c r="A4663" s="1">
        <v>44590.772222222222</v>
      </c>
      <c r="B4663">
        <v>1550541</v>
      </c>
      <c r="C4663" t="s">
        <v>9470</v>
      </c>
      <c r="D4663" t="s">
        <v>59</v>
      </c>
      <c r="E4663" s="2">
        <v>34992</v>
      </c>
      <c r="F4663" t="str">
        <f>"9780471673033"</f>
        <v>9780471673033</v>
      </c>
      <c r="G4663" t="str">
        <f>"9780471511847"</f>
        <v>9780471511847</v>
      </c>
      <c r="H4663" t="s">
        <v>9471</v>
      </c>
      <c r="I4663">
        <v>359.9</v>
      </c>
      <c r="J4663" t="s">
        <v>9472</v>
      </c>
      <c r="K4663" t="s">
        <v>44</v>
      </c>
      <c r="N4663" t="s">
        <v>45</v>
      </c>
      <c r="O4663" t="s">
        <v>46</v>
      </c>
      <c r="P4663" t="s">
        <v>45</v>
      </c>
      <c r="Q4663" t="s">
        <v>47</v>
      </c>
      <c r="R4663" t="s">
        <v>44</v>
      </c>
      <c r="S4663">
        <v>0</v>
      </c>
      <c r="W4663" s="3">
        <v>0</v>
      </c>
      <c r="X4663" t="s">
        <v>49</v>
      </c>
      <c r="Y4663">
        <v>0</v>
      </c>
      <c r="Z4663">
        <v>4</v>
      </c>
      <c r="AA4663" t="s">
        <v>9473</v>
      </c>
      <c r="AB4663">
        <v>219</v>
      </c>
      <c r="AC4663" t="s">
        <v>49</v>
      </c>
      <c r="AD4663">
        <v>0</v>
      </c>
      <c r="AE4663">
        <v>10799797</v>
      </c>
      <c r="AF4663" t="s">
        <v>63</v>
      </c>
      <c r="AG4663" t="s">
        <v>9171</v>
      </c>
    </row>
    <row r="4664" spans="1:33" x14ac:dyDescent="0.35">
      <c r="A4664" s="1">
        <v>44590.74722222222</v>
      </c>
      <c r="B4664">
        <v>4183001</v>
      </c>
      <c r="C4664" t="s">
        <v>6887</v>
      </c>
      <c r="D4664" t="s">
        <v>59</v>
      </c>
      <c r="E4664" s="2">
        <v>42359</v>
      </c>
      <c r="F4664" t="str">
        <f>"9781118972311"</f>
        <v>9781118972311</v>
      </c>
      <c r="G4664" t="str">
        <f>"9781118972304"</f>
        <v>9781118972304</v>
      </c>
      <c r="H4664" t="s">
        <v>162</v>
      </c>
      <c r="I4664">
        <v>297</v>
      </c>
      <c r="J4664" t="s">
        <v>6888</v>
      </c>
      <c r="K4664" t="s">
        <v>44</v>
      </c>
      <c r="N4664" t="s">
        <v>45</v>
      </c>
      <c r="O4664" t="s">
        <v>46</v>
      </c>
      <c r="P4664" t="s">
        <v>45</v>
      </c>
      <c r="Q4664" t="s">
        <v>47</v>
      </c>
      <c r="R4664" t="s">
        <v>44</v>
      </c>
      <c r="S4664">
        <v>0</v>
      </c>
      <c r="W4664" s="3">
        <v>9.8379629629629642E-4</v>
      </c>
      <c r="X4664" t="s">
        <v>9474</v>
      </c>
      <c r="Y4664">
        <v>12</v>
      </c>
      <c r="Z4664">
        <v>0</v>
      </c>
      <c r="AA4664" t="s">
        <v>49</v>
      </c>
      <c r="AB4664">
        <v>0</v>
      </c>
      <c r="AC4664" t="s">
        <v>49</v>
      </c>
      <c r="AD4664">
        <v>0</v>
      </c>
      <c r="AE4664">
        <v>11124854</v>
      </c>
      <c r="AF4664" t="s">
        <v>50</v>
      </c>
      <c r="AG4664" t="s">
        <v>9463</v>
      </c>
    </row>
    <row r="4665" spans="1:33" x14ac:dyDescent="0.35">
      <c r="A4665" s="1">
        <v>44590.712500000001</v>
      </c>
      <c r="B4665">
        <v>6533324</v>
      </c>
      <c r="C4665" t="s">
        <v>9420</v>
      </c>
      <c r="D4665" t="s">
        <v>614</v>
      </c>
      <c r="E4665" s="2">
        <v>44288</v>
      </c>
      <c r="F4665" t="str">
        <f>"9789813347304"</f>
        <v>9789813347304</v>
      </c>
      <c r="G4665" t="str">
        <f>"9789813347298"</f>
        <v>9789813347298</v>
      </c>
      <c r="H4665" t="s">
        <v>5961</v>
      </c>
      <c r="I4665">
        <v>327.47053599999998</v>
      </c>
      <c r="J4665" t="s">
        <v>9421</v>
      </c>
      <c r="K4665" t="s">
        <v>55</v>
      </c>
      <c r="N4665" t="s">
        <v>79</v>
      </c>
      <c r="P4665" t="s">
        <v>80</v>
      </c>
      <c r="Q4665" t="s">
        <v>47</v>
      </c>
      <c r="R4665" t="s">
        <v>44</v>
      </c>
      <c r="S4665">
        <v>0</v>
      </c>
      <c r="W4665" s="3">
        <v>7.0601851851851847E-4</v>
      </c>
      <c r="X4665" t="s">
        <v>9475</v>
      </c>
      <c r="Y4665">
        <v>8</v>
      </c>
      <c r="Z4665">
        <v>0</v>
      </c>
      <c r="AA4665" t="s">
        <v>49</v>
      </c>
      <c r="AB4665">
        <v>0</v>
      </c>
      <c r="AC4665" t="s">
        <v>49</v>
      </c>
      <c r="AD4665">
        <v>0</v>
      </c>
      <c r="AE4665">
        <v>-1</v>
      </c>
      <c r="AF4665" t="s">
        <v>50</v>
      </c>
      <c r="AG4665" t="s">
        <v>8710</v>
      </c>
    </row>
    <row r="4666" spans="1:33" x14ac:dyDescent="0.35">
      <c r="A4666" s="1">
        <v>44590.413888888892</v>
      </c>
      <c r="B4666">
        <v>4037275</v>
      </c>
      <c r="C4666" t="s">
        <v>3891</v>
      </c>
      <c r="D4666" t="s">
        <v>3579</v>
      </c>
      <c r="E4666" s="2">
        <v>42233</v>
      </c>
      <c r="F4666" t="str">
        <f>"9781118652671"</f>
        <v>9781118652671</v>
      </c>
      <c r="G4666" t="str">
        <f>"9781118652732"</f>
        <v>9781118652732</v>
      </c>
      <c r="H4666" t="s">
        <v>237</v>
      </c>
      <c r="I4666" t="s">
        <v>7091</v>
      </c>
      <c r="J4666" t="s">
        <v>7092</v>
      </c>
      <c r="K4666" t="s">
        <v>44</v>
      </c>
      <c r="N4666" t="s">
        <v>45</v>
      </c>
      <c r="O4666" t="s">
        <v>46</v>
      </c>
      <c r="P4666" t="s">
        <v>45</v>
      </c>
      <c r="Q4666" t="s">
        <v>47</v>
      </c>
      <c r="R4666" t="s">
        <v>44</v>
      </c>
      <c r="S4666">
        <v>1</v>
      </c>
      <c r="W4666" s="3">
        <v>4.6296296296296293E-4</v>
      </c>
      <c r="X4666" t="s">
        <v>56</v>
      </c>
      <c r="Y4666">
        <v>3</v>
      </c>
      <c r="Z4666">
        <v>0</v>
      </c>
      <c r="AA4666" t="s">
        <v>49</v>
      </c>
      <c r="AB4666">
        <v>0</v>
      </c>
      <c r="AC4666" t="s">
        <v>49</v>
      </c>
      <c r="AD4666">
        <v>0</v>
      </c>
      <c r="AE4666">
        <v>11111615</v>
      </c>
      <c r="AF4666" t="s">
        <v>63</v>
      </c>
      <c r="AG4666" t="s">
        <v>9463</v>
      </c>
    </row>
    <row r="4667" spans="1:33" x14ac:dyDescent="0.35">
      <c r="A4667" s="1">
        <v>44589.688194444447</v>
      </c>
      <c r="B4667">
        <v>201460</v>
      </c>
      <c r="C4667" t="s">
        <v>9476</v>
      </c>
      <c r="D4667" t="s">
        <v>502</v>
      </c>
      <c r="E4667" s="2">
        <v>36132</v>
      </c>
      <c r="F4667" t="str">
        <f>"9780511155215"</f>
        <v>9780511155215</v>
      </c>
      <c r="G4667" t="str">
        <f>"9780521571630"</f>
        <v>9780521571630</v>
      </c>
      <c r="H4667" t="s">
        <v>147</v>
      </c>
      <c r="I4667">
        <v>616.89</v>
      </c>
      <c r="J4667" t="s">
        <v>9477</v>
      </c>
      <c r="K4667" t="s">
        <v>44</v>
      </c>
      <c r="N4667" t="s">
        <v>45</v>
      </c>
      <c r="O4667" t="s">
        <v>46</v>
      </c>
      <c r="P4667" t="s">
        <v>45</v>
      </c>
      <c r="Q4667" t="s">
        <v>47</v>
      </c>
      <c r="R4667" t="s">
        <v>44</v>
      </c>
      <c r="S4667">
        <v>0</v>
      </c>
      <c r="W4667" s="3">
        <v>1.6516203703703703E-2</v>
      </c>
      <c r="X4667" t="s">
        <v>9478</v>
      </c>
      <c r="Y4667">
        <v>8</v>
      </c>
      <c r="Z4667">
        <v>0</v>
      </c>
      <c r="AA4667" t="s">
        <v>49</v>
      </c>
      <c r="AB4667">
        <v>0</v>
      </c>
      <c r="AC4667" t="s">
        <v>49</v>
      </c>
      <c r="AD4667">
        <v>0</v>
      </c>
      <c r="AE4667">
        <v>10040863</v>
      </c>
      <c r="AF4667" t="s">
        <v>50</v>
      </c>
      <c r="AG4667" t="s">
        <v>8710</v>
      </c>
    </row>
    <row r="4668" spans="1:33" x14ac:dyDescent="0.35">
      <c r="A4668" s="1">
        <v>44589.52847222222</v>
      </c>
      <c r="B4668">
        <v>617176</v>
      </c>
      <c r="C4668" t="s">
        <v>1520</v>
      </c>
      <c r="D4668" t="s">
        <v>497</v>
      </c>
      <c r="E4668" s="2">
        <v>40542</v>
      </c>
      <c r="F4668" t="str">
        <f>"9781441136251"</f>
        <v>9781441136251</v>
      </c>
      <c r="G4668" t="str">
        <f>"9780826400871"</f>
        <v>9780826400871</v>
      </c>
      <c r="H4668" t="s">
        <v>1186</v>
      </c>
      <c r="I4668" t="s">
        <v>1521</v>
      </c>
      <c r="J4668" t="s">
        <v>1522</v>
      </c>
      <c r="K4668" t="s">
        <v>44</v>
      </c>
      <c r="N4668" t="s">
        <v>45</v>
      </c>
      <c r="O4668" t="s">
        <v>46</v>
      </c>
      <c r="P4668" t="s">
        <v>45</v>
      </c>
      <c r="Q4668" t="s">
        <v>47</v>
      </c>
      <c r="R4668" t="s">
        <v>44</v>
      </c>
      <c r="S4668">
        <v>0</v>
      </c>
      <c r="W4668" s="3">
        <v>1.9444444444444442E-3</v>
      </c>
      <c r="X4668" t="s">
        <v>196</v>
      </c>
      <c r="Y4668">
        <v>2</v>
      </c>
      <c r="Z4668">
        <v>0</v>
      </c>
      <c r="AA4668" t="s">
        <v>49</v>
      </c>
      <c r="AB4668">
        <v>0</v>
      </c>
      <c r="AC4668" t="s">
        <v>49</v>
      </c>
      <c r="AD4668">
        <v>0</v>
      </c>
      <c r="AE4668">
        <v>10432531</v>
      </c>
      <c r="AF4668" t="s">
        <v>50</v>
      </c>
      <c r="AG4668" t="s">
        <v>300</v>
      </c>
    </row>
    <row r="4669" spans="1:33" x14ac:dyDescent="0.35">
      <c r="A4669" s="1">
        <v>44589.51458333333</v>
      </c>
      <c r="B4669">
        <v>534996</v>
      </c>
      <c r="C4669" t="s">
        <v>9436</v>
      </c>
      <c r="D4669" t="s">
        <v>65</v>
      </c>
      <c r="E4669" s="2">
        <v>39435</v>
      </c>
      <c r="F4669" t="str">
        <f>"9780080556703"</f>
        <v>9780080556703</v>
      </c>
      <c r="G4669" t="str">
        <f>"9780125586917"</f>
        <v>9780125586917</v>
      </c>
      <c r="H4669" t="s">
        <v>1454</v>
      </c>
      <c r="I4669">
        <v>551.52459999999996</v>
      </c>
      <c r="J4669" t="s">
        <v>9437</v>
      </c>
      <c r="K4669" t="s">
        <v>44</v>
      </c>
      <c r="N4669" t="s">
        <v>45</v>
      </c>
      <c r="O4669" t="s">
        <v>46</v>
      </c>
      <c r="P4669" t="s">
        <v>45</v>
      </c>
      <c r="Q4669" t="s">
        <v>47</v>
      </c>
      <c r="R4669" t="s">
        <v>44</v>
      </c>
      <c r="S4669">
        <v>0</v>
      </c>
      <c r="W4669" s="3">
        <v>1.9675925925925926E-4</v>
      </c>
      <c r="X4669" t="s">
        <v>9479</v>
      </c>
      <c r="Y4669">
        <v>3</v>
      </c>
      <c r="Z4669">
        <v>0</v>
      </c>
      <c r="AA4669" t="s">
        <v>49</v>
      </c>
      <c r="AB4669">
        <v>0</v>
      </c>
      <c r="AC4669" t="s">
        <v>49</v>
      </c>
      <c r="AD4669">
        <v>0</v>
      </c>
      <c r="AE4669">
        <v>10378944</v>
      </c>
      <c r="AF4669" t="s">
        <v>50</v>
      </c>
      <c r="AG4669" t="s">
        <v>4702</v>
      </c>
    </row>
    <row r="4670" spans="1:33" x14ac:dyDescent="0.35">
      <c r="A4670" s="1">
        <v>44589.48541666667</v>
      </c>
      <c r="B4670">
        <v>617176</v>
      </c>
      <c r="C4670" t="s">
        <v>1520</v>
      </c>
      <c r="D4670" t="s">
        <v>497</v>
      </c>
      <c r="E4670" s="2">
        <v>40542</v>
      </c>
      <c r="F4670" t="str">
        <f>"9781441136251"</f>
        <v>9781441136251</v>
      </c>
      <c r="G4670" t="str">
        <f>"9780826400871"</f>
        <v>9780826400871</v>
      </c>
      <c r="H4670" t="s">
        <v>1186</v>
      </c>
      <c r="I4670" t="s">
        <v>1521</v>
      </c>
      <c r="J4670" t="s">
        <v>1522</v>
      </c>
      <c r="K4670" t="s">
        <v>44</v>
      </c>
      <c r="N4670" t="s">
        <v>45</v>
      </c>
      <c r="O4670" t="s">
        <v>46</v>
      </c>
      <c r="P4670" t="s">
        <v>45</v>
      </c>
      <c r="Q4670" t="s">
        <v>47</v>
      </c>
      <c r="R4670" t="s">
        <v>44</v>
      </c>
      <c r="S4670">
        <v>0</v>
      </c>
      <c r="W4670" s="3">
        <v>9.2592592592592588E-5</v>
      </c>
      <c r="X4670" t="s">
        <v>113</v>
      </c>
      <c r="Y4670">
        <v>2</v>
      </c>
      <c r="Z4670">
        <v>0</v>
      </c>
      <c r="AA4670" t="s">
        <v>49</v>
      </c>
      <c r="AB4670">
        <v>0</v>
      </c>
      <c r="AC4670" t="s">
        <v>49</v>
      </c>
      <c r="AD4670">
        <v>0</v>
      </c>
      <c r="AE4670">
        <v>10432531</v>
      </c>
      <c r="AF4670" t="s">
        <v>50</v>
      </c>
      <c r="AG4670" t="s">
        <v>2642</v>
      </c>
    </row>
    <row r="4671" spans="1:33" x14ac:dyDescent="0.35">
      <c r="A4671" s="1">
        <v>44589.227083333331</v>
      </c>
      <c r="B4671">
        <v>776553</v>
      </c>
      <c r="C4671" t="s">
        <v>6652</v>
      </c>
      <c r="D4671" t="s">
        <v>2754</v>
      </c>
      <c r="E4671" s="2">
        <v>40729</v>
      </c>
      <c r="F4671" t="str">
        <f>"9780816678327"</f>
        <v>9780816678327</v>
      </c>
      <c r="G4671" t="str">
        <f>"9780816651344"</f>
        <v>9780816651344</v>
      </c>
      <c r="H4671" t="s">
        <v>1046</v>
      </c>
      <c r="I4671">
        <v>305.42096400000003</v>
      </c>
      <c r="J4671" t="s">
        <v>6653</v>
      </c>
      <c r="K4671" t="s">
        <v>44</v>
      </c>
      <c r="N4671" t="s">
        <v>45</v>
      </c>
      <c r="O4671" t="s">
        <v>46</v>
      </c>
      <c r="P4671" t="s">
        <v>45</v>
      </c>
      <c r="Q4671" t="s">
        <v>47</v>
      </c>
      <c r="R4671" t="s">
        <v>44</v>
      </c>
      <c r="S4671">
        <v>0</v>
      </c>
      <c r="W4671" s="3">
        <v>4.6296296296296294E-5</v>
      </c>
      <c r="X4671" t="s">
        <v>121</v>
      </c>
      <c r="Y4671">
        <v>1</v>
      </c>
      <c r="Z4671">
        <v>0</v>
      </c>
      <c r="AA4671" t="s">
        <v>49</v>
      </c>
      <c r="AB4671">
        <v>0</v>
      </c>
      <c r="AC4671" t="s">
        <v>49</v>
      </c>
      <c r="AD4671">
        <v>0</v>
      </c>
      <c r="AE4671">
        <v>10500268</v>
      </c>
      <c r="AF4671" t="s">
        <v>50</v>
      </c>
      <c r="AG4671" t="s">
        <v>8710</v>
      </c>
    </row>
    <row r="4672" spans="1:33" x14ac:dyDescent="0.35">
      <c r="A4672" s="1">
        <v>44589.186111111114</v>
      </c>
      <c r="B4672">
        <v>1699226</v>
      </c>
      <c r="C4672" t="s">
        <v>6670</v>
      </c>
      <c r="D4672" t="s">
        <v>6671</v>
      </c>
      <c r="E4672" s="2">
        <v>41780</v>
      </c>
      <c r="F4672" t="str">
        <f>"9780739179079"</f>
        <v>9780739179079</v>
      </c>
      <c r="G4672" t="str">
        <f>"9780739179062"</f>
        <v>9780739179062</v>
      </c>
      <c r="H4672" t="s">
        <v>162</v>
      </c>
      <c r="I4672">
        <v>297.08199999999999</v>
      </c>
      <c r="J4672" t="s">
        <v>6672</v>
      </c>
      <c r="K4672" t="s">
        <v>44</v>
      </c>
      <c r="N4672" t="s">
        <v>45</v>
      </c>
      <c r="O4672" t="s">
        <v>46</v>
      </c>
      <c r="P4672" t="s">
        <v>45</v>
      </c>
      <c r="Q4672" t="s">
        <v>47</v>
      </c>
      <c r="R4672" t="s">
        <v>44</v>
      </c>
      <c r="S4672">
        <v>0</v>
      </c>
      <c r="W4672" s="3">
        <v>1.9675925925925926E-4</v>
      </c>
      <c r="X4672" t="s">
        <v>9480</v>
      </c>
      <c r="Y4672">
        <v>4</v>
      </c>
      <c r="Z4672">
        <v>0</v>
      </c>
      <c r="AA4672" t="s">
        <v>49</v>
      </c>
      <c r="AB4672">
        <v>0</v>
      </c>
      <c r="AC4672" t="s">
        <v>49</v>
      </c>
      <c r="AD4672">
        <v>0</v>
      </c>
      <c r="AE4672">
        <v>10878893</v>
      </c>
      <c r="AF4672" t="s">
        <v>50</v>
      </c>
      <c r="AG4672" t="s">
        <v>8710</v>
      </c>
    </row>
    <row r="4673" spans="1:33" x14ac:dyDescent="0.35">
      <c r="A4673" s="1">
        <v>44589.144444444442</v>
      </c>
      <c r="B4673">
        <v>776553</v>
      </c>
      <c r="C4673" t="s">
        <v>6652</v>
      </c>
      <c r="D4673" t="s">
        <v>2754</v>
      </c>
      <c r="E4673" s="2">
        <v>40729</v>
      </c>
      <c r="F4673" t="str">
        <f>"9780816678327"</f>
        <v>9780816678327</v>
      </c>
      <c r="G4673" t="str">
        <f>"9780816651344"</f>
        <v>9780816651344</v>
      </c>
      <c r="H4673" t="s">
        <v>1046</v>
      </c>
      <c r="I4673">
        <v>305.42096400000003</v>
      </c>
      <c r="J4673" t="s">
        <v>6653</v>
      </c>
      <c r="K4673" t="s">
        <v>44</v>
      </c>
      <c r="N4673" t="s">
        <v>45</v>
      </c>
      <c r="O4673" t="s">
        <v>46</v>
      </c>
      <c r="P4673" t="s">
        <v>45</v>
      </c>
      <c r="Q4673" t="s">
        <v>47</v>
      </c>
      <c r="R4673" t="s">
        <v>44</v>
      </c>
      <c r="S4673">
        <v>0</v>
      </c>
      <c r="W4673" s="3">
        <v>1.8518518518518518E-4</v>
      </c>
      <c r="X4673" t="s">
        <v>1304</v>
      </c>
      <c r="Y4673">
        <v>3</v>
      </c>
      <c r="Z4673">
        <v>0</v>
      </c>
      <c r="AA4673" t="s">
        <v>49</v>
      </c>
      <c r="AB4673">
        <v>0</v>
      </c>
      <c r="AC4673" t="s">
        <v>49</v>
      </c>
      <c r="AD4673">
        <v>0</v>
      </c>
      <c r="AE4673">
        <v>10500268</v>
      </c>
      <c r="AF4673" t="s">
        <v>50</v>
      </c>
      <c r="AG4673" t="s">
        <v>8710</v>
      </c>
    </row>
    <row r="4674" spans="1:33" x14ac:dyDescent="0.35">
      <c r="A4674" s="1">
        <v>44589.119444444441</v>
      </c>
      <c r="B4674">
        <v>310690</v>
      </c>
      <c r="C4674" t="s">
        <v>3233</v>
      </c>
      <c r="D4674" t="s">
        <v>2754</v>
      </c>
      <c r="E4674" s="2">
        <v>38412</v>
      </c>
      <c r="F4674" t="str">
        <f>"9780816696321"</f>
        <v>9780816696321</v>
      </c>
      <c r="G4674" t="str">
        <f>"9780816644100"</f>
        <v>9780816644100</v>
      </c>
      <c r="H4674" t="s">
        <v>3234</v>
      </c>
      <c r="I4674">
        <v>322.10956099999999</v>
      </c>
      <c r="J4674" t="s">
        <v>3235</v>
      </c>
      <c r="K4674" t="s">
        <v>44</v>
      </c>
      <c r="N4674" t="s">
        <v>45</v>
      </c>
      <c r="O4674" t="s">
        <v>46</v>
      </c>
      <c r="P4674" t="s">
        <v>45</v>
      </c>
      <c r="Q4674" t="s">
        <v>47</v>
      </c>
      <c r="R4674" t="s">
        <v>44</v>
      </c>
      <c r="S4674">
        <v>0</v>
      </c>
      <c r="W4674" s="3">
        <v>1.7476851851851852E-3</v>
      </c>
      <c r="X4674" t="s">
        <v>9481</v>
      </c>
      <c r="Y4674">
        <v>14</v>
      </c>
      <c r="Z4674">
        <v>0</v>
      </c>
      <c r="AA4674" t="s">
        <v>49</v>
      </c>
      <c r="AB4674">
        <v>0</v>
      </c>
      <c r="AC4674" t="s">
        <v>49</v>
      </c>
      <c r="AD4674">
        <v>0</v>
      </c>
      <c r="AE4674">
        <v>10151200</v>
      </c>
      <c r="AF4674" t="s">
        <v>50</v>
      </c>
      <c r="AG4674" t="s">
        <v>8710</v>
      </c>
    </row>
    <row r="4675" spans="1:33" x14ac:dyDescent="0.35">
      <c r="A4675" s="1">
        <v>44589.009027777778</v>
      </c>
      <c r="B4675">
        <v>1699226</v>
      </c>
      <c r="C4675" t="s">
        <v>6670</v>
      </c>
      <c r="D4675" t="s">
        <v>6671</v>
      </c>
      <c r="E4675" s="2">
        <v>41780</v>
      </c>
      <c r="F4675" t="str">
        <f>"9780739179079"</f>
        <v>9780739179079</v>
      </c>
      <c r="G4675" t="str">
        <f>"9780739179062"</f>
        <v>9780739179062</v>
      </c>
      <c r="H4675" t="s">
        <v>162</v>
      </c>
      <c r="I4675">
        <v>297.08199999999999</v>
      </c>
      <c r="J4675" t="s">
        <v>6672</v>
      </c>
      <c r="K4675" t="s">
        <v>44</v>
      </c>
      <c r="N4675" t="s">
        <v>45</v>
      </c>
      <c r="O4675" t="s">
        <v>46</v>
      </c>
      <c r="P4675" t="s">
        <v>45</v>
      </c>
      <c r="Q4675" t="s">
        <v>47</v>
      </c>
      <c r="R4675" t="s">
        <v>44</v>
      </c>
      <c r="S4675">
        <v>0</v>
      </c>
      <c r="W4675" s="3">
        <v>2.5462962962962961E-4</v>
      </c>
      <c r="X4675" t="s">
        <v>9482</v>
      </c>
      <c r="Y4675">
        <v>5</v>
      </c>
      <c r="Z4675">
        <v>0</v>
      </c>
      <c r="AA4675" t="s">
        <v>49</v>
      </c>
      <c r="AB4675">
        <v>0</v>
      </c>
      <c r="AC4675" t="s">
        <v>49</v>
      </c>
      <c r="AD4675">
        <v>0</v>
      </c>
      <c r="AE4675">
        <v>10878893</v>
      </c>
      <c r="AF4675" t="s">
        <v>50</v>
      </c>
      <c r="AG4675" t="s">
        <v>9171</v>
      </c>
    </row>
    <row r="4676" spans="1:33" x14ac:dyDescent="0.35">
      <c r="A4676" s="1">
        <v>44589.009027777778</v>
      </c>
      <c r="B4676">
        <v>4396580</v>
      </c>
      <c r="C4676" t="s">
        <v>8855</v>
      </c>
      <c r="D4676" t="s">
        <v>645</v>
      </c>
      <c r="E4676" s="2">
        <v>42278</v>
      </c>
      <c r="F4676" t="str">
        <f>"9781438457949"</f>
        <v>9781438457949</v>
      </c>
      <c r="G4676" t="str">
        <f>"9781438457932"</f>
        <v>9781438457932</v>
      </c>
      <c r="H4676" t="s">
        <v>1046</v>
      </c>
      <c r="I4676" t="s">
        <v>8856</v>
      </c>
      <c r="K4676" t="s">
        <v>44</v>
      </c>
      <c r="N4676" t="s">
        <v>45</v>
      </c>
      <c r="O4676" t="s">
        <v>46</v>
      </c>
      <c r="P4676" t="s">
        <v>45</v>
      </c>
      <c r="Q4676" t="s">
        <v>47</v>
      </c>
      <c r="R4676" t="s">
        <v>44</v>
      </c>
      <c r="S4676">
        <v>0</v>
      </c>
      <c r="W4676" s="3">
        <v>3.4722222222222222E-5</v>
      </c>
      <c r="X4676" t="s">
        <v>121</v>
      </c>
      <c r="Y4676">
        <v>1</v>
      </c>
      <c r="Z4676">
        <v>0</v>
      </c>
      <c r="AA4676" t="s">
        <v>49</v>
      </c>
      <c r="AB4676">
        <v>0</v>
      </c>
      <c r="AC4676" t="s">
        <v>49</v>
      </c>
      <c r="AD4676">
        <v>0</v>
      </c>
      <c r="AE4676">
        <v>11155585</v>
      </c>
      <c r="AF4676" t="s">
        <v>50</v>
      </c>
      <c r="AG4676" t="s">
        <v>9171</v>
      </c>
    </row>
    <row r="4677" spans="1:33" x14ac:dyDescent="0.35">
      <c r="A4677" s="1">
        <v>44589.006944444445</v>
      </c>
      <c r="B4677">
        <v>468209</v>
      </c>
      <c r="C4677" t="s">
        <v>9483</v>
      </c>
      <c r="D4677" t="s">
        <v>473</v>
      </c>
      <c r="E4677" s="2">
        <v>39765</v>
      </c>
      <c r="F4677" t="str">
        <f>"9789047424758"</f>
        <v>9789047424758</v>
      </c>
      <c r="G4677" t="str">
        <f>"9789004171442"</f>
        <v>9789004171442</v>
      </c>
      <c r="H4677" t="s">
        <v>712</v>
      </c>
      <c r="I4677" t="s">
        <v>9484</v>
      </c>
      <c r="J4677" t="s">
        <v>9485</v>
      </c>
      <c r="K4677" t="s">
        <v>44</v>
      </c>
      <c r="N4677" t="s">
        <v>45</v>
      </c>
      <c r="O4677" t="s">
        <v>46</v>
      </c>
      <c r="P4677" t="s">
        <v>45</v>
      </c>
      <c r="Q4677" t="s">
        <v>47</v>
      </c>
      <c r="R4677" t="s">
        <v>44</v>
      </c>
      <c r="S4677">
        <v>0</v>
      </c>
      <c r="W4677" s="3">
        <v>4.2824074074074075E-4</v>
      </c>
      <c r="X4677" t="s">
        <v>9486</v>
      </c>
      <c r="Y4677">
        <v>5</v>
      </c>
      <c r="Z4677">
        <v>0</v>
      </c>
      <c r="AA4677" t="s">
        <v>49</v>
      </c>
      <c r="AB4677">
        <v>0</v>
      </c>
      <c r="AC4677" t="s">
        <v>49</v>
      </c>
      <c r="AD4677">
        <v>0</v>
      </c>
      <c r="AE4677">
        <v>10363969</v>
      </c>
      <c r="AF4677" t="s">
        <v>50</v>
      </c>
      <c r="AG4677" t="s">
        <v>9171</v>
      </c>
    </row>
    <row r="4678" spans="1:33" x14ac:dyDescent="0.35">
      <c r="A4678" s="1">
        <v>44588.893750000003</v>
      </c>
      <c r="B4678">
        <v>668812</v>
      </c>
      <c r="C4678" t="s">
        <v>9146</v>
      </c>
      <c r="D4678" t="s">
        <v>76</v>
      </c>
      <c r="E4678" s="2">
        <v>40639</v>
      </c>
      <c r="F4678" t="str">
        <f>"9780203830147"</f>
        <v>9780203830147</v>
      </c>
      <c r="G4678" t="str">
        <f>"9780415603683"</f>
        <v>9780415603683</v>
      </c>
      <c r="H4678" t="s">
        <v>157</v>
      </c>
      <c r="I4678" t="s">
        <v>9147</v>
      </c>
      <c r="J4678" t="s">
        <v>9148</v>
      </c>
      <c r="K4678" t="s">
        <v>44</v>
      </c>
      <c r="N4678" t="s">
        <v>45</v>
      </c>
      <c r="O4678" t="s">
        <v>46</v>
      </c>
      <c r="P4678" t="s">
        <v>45</v>
      </c>
      <c r="Q4678" t="s">
        <v>47</v>
      </c>
      <c r="R4678" t="s">
        <v>44</v>
      </c>
      <c r="S4678">
        <v>0</v>
      </c>
      <c r="W4678" s="3">
        <v>1.3888888888888889E-4</v>
      </c>
      <c r="X4678" t="s">
        <v>9487</v>
      </c>
      <c r="Y4678">
        <v>2</v>
      </c>
      <c r="Z4678">
        <v>0</v>
      </c>
      <c r="AA4678" t="s">
        <v>49</v>
      </c>
      <c r="AB4678">
        <v>0</v>
      </c>
      <c r="AC4678" t="s">
        <v>49</v>
      </c>
      <c r="AD4678">
        <v>0</v>
      </c>
      <c r="AE4678">
        <v>10462575</v>
      </c>
      <c r="AF4678" t="s">
        <v>50</v>
      </c>
      <c r="AG4678" t="s">
        <v>300</v>
      </c>
    </row>
    <row r="4679" spans="1:33" x14ac:dyDescent="0.35">
      <c r="A4679" s="1">
        <v>44588.815972222219</v>
      </c>
      <c r="B4679">
        <v>1699226</v>
      </c>
      <c r="C4679" t="s">
        <v>6670</v>
      </c>
      <c r="D4679" t="s">
        <v>6671</v>
      </c>
      <c r="E4679" s="2">
        <v>41780</v>
      </c>
      <c r="F4679" t="str">
        <f>"9780739179079"</f>
        <v>9780739179079</v>
      </c>
      <c r="G4679" t="str">
        <f>"9780739179062"</f>
        <v>9780739179062</v>
      </c>
      <c r="H4679" t="s">
        <v>162</v>
      </c>
      <c r="I4679">
        <v>297.08199999999999</v>
      </c>
      <c r="J4679" t="s">
        <v>6672</v>
      </c>
      <c r="K4679" t="s">
        <v>44</v>
      </c>
      <c r="N4679" t="s">
        <v>45</v>
      </c>
      <c r="O4679" t="s">
        <v>46</v>
      </c>
      <c r="P4679" t="s">
        <v>45</v>
      </c>
      <c r="Q4679" t="s">
        <v>47</v>
      </c>
      <c r="R4679" t="s">
        <v>44</v>
      </c>
      <c r="S4679">
        <v>0</v>
      </c>
      <c r="W4679" s="3">
        <v>1.8750000000000001E-3</v>
      </c>
      <c r="X4679" t="s">
        <v>9488</v>
      </c>
      <c r="Y4679">
        <v>7</v>
      </c>
      <c r="Z4679">
        <v>0</v>
      </c>
      <c r="AA4679" t="s">
        <v>49</v>
      </c>
      <c r="AB4679">
        <v>0</v>
      </c>
      <c r="AC4679" t="s">
        <v>49</v>
      </c>
      <c r="AD4679">
        <v>0</v>
      </c>
      <c r="AE4679">
        <v>10878893</v>
      </c>
      <c r="AF4679" t="s">
        <v>50</v>
      </c>
      <c r="AG4679" t="s">
        <v>9463</v>
      </c>
    </row>
    <row r="4680" spans="1:33" x14ac:dyDescent="0.35">
      <c r="A4680" s="1">
        <v>44588.811111111114</v>
      </c>
      <c r="B4680">
        <v>4396580</v>
      </c>
      <c r="C4680" t="s">
        <v>8855</v>
      </c>
      <c r="D4680" t="s">
        <v>645</v>
      </c>
      <c r="E4680" s="2">
        <v>42278</v>
      </c>
      <c r="F4680" t="str">
        <f>"9781438457949"</f>
        <v>9781438457949</v>
      </c>
      <c r="G4680" t="str">
        <f>"9781438457932"</f>
        <v>9781438457932</v>
      </c>
      <c r="H4680" t="s">
        <v>1046</v>
      </c>
      <c r="I4680" t="s">
        <v>8856</v>
      </c>
      <c r="K4680" t="s">
        <v>44</v>
      </c>
      <c r="N4680" t="s">
        <v>45</v>
      </c>
      <c r="O4680" t="s">
        <v>46</v>
      </c>
      <c r="P4680" t="s">
        <v>45</v>
      </c>
      <c r="Q4680" t="s">
        <v>47</v>
      </c>
      <c r="R4680" t="s">
        <v>44</v>
      </c>
      <c r="S4680">
        <v>0</v>
      </c>
      <c r="W4680" s="3">
        <v>4.2476851851851851E-3</v>
      </c>
      <c r="X4680" t="s">
        <v>9489</v>
      </c>
      <c r="Y4680">
        <v>10</v>
      </c>
      <c r="Z4680">
        <v>0</v>
      </c>
      <c r="AA4680" t="s">
        <v>49</v>
      </c>
      <c r="AB4680">
        <v>0</v>
      </c>
      <c r="AC4680" t="s">
        <v>49</v>
      </c>
      <c r="AD4680">
        <v>0</v>
      </c>
      <c r="AE4680">
        <v>11155585</v>
      </c>
      <c r="AF4680" t="s">
        <v>50</v>
      </c>
      <c r="AG4680" t="s">
        <v>9463</v>
      </c>
    </row>
    <row r="4681" spans="1:33" x14ac:dyDescent="0.35">
      <c r="A4681" s="1">
        <v>44588.800694444442</v>
      </c>
      <c r="B4681">
        <v>776553</v>
      </c>
      <c r="C4681" t="s">
        <v>6652</v>
      </c>
      <c r="D4681" t="s">
        <v>2754</v>
      </c>
      <c r="E4681" s="2">
        <v>40729</v>
      </c>
      <c r="F4681" t="str">
        <f>"9780816678327"</f>
        <v>9780816678327</v>
      </c>
      <c r="G4681" t="str">
        <f>"9780816651344"</f>
        <v>9780816651344</v>
      </c>
      <c r="H4681" t="s">
        <v>1046</v>
      </c>
      <c r="I4681">
        <v>305.42096400000003</v>
      </c>
      <c r="J4681" t="s">
        <v>6653</v>
      </c>
      <c r="K4681" t="s">
        <v>44</v>
      </c>
      <c r="N4681" t="s">
        <v>45</v>
      </c>
      <c r="O4681" t="s">
        <v>46</v>
      </c>
      <c r="P4681" t="s">
        <v>45</v>
      </c>
      <c r="Q4681" t="s">
        <v>47</v>
      </c>
      <c r="R4681" t="s">
        <v>44</v>
      </c>
      <c r="S4681">
        <v>0</v>
      </c>
      <c r="W4681" s="3">
        <v>4.9768518518518521E-4</v>
      </c>
      <c r="X4681" t="s">
        <v>9490</v>
      </c>
      <c r="Y4681">
        <v>13</v>
      </c>
      <c r="Z4681">
        <v>0</v>
      </c>
      <c r="AA4681" t="s">
        <v>49</v>
      </c>
      <c r="AB4681">
        <v>0</v>
      </c>
      <c r="AC4681" t="s">
        <v>49</v>
      </c>
      <c r="AD4681">
        <v>0</v>
      </c>
      <c r="AE4681">
        <v>10500268</v>
      </c>
      <c r="AF4681" t="s">
        <v>50</v>
      </c>
      <c r="AG4681" t="s">
        <v>9463</v>
      </c>
    </row>
    <row r="4682" spans="1:33" x14ac:dyDescent="0.35">
      <c r="A4682" s="1">
        <v>44588.765277777777</v>
      </c>
      <c r="B4682">
        <v>313592</v>
      </c>
      <c r="C4682" t="s">
        <v>8605</v>
      </c>
      <c r="D4682" t="s">
        <v>65</v>
      </c>
      <c r="E4682" s="2">
        <v>39336</v>
      </c>
      <c r="F4682" t="str">
        <f>"9780080551913"</f>
        <v>9780080551913</v>
      </c>
      <c r="G4682" t="str">
        <f>"9780444528377"</f>
        <v>9780444528377</v>
      </c>
      <c r="H4682" t="s">
        <v>214</v>
      </c>
      <c r="I4682">
        <v>541.2242</v>
      </c>
      <c r="J4682" t="s">
        <v>8606</v>
      </c>
      <c r="K4682" t="s">
        <v>44</v>
      </c>
      <c r="N4682" t="s">
        <v>45</v>
      </c>
      <c r="O4682" t="s">
        <v>46</v>
      </c>
      <c r="P4682" t="s">
        <v>45</v>
      </c>
      <c r="Q4682" t="s">
        <v>47</v>
      </c>
      <c r="R4682" t="s">
        <v>44</v>
      </c>
      <c r="S4682">
        <v>0</v>
      </c>
      <c r="W4682" s="3">
        <v>0</v>
      </c>
      <c r="X4682" t="s">
        <v>49</v>
      </c>
      <c r="Y4682">
        <v>0</v>
      </c>
      <c r="Z4682">
        <v>1</v>
      </c>
      <c r="AA4682" t="s">
        <v>9491</v>
      </c>
      <c r="AB4682">
        <v>56</v>
      </c>
      <c r="AC4682" t="s">
        <v>49</v>
      </c>
      <c r="AD4682">
        <v>0</v>
      </c>
      <c r="AE4682">
        <v>10190879</v>
      </c>
      <c r="AF4682" t="s">
        <v>50</v>
      </c>
      <c r="AG4682" t="s">
        <v>8710</v>
      </c>
    </row>
    <row r="4683" spans="1:33" x14ac:dyDescent="0.35">
      <c r="A4683" s="1">
        <v>44588.727083333331</v>
      </c>
      <c r="B4683">
        <v>313592</v>
      </c>
      <c r="C4683" t="s">
        <v>8605</v>
      </c>
      <c r="D4683" t="s">
        <v>65</v>
      </c>
      <c r="E4683" s="2">
        <v>39336</v>
      </c>
      <c r="F4683" t="str">
        <f>"9780080551913"</f>
        <v>9780080551913</v>
      </c>
      <c r="G4683" t="str">
        <f>"9780444528377"</f>
        <v>9780444528377</v>
      </c>
      <c r="H4683" t="s">
        <v>214</v>
      </c>
      <c r="I4683">
        <v>541.2242</v>
      </c>
      <c r="J4683" t="s">
        <v>8606</v>
      </c>
      <c r="K4683" t="s">
        <v>44</v>
      </c>
      <c r="N4683" t="s">
        <v>45</v>
      </c>
      <c r="O4683" t="s">
        <v>46</v>
      </c>
      <c r="P4683" t="s">
        <v>45</v>
      </c>
      <c r="Q4683" t="s">
        <v>47</v>
      </c>
      <c r="R4683" t="s">
        <v>44</v>
      </c>
      <c r="S4683">
        <v>1</v>
      </c>
      <c r="W4683" s="3">
        <v>0</v>
      </c>
      <c r="X4683" t="s">
        <v>49</v>
      </c>
      <c r="Y4683">
        <v>0</v>
      </c>
      <c r="Z4683">
        <v>0</v>
      </c>
      <c r="AA4683" t="s">
        <v>49</v>
      </c>
      <c r="AB4683">
        <v>0</v>
      </c>
      <c r="AC4683" t="s">
        <v>49</v>
      </c>
      <c r="AD4683">
        <v>0</v>
      </c>
      <c r="AE4683">
        <v>10190879</v>
      </c>
      <c r="AF4683" t="s">
        <v>63</v>
      </c>
      <c r="AG4683" t="s">
        <v>8710</v>
      </c>
    </row>
    <row r="4684" spans="1:33" x14ac:dyDescent="0.35">
      <c r="A4684" s="1">
        <v>44588.656944444447</v>
      </c>
      <c r="B4684">
        <v>3028380</v>
      </c>
      <c r="C4684" t="s">
        <v>9492</v>
      </c>
      <c r="D4684" t="s">
        <v>9493</v>
      </c>
      <c r="E4684" s="2">
        <v>38231</v>
      </c>
      <c r="F4684" t="str">
        <f>"9781560277842"</f>
        <v>9781560277842</v>
      </c>
      <c r="G4684" t="str">
        <f>"9781560275572"</f>
        <v>9781560275572</v>
      </c>
      <c r="H4684" t="s">
        <v>579</v>
      </c>
      <c r="I4684">
        <v>629.13</v>
      </c>
      <c r="J4684" t="s">
        <v>9494</v>
      </c>
      <c r="K4684" t="s">
        <v>44</v>
      </c>
      <c r="N4684" t="s">
        <v>45</v>
      </c>
      <c r="O4684" t="s">
        <v>46</v>
      </c>
      <c r="P4684" t="s">
        <v>45</v>
      </c>
      <c r="Q4684" t="s">
        <v>47</v>
      </c>
      <c r="R4684" t="s">
        <v>44</v>
      </c>
      <c r="S4684">
        <v>0</v>
      </c>
      <c r="W4684" s="3">
        <v>5.4398148148148144E-4</v>
      </c>
      <c r="X4684" t="s">
        <v>9495</v>
      </c>
      <c r="Y4684">
        <v>4</v>
      </c>
      <c r="Z4684">
        <v>0</v>
      </c>
      <c r="AA4684" t="s">
        <v>49</v>
      </c>
      <c r="AB4684">
        <v>0</v>
      </c>
      <c r="AC4684" t="s">
        <v>49</v>
      </c>
      <c r="AD4684">
        <v>0</v>
      </c>
      <c r="AE4684">
        <v>10366908</v>
      </c>
      <c r="AF4684" t="s">
        <v>50</v>
      </c>
      <c r="AG4684" t="s">
        <v>8710</v>
      </c>
    </row>
    <row r="4685" spans="1:33" x14ac:dyDescent="0.35">
      <c r="A4685" s="1">
        <v>44588.612500000003</v>
      </c>
      <c r="B4685">
        <v>6190694</v>
      </c>
      <c r="C4685" t="s">
        <v>9496</v>
      </c>
      <c r="D4685" t="s">
        <v>141</v>
      </c>
      <c r="E4685" s="2">
        <v>43951</v>
      </c>
      <c r="F4685" t="str">
        <f>"9781838987107"</f>
        <v>9781838987107</v>
      </c>
      <c r="G4685" t="str">
        <f>"9781838984397"</f>
        <v>9781838984397</v>
      </c>
      <c r="H4685" t="s">
        <v>138</v>
      </c>
      <c r="I4685">
        <v>4.22</v>
      </c>
      <c r="J4685" t="s">
        <v>9497</v>
      </c>
      <c r="K4685" t="s">
        <v>55</v>
      </c>
      <c r="Q4685" t="s">
        <v>47</v>
      </c>
      <c r="R4685" t="s">
        <v>44</v>
      </c>
      <c r="S4685">
        <v>0</v>
      </c>
      <c r="W4685" s="3">
        <v>2.9745370370370373E-3</v>
      </c>
      <c r="X4685" t="s">
        <v>9498</v>
      </c>
      <c r="Y4685">
        <v>37</v>
      </c>
      <c r="Z4685">
        <v>0</v>
      </c>
      <c r="AA4685" t="s">
        <v>49</v>
      </c>
      <c r="AB4685">
        <v>0</v>
      </c>
      <c r="AC4685" t="s">
        <v>49</v>
      </c>
      <c r="AD4685">
        <v>0</v>
      </c>
      <c r="AE4685">
        <v>-1</v>
      </c>
      <c r="AF4685" t="s">
        <v>50</v>
      </c>
      <c r="AG4685" t="s">
        <v>8710</v>
      </c>
    </row>
    <row r="4686" spans="1:33" x14ac:dyDescent="0.35">
      <c r="A4686" s="1">
        <v>44588.59652777778</v>
      </c>
      <c r="B4686">
        <v>536977</v>
      </c>
      <c r="C4686" t="s">
        <v>1900</v>
      </c>
      <c r="D4686" t="s">
        <v>507</v>
      </c>
      <c r="E4686" s="2">
        <v>40043</v>
      </c>
      <c r="F4686" t="str">
        <f>"9780748637942"</f>
        <v>9780748637942</v>
      </c>
      <c r="G4686" t="str">
        <f>"9780748637928"</f>
        <v>9780748637928</v>
      </c>
      <c r="H4686" t="s">
        <v>162</v>
      </c>
      <c r="I4686">
        <v>297</v>
      </c>
      <c r="J4686" t="s">
        <v>1901</v>
      </c>
      <c r="K4686" t="s">
        <v>44</v>
      </c>
      <c r="N4686" t="s">
        <v>45</v>
      </c>
      <c r="O4686" t="s">
        <v>46</v>
      </c>
      <c r="P4686" t="s">
        <v>45</v>
      </c>
      <c r="Q4686" t="s">
        <v>47</v>
      </c>
      <c r="R4686" t="s">
        <v>44</v>
      </c>
      <c r="S4686">
        <v>1</v>
      </c>
      <c r="W4686" s="3">
        <v>1.1226851851851854E-2</v>
      </c>
      <c r="X4686" t="s">
        <v>1693</v>
      </c>
      <c r="Y4686">
        <v>10</v>
      </c>
      <c r="Z4686">
        <v>0</v>
      </c>
      <c r="AA4686" t="s">
        <v>49</v>
      </c>
      <c r="AB4686">
        <v>0</v>
      </c>
      <c r="AC4686" t="s">
        <v>49</v>
      </c>
      <c r="AD4686">
        <v>0</v>
      </c>
      <c r="AE4686">
        <v>10391780</v>
      </c>
      <c r="AF4686" t="s">
        <v>63</v>
      </c>
      <c r="AG4686" t="s">
        <v>8710</v>
      </c>
    </row>
    <row r="4687" spans="1:33" x14ac:dyDescent="0.35">
      <c r="A4687" s="1">
        <v>44588.56527777778</v>
      </c>
      <c r="B4687">
        <v>6190694</v>
      </c>
      <c r="C4687" t="s">
        <v>9496</v>
      </c>
      <c r="D4687" t="s">
        <v>141</v>
      </c>
      <c r="E4687" s="2">
        <v>43951</v>
      </c>
      <c r="F4687" t="str">
        <f>"9781838987107"</f>
        <v>9781838987107</v>
      </c>
      <c r="G4687" t="str">
        <f>"9781838984397"</f>
        <v>9781838984397</v>
      </c>
      <c r="H4687" t="s">
        <v>138</v>
      </c>
      <c r="I4687">
        <v>4.22</v>
      </c>
      <c r="J4687" t="s">
        <v>9497</v>
      </c>
      <c r="K4687" t="s">
        <v>55</v>
      </c>
      <c r="Q4687" t="s">
        <v>47</v>
      </c>
      <c r="R4687" t="s">
        <v>44</v>
      </c>
      <c r="S4687">
        <v>0</v>
      </c>
      <c r="W4687" s="3">
        <v>9.0277777777777784E-4</v>
      </c>
      <c r="X4687" t="s">
        <v>9499</v>
      </c>
      <c r="Y4687">
        <v>13</v>
      </c>
      <c r="Z4687">
        <v>0</v>
      </c>
      <c r="AA4687" t="s">
        <v>49</v>
      </c>
      <c r="AB4687">
        <v>0</v>
      </c>
      <c r="AC4687" t="s">
        <v>49</v>
      </c>
      <c r="AD4687">
        <v>0</v>
      </c>
      <c r="AE4687">
        <v>-1</v>
      </c>
      <c r="AF4687" t="s">
        <v>50</v>
      </c>
      <c r="AG4687" t="s">
        <v>8710</v>
      </c>
    </row>
    <row r="4688" spans="1:33" x14ac:dyDescent="0.35">
      <c r="A4688" s="1">
        <v>44588.506249999999</v>
      </c>
      <c r="B4688">
        <v>668812</v>
      </c>
      <c r="C4688" t="s">
        <v>9146</v>
      </c>
      <c r="D4688" t="s">
        <v>76</v>
      </c>
      <c r="E4688" s="2">
        <v>40639</v>
      </c>
      <c r="F4688" t="str">
        <f>"9780203830147"</f>
        <v>9780203830147</v>
      </c>
      <c r="G4688" t="str">
        <f>"9780415603683"</f>
        <v>9780415603683</v>
      </c>
      <c r="H4688" t="s">
        <v>157</v>
      </c>
      <c r="I4688" t="s">
        <v>9147</v>
      </c>
      <c r="J4688" t="s">
        <v>9148</v>
      </c>
      <c r="K4688" t="s">
        <v>44</v>
      </c>
      <c r="N4688" t="s">
        <v>45</v>
      </c>
      <c r="O4688" t="s">
        <v>46</v>
      </c>
      <c r="P4688" t="s">
        <v>45</v>
      </c>
      <c r="Q4688" t="s">
        <v>47</v>
      </c>
      <c r="R4688" t="s">
        <v>44</v>
      </c>
      <c r="S4688">
        <v>0</v>
      </c>
      <c r="W4688" s="3">
        <v>1.5046296296296294E-3</v>
      </c>
      <c r="X4688" t="s">
        <v>9500</v>
      </c>
      <c r="Y4688">
        <v>17</v>
      </c>
      <c r="Z4688">
        <v>0</v>
      </c>
      <c r="AA4688" t="s">
        <v>49</v>
      </c>
      <c r="AB4688">
        <v>0</v>
      </c>
      <c r="AC4688" t="s">
        <v>49</v>
      </c>
      <c r="AD4688">
        <v>0</v>
      </c>
      <c r="AE4688">
        <v>10462575</v>
      </c>
      <c r="AF4688" t="s">
        <v>50</v>
      </c>
      <c r="AG4688" t="s">
        <v>300</v>
      </c>
    </row>
    <row r="4689" spans="1:33" x14ac:dyDescent="0.35">
      <c r="A4689" s="1">
        <v>44588.488194444442</v>
      </c>
      <c r="B4689">
        <v>1352496</v>
      </c>
      <c r="C4689" t="s">
        <v>9501</v>
      </c>
      <c r="D4689" t="s">
        <v>9502</v>
      </c>
      <c r="E4689" s="2">
        <v>41130</v>
      </c>
      <c r="F4689" t="str">
        <f>"9789788431503"</f>
        <v>9789788431503</v>
      </c>
      <c r="G4689" t="str">
        <f>"9789788431145"</f>
        <v>9789788431145</v>
      </c>
      <c r="H4689" t="s">
        <v>9503</v>
      </c>
      <c r="I4689">
        <v>297.26600000000002</v>
      </c>
      <c r="J4689" t="s">
        <v>9504</v>
      </c>
      <c r="K4689" t="s">
        <v>44</v>
      </c>
      <c r="N4689" t="s">
        <v>45</v>
      </c>
      <c r="O4689" t="s">
        <v>46</v>
      </c>
      <c r="P4689" t="s">
        <v>177</v>
      </c>
      <c r="Q4689" t="s">
        <v>47</v>
      </c>
      <c r="R4689" t="s">
        <v>55</v>
      </c>
      <c r="S4689">
        <v>0</v>
      </c>
      <c r="W4689" s="3">
        <v>5.7870370370370366E-5</v>
      </c>
      <c r="X4689" t="s">
        <v>121</v>
      </c>
      <c r="Y4689">
        <v>1</v>
      </c>
      <c r="Z4689">
        <v>0</v>
      </c>
      <c r="AA4689" t="s">
        <v>49</v>
      </c>
      <c r="AB4689">
        <v>0</v>
      </c>
      <c r="AC4689" t="s">
        <v>49</v>
      </c>
      <c r="AD4689">
        <v>0</v>
      </c>
      <c r="AE4689">
        <v>10751653</v>
      </c>
      <c r="AF4689" t="s">
        <v>50</v>
      </c>
      <c r="AG4689" t="s">
        <v>8710</v>
      </c>
    </row>
    <row r="4690" spans="1:33" x14ac:dyDescent="0.35">
      <c r="A4690" s="1">
        <v>44588.480555555558</v>
      </c>
      <c r="B4690">
        <v>1699226</v>
      </c>
      <c r="C4690" t="s">
        <v>6670</v>
      </c>
      <c r="D4690" t="s">
        <v>6671</v>
      </c>
      <c r="E4690" s="2">
        <v>41780</v>
      </c>
      <c r="F4690" t="str">
        <f>"9780739179079"</f>
        <v>9780739179079</v>
      </c>
      <c r="G4690" t="str">
        <f>"9780739179062"</f>
        <v>9780739179062</v>
      </c>
      <c r="H4690" t="s">
        <v>162</v>
      </c>
      <c r="I4690">
        <v>297.08199999999999</v>
      </c>
      <c r="J4690" t="s">
        <v>6672</v>
      </c>
      <c r="K4690" t="s">
        <v>44</v>
      </c>
      <c r="N4690" t="s">
        <v>45</v>
      </c>
      <c r="O4690" t="s">
        <v>46</v>
      </c>
      <c r="P4690" t="s">
        <v>45</v>
      </c>
      <c r="Q4690" t="s">
        <v>47</v>
      </c>
      <c r="R4690" t="s">
        <v>44</v>
      </c>
      <c r="S4690">
        <v>0</v>
      </c>
      <c r="W4690" s="3">
        <v>1.9675925925925926E-4</v>
      </c>
      <c r="X4690" t="s">
        <v>1346</v>
      </c>
      <c r="Y4690">
        <v>4</v>
      </c>
      <c r="Z4690">
        <v>0</v>
      </c>
      <c r="AA4690" t="s">
        <v>49</v>
      </c>
      <c r="AB4690">
        <v>0</v>
      </c>
      <c r="AC4690" t="s">
        <v>49</v>
      </c>
      <c r="AD4690">
        <v>0</v>
      </c>
      <c r="AE4690">
        <v>10878893</v>
      </c>
      <c r="AF4690" t="s">
        <v>50</v>
      </c>
      <c r="AG4690" t="s">
        <v>8710</v>
      </c>
    </row>
    <row r="4691" spans="1:33" x14ac:dyDescent="0.35">
      <c r="A4691" s="1">
        <v>44588.479166666664</v>
      </c>
      <c r="B4691">
        <v>4396580</v>
      </c>
      <c r="C4691" t="s">
        <v>8855</v>
      </c>
      <c r="D4691" t="s">
        <v>645</v>
      </c>
      <c r="E4691" s="2">
        <v>42278</v>
      </c>
      <c r="F4691" t="str">
        <f>"9781438457949"</f>
        <v>9781438457949</v>
      </c>
      <c r="G4691" t="str">
        <f>"9781438457932"</f>
        <v>9781438457932</v>
      </c>
      <c r="H4691" t="s">
        <v>1046</v>
      </c>
      <c r="I4691" t="s">
        <v>8856</v>
      </c>
      <c r="K4691" t="s">
        <v>44</v>
      </c>
      <c r="N4691" t="s">
        <v>45</v>
      </c>
      <c r="O4691" t="s">
        <v>46</v>
      </c>
      <c r="P4691" t="s">
        <v>45</v>
      </c>
      <c r="Q4691" t="s">
        <v>47</v>
      </c>
      <c r="R4691" t="s">
        <v>44</v>
      </c>
      <c r="S4691">
        <v>0</v>
      </c>
      <c r="W4691" s="3">
        <v>4.6296296296296293E-4</v>
      </c>
      <c r="X4691" t="s">
        <v>6688</v>
      </c>
      <c r="Y4691">
        <v>9</v>
      </c>
      <c r="Z4691">
        <v>0</v>
      </c>
      <c r="AA4691" t="s">
        <v>49</v>
      </c>
      <c r="AB4691">
        <v>0</v>
      </c>
      <c r="AC4691" t="s">
        <v>49</v>
      </c>
      <c r="AD4691">
        <v>0</v>
      </c>
      <c r="AE4691">
        <v>11155585</v>
      </c>
      <c r="AF4691" t="s">
        <v>50</v>
      </c>
      <c r="AG4691" t="s">
        <v>8710</v>
      </c>
    </row>
    <row r="4692" spans="1:33" x14ac:dyDescent="0.35">
      <c r="A4692" s="1">
        <v>44588.477777777778</v>
      </c>
      <c r="B4692">
        <v>776553</v>
      </c>
      <c r="C4692" t="s">
        <v>6652</v>
      </c>
      <c r="D4692" t="s">
        <v>2754</v>
      </c>
      <c r="E4692" s="2">
        <v>40729</v>
      </c>
      <c r="F4692" t="str">
        <f>"9780816678327"</f>
        <v>9780816678327</v>
      </c>
      <c r="G4692" t="str">
        <f>"9780816651344"</f>
        <v>9780816651344</v>
      </c>
      <c r="H4692" t="s">
        <v>1046</v>
      </c>
      <c r="I4692">
        <v>305.42096400000003</v>
      </c>
      <c r="J4692" t="s">
        <v>6653</v>
      </c>
      <c r="K4692" t="s">
        <v>44</v>
      </c>
      <c r="N4692" t="s">
        <v>45</v>
      </c>
      <c r="O4692" t="s">
        <v>46</v>
      </c>
      <c r="P4692" t="s">
        <v>45</v>
      </c>
      <c r="Q4692" t="s">
        <v>47</v>
      </c>
      <c r="R4692" t="s">
        <v>44</v>
      </c>
      <c r="S4692">
        <v>0</v>
      </c>
      <c r="W4692" s="3">
        <v>7.175925925925927E-4</v>
      </c>
      <c r="X4692" t="s">
        <v>3748</v>
      </c>
      <c r="Y4692">
        <v>12</v>
      </c>
      <c r="Z4692">
        <v>0</v>
      </c>
      <c r="AA4692" t="s">
        <v>49</v>
      </c>
      <c r="AB4692">
        <v>0</v>
      </c>
      <c r="AC4692" t="s">
        <v>49</v>
      </c>
      <c r="AD4692">
        <v>0</v>
      </c>
      <c r="AE4692">
        <v>10500268</v>
      </c>
      <c r="AF4692" t="s">
        <v>50</v>
      </c>
      <c r="AG4692" t="s">
        <v>8710</v>
      </c>
    </row>
    <row r="4693" spans="1:33" x14ac:dyDescent="0.35">
      <c r="A4693" s="1">
        <v>44587.929861111108</v>
      </c>
      <c r="B4693">
        <v>1477522</v>
      </c>
      <c r="C4693" t="s">
        <v>3625</v>
      </c>
      <c r="D4693" t="s">
        <v>2022</v>
      </c>
      <c r="E4693" s="2">
        <v>41542</v>
      </c>
      <c r="F4693" t="str">
        <f>"9781443852760"</f>
        <v>9781443852760</v>
      </c>
      <c r="G4693" t="str">
        <f>"9781443848275"</f>
        <v>9781443848275</v>
      </c>
      <c r="H4693" t="s">
        <v>474</v>
      </c>
      <c r="I4693">
        <v>197</v>
      </c>
      <c r="J4693" t="s">
        <v>3626</v>
      </c>
      <c r="K4693" t="s">
        <v>44</v>
      </c>
      <c r="N4693" t="s">
        <v>45</v>
      </c>
      <c r="O4693" t="s">
        <v>46</v>
      </c>
      <c r="P4693" t="s">
        <v>45</v>
      </c>
      <c r="Q4693" t="s">
        <v>47</v>
      </c>
      <c r="R4693" t="s">
        <v>44</v>
      </c>
      <c r="S4693">
        <v>0</v>
      </c>
      <c r="W4693" s="3">
        <v>6.2731481481481484E-3</v>
      </c>
      <c r="X4693" t="s">
        <v>9505</v>
      </c>
      <c r="Y4693">
        <v>27</v>
      </c>
      <c r="Z4693">
        <v>0</v>
      </c>
      <c r="AA4693" t="s">
        <v>49</v>
      </c>
      <c r="AB4693">
        <v>0</v>
      </c>
      <c r="AC4693" t="s">
        <v>49</v>
      </c>
      <c r="AD4693">
        <v>0</v>
      </c>
      <c r="AE4693">
        <v>10778085</v>
      </c>
      <c r="AF4693" t="s">
        <v>50</v>
      </c>
      <c r="AG4693" t="s">
        <v>2642</v>
      </c>
    </row>
    <row r="4694" spans="1:33" x14ac:dyDescent="0.35">
      <c r="A4694" s="1">
        <v>44587.581250000003</v>
      </c>
      <c r="B4694">
        <v>536977</v>
      </c>
      <c r="C4694" t="s">
        <v>1900</v>
      </c>
      <c r="D4694" t="s">
        <v>507</v>
      </c>
      <c r="E4694" s="2">
        <v>40043</v>
      </c>
      <c r="F4694" t="str">
        <f>"9780748637942"</f>
        <v>9780748637942</v>
      </c>
      <c r="G4694" t="str">
        <f>"9780748637928"</f>
        <v>9780748637928</v>
      </c>
      <c r="H4694" t="s">
        <v>162</v>
      </c>
      <c r="I4694">
        <v>297</v>
      </c>
      <c r="J4694" t="s">
        <v>1901</v>
      </c>
      <c r="K4694" t="s">
        <v>44</v>
      </c>
      <c r="N4694" t="s">
        <v>45</v>
      </c>
      <c r="O4694" t="s">
        <v>46</v>
      </c>
      <c r="P4694" t="s">
        <v>45</v>
      </c>
      <c r="Q4694" t="s">
        <v>47</v>
      </c>
      <c r="R4694" t="s">
        <v>44</v>
      </c>
      <c r="S4694">
        <v>0</v>
      </c>
      <c r="W4694" s="3">
        <v>5.7870370370370366E-5</v>
      </c>
      <c r="X4694" t="s">
        <v>121</v>
      </c>
      <c r="Y4694">
        <v>1</v>
      </c>
      <c r="Z4694">
        <v>0</v>
      </c>
      <c r="AA4694" t="s">
        <v>49</v>
      </c>
      <c r="AB4694">
        <v>0</v>
      </c>
      <c r="AC4694" t="s">
        <v>49</v>
      </c>
      <c r="AD4694">
        <v>0</v>
      </c>
      <c r="AE4694">
        <v>10391780</v>
      </c>
      <c r="AF4694" t="s">
        <v>50</v>
      </c>
      <c r="AG4694" t="s">
        <v>4702</v>
      </c>
    </row>
    <row r="4695" spans="1:33" x14ac:dyDescent="0.35">
      <c r="A4695" s="1">
        <v>44587.572916666664</v>
      </c>
      <c r="B4695">
        <v>4003148</v>
      </c>
      <c r="C4695" t="s">
        <v>9506</v>
      </c>
      <c r="D4695" t="s">
        <v>329</v>
      </c>
      <c r="E4695" s="2">
        <v>42268</v>
      </c>
      <c r="F4695" t="str">
        <f>"9780702062872"</f>
        <v>9780702062872</v>
      </c>
      <c r="G4695" t="str">
        <f>"9780702062841"</f>
        <v>9780702062841</v>
      </c>
      <c r="H4695" t="s">
        <v>116</v>
      </c>
      <c r="I4695">
        <v>668.423</v>
      </c>
      <c r="J4695" t="s">
        <v>9507</v>
      </c>
      <c r="K4695" t="s">
        <v>44</v>
      </c>
      <c r="N4695" t="s">
        <v>45</v>
      </c>
      <c r="O4695" t="s">
        <v>46</v>
      </c>
      <c r="P4695" t="s">
        <v>45</v>
      </c>
      <c r="Q4695" t="s">
        <v>47</v>
      </c>
      <c r="R4695" t="s">
        <v>44</v>
      </c>
      <c r="S4695">
        <v>1</v>
      </c>
      <c r="W4695" s="3">
        <v>0</v>
      </c>
      <c r="X4695" t="s">
        <v>49</v>
      </c>
      <c r="Y4695">
        <v>0</v>
      </c>
      <c r="Z4695">
        <v>0</v>
      </c>
      <c r="AA4695" t="s">
        <v>49</v>
      </c>
      <c r="AB4695">
        <v>0</v>
      </c>
      <c r="AC4695" t="s">
        <v>49</v>
      </c>
      <c r="AD4695">
        <v>0</v>
      </c>
      <c r="AE4695">
        <v>11117936</v>
      </c>
      <c r="AF4695" t="s">
        <v>63</v>
      </c>
      <c r="AG4695" t="s">
        <v>9392</v>
      </c>
    </row>
    <row r="4696" spans="1:33" x14ac:dyDescent="0.35">
      <c r="A4696" s="1">
        <v>44587.552777777775</v>
      </c>
      <c r="B4696">
        <v>1192537</v>
      </c>
      <c r="C4696" t="s">
        <v>6848</v>
      </c>
      <c r="D4696" t="s">
        <v>473</v>
      </c>
      <c r="E4696" s="2">
        <v>41402</v>
      </c>
      <c r="F4696" t="str">
        <f>"9789004251403"</f>
        <v>9789004251403</v>
      </c>
      <c r="G4696" t="str">
        <f>"9789004251359"</f>
        <v>9789004251359</v>
      </c>
      <c r="H4696" t="s">
        <v>157</v>
      </c>
      <c r="K4696" t="s">
        <v>44</v>
      </c>
      <c r="N4696" t="s">
        <v>45</v>
      </c>
      <c r="O4696" t="s">
        <v>46</v>
      </c>
      <c r="P4696" t="s">
        <v>45</v>
      </c>
      <c r="Q4696" t="s">
        <v>47</v>
      </c>
      <c r="R4696" t="s">
        <v>44</v>
      </c>
      <c r="S4696">
        <v>0</v>
      </c>
      <c r="W4696" s="3">
        <v>6.4814814814814813E-4</v>
      </c>
      <c r="X4696" t="s">
        <v>9508</v>
      </c>
      <c r="Y4696">
        <v>5</v>
      </c>
      <c r="Z4696">
        <v>0</v>
      </c>
      <c r="AA4696" t="s">
        <v>49</v>
      </c>
      <c r="AB4696">
        <v>0</v>
      </c>
      <c r="AC4696" t="s">
        <v>49</v>
      </c>
      <c r="AD4696">
        <v>0</v>
      </c>
      <c r="AE4696">
        <v>10714564</v>
      </c>
      <c r="AF4696" t="s">
        <v>50</v>
      </c>
      <c r="AG4696" t="s">
        <v>9171</v>
      </c>
    </row>
    <row r="4697" spans="1:33" x14ac:dyDescent="0.35">
      <c r="A4697" s="1">
        <v>44587.497916666667</v>
      </c>
      <c r="B4697">
        <v>1047228</v>
      </c>
      <c r="C4697" t="s">
        <v>9509</v>
      </c>
      <c r="D4697" t="s">
        <v>6459</v>
      </c>
      <c r="E4697" s="2">
        <v>41197</v>
      </c>
      <c r="F4697" t="str">
        <f>"9781589019447"</f>
        <v>9781589019447</v>
      </c>
      <c r="G4697" t="str">
        <f>"9781589019140"</f>
        <v>9781589019140</v>
      </c>
      <c r="H4697" t="s">
        <v>162</v>
      </c>
      <c r="I4697" t="s">
        <v>9248</v>
      </c>
      <c r="J4697" t="s">
        <v>9510</v>
      </c>
      <c r="K4697" t="s">
        <v>44</v>
      </c>
      <c r="N4697" t="s">
        <v>45</v>
      </c>
      <c r="O4697" t="s">
        <v>46</v>
      </c>
      <c r="P4697" t="s">
        <v>45</v>
      </c>
      <c r="Q4697" t="s">
        <v>47</v>
      </c>
      <c r="R4697" t="s">
        <v>44</v>
      </c>
      <c r="S4697">
        <v>0</v>
      </c>
      <c r="W4697" s="3">
        <v>2.5462962962962961E-3</v>
      </c>
      <c r="X4697" t="s">
        <v>9511</v>
      </c>
      <c r="Y4697">
        <v>8</v>
      </c>
      <c r="Z4697">
        <v>0</v>
      </c>
      <c r="AA4697" t="s">
        <v>49</v>
      </c>
      <c r="AB4697">
        <v>0</v>
      </c>
      <c r="AC4697" t="s">
        <v>49</v>
      </c>
      <c r="AD4697">
        <v>0</v>
      </c>
      <c r="AE4697">
        <v>10614234</v>
      </c>
      <c r="AF4697" t="s">
        <v>50</v>
      </c>
      <c r="AG4697" t="s">
        <v>300</v>
      </c>
    </row>
    <row r="4698" spans="1:33" x14ac:dyDescent="0.35">
      <c r="A4698" s="1">
        <v>44587.495138888888</v>
      </c>
      <c r="B4698">
        <v>4391825</v>
      </c>
      <c r="C4698" t="s">
        <v>9512</v>
      </c>
      <c r="D4698" t="s">
        <v>2754</v>
      </c>
      <c r="E4698" s="2">
        <v>42359</v>
      </c>
      <c r="F4698" t="str">
        <f>"9781452945576"</f>
        <v>9781452945576</v>
      </c>
      <c r="G4698" t="str">
        <f>"9780816697236"</f>
        <v>9780816697236</v>
      </c>
      <c r="H4698" t="s">
        <v>1299</v>
      </c>
      <c r="I4698" t="s">
        <v>2498</v>
      </c>
      <c r="J4698" t="s">
        <v>9513</v>
      </c>
      <c r="K4698" t="s">
        <v>44</v>
      </c>
      <c r="N4698" t="s">
        <v>45</v>
      </c>
      <c r="O4698" t="s">
        <v>46</v>
      </c>
      <c r="P4698" t="s">
        <v>45</v>
      </c>
      <c r="Q4698" t="s">
        <v>47</v>
      </c>
      <c r="R4698" t="s">
        <v>44</v>
      </c>
      <c r="S4698">
        <v>0</v>
      </c>
      <c r="W4698" s="3">
        <v>8.1018518518518516E-4</v>
      </c>
      <c r="X4698" t="s">
        <v>9514</v>
      </c>
      <c r="Y4698">
        <v>10</v>
      </c>
      <c r="Z4698">
        <v>0</v>
      </c>
      <c r="AA4698" t="s">
        <v>49</v>
      </c>
      <c r="AB4698">
        <v>0</v>
      </c>
      <c r="AC4698" t="s">
        <v>49</v>
      </c>
      <c r="AD4698">
        <v>0</v>
      </c>
      <c r="AE4698">
        <v>11152979</v>
      </c>
      <c r="AF4698" t="s">
        <v>50</v>
      </c>
      <c r="AG4698" t="s">
        <v>9387</v>
      </c>
    </row>
    <row r="4699" spans="1:33" x14ac:dyDescent="0.35">
      <c r="A4699" s="1">
        <v>44586.93472222222</v>
      </c>
      <c r="B4699">
        <v>1680215</v>
      </c>
      <c r="C4699" t="s">
        <v>9515</v>
      </c>
      <c r="D4699" t="s">
        <v>424</v>
      </c>
      <c r="E4699" s="2">
        <v>39980</v>
      </c>
      <c r="F4699" t="str">
        <f>"9780742566330"</f>
        <v>9780742566330</v>
      </c>
      <c r="G4699" t="str">
        <f>"9780742562066"</f>
        <v>9780742562066</v>
      </c>
      <c r="H4699" t="s">
        <v>1069</v>
      </c>
      <c r="I4699">
        <v>892.70938296999998</v>
      </c>
      <c r="J4699">
        <v>2008055420</v>
      </c>
      <c r="K4699" t="s">
        <v>44</v>
      </c>
      <c r="N4699" t="s">
        <v>45</v>
      </c>
      <c r="O4699" t="s">
        <v>46</v>
      </c>
      <c r="P4699" t="s">
        <v>45</v>
      </c>
      <c r="Q4699" t="s">
        <v>47</v>
      </c>
      <c r="R4699" t="s">
        <v>44</v>
      </c>
      <c r="S4699">
        <v>0</v>
      </c>
      <c r="W4699" s="3">
        <v>9.2592592592592588E-5</v>
      </c>
      <c r="X4699" t="s">
        <v>196</v>
      </c>
      <c r="Y4699">
        <v>2</v>
      </c>
      <c r="Z4699">
        <v>0</v>
      </c>
      <c r="AA4699" t="s">
        <v>49</v>
      </c>
      <c r="AB4699">
        <v>0</v>
      </c>
      <c r="AC4699" t="s">
        <v>49</v>
      </c>
      <c r="AD4699">
        <v>0</v>
      </c>
      <c r="AE4699">
        <v>10865539</v>
      </c>
      <c r="AF4699" t="s">
        <v>50</v>
      </c>
      <c r="AG4699" t="s">
        <v>9463</v>
      </c>
    </row>
    <row r="4700" spans="1:33" x14ac:dyDescent="0.35">
      <c r="A4700" s="1">
        <v>44586.807638888888</v>
      </c>
      <c r="B4700">
        <v>1192537</v>
      </c>
      <c r="C4700" t="s">
        <v>6848</v>
      </c>
      <c r="D4700" t="s">
        <v>473</v>
      </c>
      <c r="E4700" s="2">
        <v>41402</v>
      </c>
      <c r="F4700" t="str">
        <f>"9789004251403"</f>
        <v>9789004251403</v>
      </c>
      <c r="G4700" t="str">
        <f>"9789004251359"</f>
        <v>9789004251359</v>
      </c>
      <c r="H4700" t="s">
        <v>157</v>
      </c>
      <c r="K4700" t="s">
        <v>44</v>
      </c>
      <c r="N4700" t="s">
        <v>45</v>
      </c>
      <c r="O4700" t="s">
        <v>46</v>
      </c>
      <c r="P4700" t="s">
        <v>45</v>
      </c>
      <c r="Q4700" t="s">
        <v>47</v>
      </c>
      <c r="R4700" t="s">
        <v>44</v>
      </c>
      <c r="S4700">
        <v>0</v>
      </c>
      <c r="W4700" s="3">
        <v>2.0833333333333335E-4</v>
      </c>
      <c r="X4700" t="s">
        <v>205</v>
      </c>
      <c r="Y4700">
        <v>2</v>
      </c>
      <c r="Z4700">
        <v>0</v>
      </c>
      <c r="AA4700" t="s">
        <v>49</v>
      </c>
      <c r="AB4700">
        <v>0</v>
      </c>
      <c r="AC4700" t="s">
        <v>49</v>
      </c>
      <c r="AD4700">
        <v>0</v>
      </c>
      <c r="AE4700">
        <v>10714564</v>
      </c>
      <c r="AF4700" t="s">
        <v>50</v>
      </c>
      <c r="AG4700" t="s">
        <v>9171</v>
      </c>
    </row>
    <row r="4701" spans="1:33" x14ac:dyDescent="0.35">
      <c r="A4701" s="1">
        <v>44586.804861111108</v>
      </c>
      <c r="B4701">
        <v>1876331</v>
      </c>
      <c r="C4701" t="s">
        <v>418</v>
      </c>
      <c r="D4701" t="s">
        <v>53</v>
      </c>
      <c r="E4701" s="2">
        <v>42092</v>
      </c>
      <c r="F4701" t="str">
        <f>"9781400866427"</f>
        <v>9781400866427</v>
      </c>
      <c r="G4701" t="str">
        <f>"9780691164823"</f>
        <v>9780691164823</v>
      </c>
      <c r="H4701" t="s">
        <v>419</v>
      </c>
      <c r="I4701" t="s">
        <v>420</v>
      </c>
      <c r="J4701" t="s">
        <v>421</v>
      </c>
      <c r="K4701" t="s">
        <v>44</v>
      </c>
      <c r="N4701" t="s">
        <v>45</v>
      </c>
      <c r="O4701" t="s">
        <v>46</v>
      </c>
      <c r="P4701" t="s">
        <v>45</v>
      </c>
      <c r="Q4701" t="s">
        <v>47</v>
      </c>
      <c r="R4701" t="s">
        <v>44</v>
      </c>
      <c r="S4701">
        <v>0</v>
      </c>
      <c r="W4701" s="3">
        <v>9.1319444444444443E-3</v>
      </c>
      <c r="X4701" t="s">
        <v>9516</v>
      </c>
      <c r="Y4701">
        <v>17</v>
      </c>
      <c r="Z4701">
        <v>0</v>
      </c>
      <c r="AA4701" t="s">
        <v>49</v>
      </c>
      <c r="AB4701">
        <v>0</v>
      </c>
      <c r="AC4701" t="s">
        <v>49</v>
      </c>
      <c r="AD4701">
        <v>0</v>
      </c>
      <c r="AE4701">
        <v>11028404</v>
      </c>
      <c r="AF4701" t="s">
        <v>50</v>
      </c>
      <c r="AG4701" t="s">
        <v>2642</v>
      </c>
    </row>
    <row r="4702" spans="1:33" x14ac:dyDescent="0.35">
      <c r="A4702" s="1">
        <v>44586.71597222222</v>
      </c>
      <c r="B4702">
        <v>330202</v>
      </c>
      <c r="C4702" t="s">
        <v>9517</v>
      </c>
      <c r="D4702" t="s">
        <v>65</v>
      </c>
      <c r="E4702" s="2">
        <v>39008</v>
      </c>
      <c r="F4702" t="str">
        <f>"9780080549217"</f>
        <v>9780080549217</v>
      </c>
      <c r="G4702" t="str">
        <f>"9781493303878"</f>
        <v>9781493303878</v>
      </c>
      <c r="H4702" t="s">
        <v>857</v>
      </c>
      <c r="I4702" t="s">
        <v>9518</v>
      </c>
      <c r="J4702" t="s">
        <v>9519</v>
      </c>
      <c r="K4702" t="s">
        <v>44</v>
      </c>
      <c r="N4702" t="s">
        <v>45</v>
      </c>
      <c r="O4702" t="s">
        <v>46</v>
      </c>
      <c r="P4702" t="s">
        <v>45</v>
      </c>
      <c r="Q4702" t="s">
        <v>47</v>
      </c>
      <c r="R4702" t="s">
        <v>44</v>
      </c>
      <c r="S4702">
        <v>0</v>
      </c>
      <c r="W4702" s="3">
        <v>9.2592592592592585E-4</v>
      </c>
      <c r="X4702" t="s">
        <v>9520</v>
      </c>
      <c r="Y4702">
        <v>10</v>
      </c>
      <c r="Z4702">
        <v>0</v>
      </c>
      <c r="AA4702" t="s">
        <v>49</v>
      </c>
      <c r="AB4702">
        <v>0</v>
      </c>
      <c r="AC4702" t="s">
        <v>49</v>
      </c>
      <c r="AD4702">
        <v>0</v>
      </c>
      <c r="AE4702">
        <v>10196363</v>
      </c>
      <c r="AF4702" t="s">
        <v>50</v>
      </c>
      <c r="AG4702" t="s">
        <v>300</v>
      </c>
    </row>
    <row r="4703" spans="1:33" x14ac:dyDescent="0.35">
      <c r="A4703" s="1">
        <v>44586.533333333333</v>
      </c>
      <c r="B4703">
        <v>566026</v>
      </c>
      <c r="C4703" t="s">
        <v>9521</v>
      </c>
      <c r="D4703" t="s">
        <v>76</v>
      </c>
      <c r="E4703" s="2">
        <v>40113</v>
      </c>
      <c r="F4703" t="str">
        <f>"9781420071702"</f>
        <v>9781420071702</v>
      </c>
      <c r="G4703" t="str">
        <f>"9781420071696"</f>
        <v>9781420071696</v>
      </c>
      <c r="H4703" t="s">
        <v>1256</v>
      </c>
      <c r="I4703">
        <v>620.00419999999997</v>
      </c>
      <c r="J4703" t="s">
        <v>9522</v>
      </c>
      <c r="K4703" t="s">
        <v>44</v>
      </c>
      <c r="N4703" t="s">
        <v>45</v>
      </c>
      <c r="O4703" t="s">
        <v>46</v>
      </c>
      <c r="P4703" t="s">
        <v>45</v>
      </c>
      <c r="Q4703" t="s">
        <v>47</v>
      </c>
      <c r="R4703" t="s">
        <v>44</v>
      </c>
      <c r="S4703">
        <v>0</v>
      </c>
      <c r="W4703" s="3">
        <v>4.0509259259259258E-4</v>
      </c>
      <c r="X4703" t="s">
        <v>9523</v>
      </c>
      <c r="Y4703">
        <v>3</v>
      </c>
      <c r="Z4703">
        <v>0</v>
      </c>
      <c r="AA4703" t="s">
        <v>49</v>
      </c>
      <c r="AB4703">
        <v>0</v>
      </c>
      <c r="AC4703" t="s">
        <v>49</v>
      </c>
      <c r="AD4703">
        <v>0</v>
      </c>
      <c r="AE4703">
        <v>10340858</v>
      </c>
      <c r="AF4703" t="s">
        <v>50</v>
      </c>
      <c r="AG4703" t="s">
        <v>4702</v>
      </c>
    </row>
    <row r="4704" spans="1:33" x14ac:dyDescent="0.35">
      <c r="A4704" s="1">
        <v>44586.53125</v>
      </c>
      <c r="B4704">
        <v>566026</v>
      </c>
      <c r="C4704" t="s">
        <v>9521</v>
      </c>
      <c r="D4704" t="s">
        <v>76</v>
      </c>
      <c r="E4704" s="2">
        <v>40113</v>
      </c>
      <c r="F4704" t="str">
        <f>"9781420071702"</f>
        <v>9781420071702</v>
      </c>
      <c r="G4704" t="str">
        <f>"9781420071696"</f>
        <v>9781420071696</v>
      </c>
      <c r="H4704" t="s">
        <v>1256</v>
      </c>
      <c r="I4704">
        <v>620.00419999999997</v>
      </c>
      <c r="J4704" t="s">
        <v>9522</v>
      </c>
      <c r="K4704" t="s">
        <v>44</v>
      </c>
      <c r="N4704" t="s">
        <v>45</v>
      </c>
      <c r="O4704" t="s">
        <v>46</v>
      </c>
      <c r="P4704" t="s">
        <v>45</v>
      </c>
      <c r="Q4704" t="s">
        <v>47</v>
      </c>
      <c r="R4704" t="s">
        <v>44</v>
      </c>
      <c r="S4704">
        <v>0</v>
      </c>
      <c r="W4704" s="3">
        <v>0</v>
      </c>
      <c r="X4704" t="s">
        <v>49</v>
      </c>
      <c r="Y4704">
        <v>0</v>
      </c>
      <c r="Z4704">
        <v>2</v>
      </c>
      <c r="AA4704" t="s">
        <v>9524</v>
      </c>
      <c r="AB4704">
        <v>52</v>
      </c>
      <c r="AC4704" t="s">
        <v>49</v>
      </c>
      <c r="AD4704">
        <v>0</v>
      </c>
      <c r="AE4704">
        <v>10340858</v>
      </c>
      <c r="AF4704" t="s">
        <v>50</v>
      </c>
      <c r="AG4704" t="s">
        <v>4702</v>
      </c>
    </row>
    <row r="4705" spans="1:33" x14ac:dyDescent="0.35">
      <c r="A4705" s="1">
        <v>44586.004166666666</v>
      </c>
      <c r="B4705">
        <v>4698016</v>
      </c>
      <c r="C4705" t="s">
        <v>9525</v>
      </c>
      <c r="D4705" t="s">
        <v>59</v>
      </c>
      <c r="E4705" s="2">
        <v>42905</v>
      </c>
      <c r="F4705" t="str">
        <f>"9783527697120"</f>
        <v>9783527697120</v>
      </c>
      <c r="G4705" t="str">
        <f>"9783527339709"</f>
        <v>9783527339709</v>
      </c>
      <c r="H4705" t="s">
        <v>214</v>
      </c>
      <c r="I4705">
        <v>548.79999999999995</v>
      </c>
      <c r="J4705" t="s">
        <v>9526</v>
      </c>
      <c r="K4705" t="s">
        <v>44</v>
      </c>
      <c r="N4705" t="s">
        <v>45</v>
      </c>
      <c r="O4705" t="s">
        <v>46</v>
      </c>
      <c r="P4705" t="s">
        <v>45</v>
      </c>
      <c r="Q4705" t="s">
        <v>47</v>
      </c>
      <c r="R4705" t="s">
        <v>44</v>
      </c>
      <c r="S4705">
        <v>0</v>
      </c>
      <c r="W4705" s="3">
        <v>1.1342592592592591E-3</v>
      </c>
      <c r="X4705" t="s">
        <v>9527</v>
      </c>
      <c r="Y4705">
        <v>10</v>
      </c>
      <c r="Z4705">
        <v>0</v>
      </c>
      <c r="AA4705" t="s">
        <v>49</v>
      </c>
      <c r="AB4705">
        <v>0</v>
      </c>
      <c r="AC4705" t="s">
        <v>49</v>
      </c>
      <c r="AD4705">
        <v>0</v>
      </c>
      <c r="AE4705">
        <v>11271946</v>
      </c>
      <c r="AF4705" t="s">
        <v>50</v>
      </c>
      <c r="AG4705" t="s">
        <v>8710</v>
      </c>
    </row>
    <row r="4706" spans="1:33" x14ac:dyDescent="0.35">
      <c r="A4706" s="1">
        <v>44585.961111111108</v>
      </c>
      <c r="B4706">
        <v>3339140</v>
      </c>
      <c r="C4706" t="s">
        <v>3688</v>
      </c>
      <c r="D4706" t="s">
        <v>303</v>
      </c>
      <c r="E4706" s="2">
        <v>38492</v>
      </c>
      <c r="F4706" t="str">
        <f>"9780262255912"</f>
        <v>9780262255912</v>
      </c>
      <c r="G4706" t="str">
        <f>"9780262033275"</f>
        <v>9780262033275</v>
      </c>
      <c r="H4706" t="s">
        <v>538</v>
      </c>
      <c r="I4706">
        <v>629.89200000000005</v>
      </c>
      <c r="J4706" t="s">
        <v>3689</v>
      </c>
      <c r="K4706" t="s">
        <v>44</v>
      </c>
      <c r="N4706" t="s">
        <v>45</v>
      </c>
      <c r="O4706" t="s">
        <v>46</v>
      </c>
      <c r="P4706" t="s">
        <v>45</v>
      </c>
      <c r="Q4706" t="s">
        <v>47</v>
      </c>
      <c r="R4706" t="s">
        <v>44</v>
      </c>
      <c r="S4706">
        <v>0</v>
      </c>
      <c r="W4706" s="3">
        <v>1.5277777777777779E-3</v>
      </c>
      <c r="X4706" t="s">
        <v>9528</v>
      </c>
      <c r="Y4706">
        <v>8</v>
      </c>
      <c r="Z4706">
        <v>0</v>
      </c>
      <c r="AA4706" t="s">
        <v>49</v>
      </c>
      <c r="AB4706">
        <v>0</v>
      </c>
      <c r="AC4706" t="s">
        <v>49</v>
      </c>
      <c r="AD4706">
        <v>0</v>
      </c>
      <c r="AE4706">
        <v>10397650</v>
      </c>
      <c r="AF4706" t="s">
        <v>50</v>
      </c>
      <c r="AG4706" t="s">
        <v>4702</v>
      </c>
    </row>
    <row r="4707" spans="1:33" x14ac:dyDescent="0.35">
      <c r="A4707" s="1">
        <v>44585.931250000001</v>
      </c>
      <c r="B4707">
        <v>2054759</v>
      </c>
      <c r="C4707" t="s">
        <v>9529</v>
      </c>
      <c r="D4707" t="s">
        <v>6069</v>
      </c>
      <c r="E4707" s="2">
        <v>40359</v>
      </c>
      <c r="F4707" t="str">
        <f>"9781611172317"</f>
        <v>9781611172317</v>
      </c>
      <c r="G4707" t="str">
        <f>"9781570038921"</f>
        <v>9781570038921</v>
      </c>
      <c r="H4707" t="s">
        <v>162</v>
      </c>
      <c r="I4707">
        <v>297.08999999999997</v>
      </c>
      <c r="J4707" t="s">
        <v>9530</v>
      </c>
      <c r="K4707" t="s">
        <v>44</v>
      </c>
      <c r="N4707" t="s">
        <v>45</v>
      </c>
      <c r="O4707" t="s">
        <v>46</v>
      </c>
      <c r="P4707" t="s">
        <v>45</v>
      </c>
      <c r="Q4707" t="s">
        <v>47</v>
      </c>
      <c r="R4707" t="s">
        <v>44</v>
      </c>
      <c r="S4707">
        <v>0</v>
      </c>
      <c r="W4707" s="3">
        <v>3.425925925925926E-3</v>
      </c>
      <c r="X4707" t="s">
        <v>9531</v>
      </c>
      <c r="Y4707">
        <v>29</v>
      </c>
      <c r="Z4707">
        <v>0</v>
      </c>
      <c r="AA4707" t="s">
        <v>49</v>
      </c>
      <c r="AB4707">
        <v>0</v>
      </c>
      <c r="AC4707" t="s">
        <v>49</v>
      </c>
      <c r="AD4707">
        <v>0</v>
      </c>
      <c r="AE4707">
        <v>10632293</v>
      </c>
      <c r="AF4707" t="s">
        <v>50</v>
      </c>
      <c r="AG4707" t="s">
        <v>4702</v>
      </c>
    </row>
    <row r="4708" spans="1:33" x14ac:dyDescent="0.35">
      <c r="A4708" s="1">
        <v>44585.924305555556</v>
      </c>
      <c r="B4708">
        <v>281015</v>
      </c>
      <c r="C4708" t="s">
        <v>9532</v>
      </c>
      <c r="D4708" t="s">
        <v>125</v>
      </c>
      <c r="E4708" s="2">
        <v>37168</v>
      </c>
      <c r="F4708" t="str">
        <f>"9780195343823"</f>
        <v>9780195343823</v>
      </c>
      <c r="G4708" t="str">
        <f>"9780195144666"</f>
        <v>9780195144666</v>
      </c>
      <c r="H4708" t="s">
        <v>162</v>
      </c>
      <c r="I4708">
        <v>261</v>
      </c>
      <c r="J4708" t="s">
        <v>9533</v>
      </c>
      <c r="K4708" t="s">
        <v>44</v>
      </c>
      <c r="N4708" t="s">
        <v>45</v>
      </c>
      <c r="O4708" t="s">
        <v>46</v>
      </c>
      <c r="P4708" t="s">
        <v>45</v>
      </c>
      <c r="Q4708" t="s">
        <v>47</v>
      </c>
      <c r="R4708" t="s">
        <v>44</v>
      </c>
      <c r="S4708">
        <v>0</v>
      </c>
      <c r="W4708" s="3">
        <v>3.3449074074074071E-3</v>
      </c>
      <c r="X4708" t="s">
        <v>9534</v>
      </c>
      <c r="Y4708">
        <v>22</v>
      </c>
      <c r="Z4708">
        <v>0</v>
      </c>
      <c r="AA4708" t="s">
        <v>49</v>
      </c>
      <c r="AB4708">
        <v>0</v>
      </c>
      <c r="AC4708" t="s">
        <v>49</v>
      </c>
      <c r="AD4708">
        <v>0</v>
      </c>
      <c r="AE4708">
        <v>10142074</v>
      </c>
      <c r="AF4708" t="s">
        <v>50</v>
      </c>
      <c r="AG4708" t="s">
        <v>4702</v>
      </c>
    </row>
    <row r="4709" spans="1:33" x14ac:dyDescent="0.35">
      <c r="A4709" s="1">
        <v>44585.88958333333</v>
      </c>
      <c r="B4709">
        <v>4649096</v>
      </c>
      <c r="C4709" t="s">
        <v>9535</v>
      </c>
      <c r="D4709" t="s">
        <v>2817</v>
      </c>
      <c r="E4709" s="2">
        <v>41968</v>
      </c>
      <c r="F4709" t="str">
        <f>"9780815653059"</f>
        <v>9780815653059</v>
      </c>
      <c r="G4709" t="str">
        <f>"9780815633730"</f>
        <v>9780815633730</v>
      </c>
      <c r="H4709" t="s">
        <v>1046</v>
      </c>
      <c r="I4709" t="s">
        <v>9536</v>
      </c>
      <c r="J4709" t="s">
        <v>9537</v>
      </c>
      <c r="K4709" t="s">
        <v>44</v>
      </c>
      <c r="N4709" t="s">
        <v>45</v>
      </c>
      <c r="O4709" t="s">
        <v>46</v>
      </c>
      <c r="P4709" t="s">
        <v>45</v>
      </c>
      <c r="Q4709" t="s">
        <v>47</v>
      </c>
      <c r="R4709" t="s">
        <v>44</v>
      </c>
      <c r="S4709">
        <v>0</v>
      </c>
      <c r="W4709" s="3">
        <v>1.5046296296296297E-4</v>
      </c>
      <c r="X4709" t="s">
        <v>9538</v>
      </c>
      <c r="Y4709">
        <v>3</v>
      </c>
      <c r="Z4709">
        <v>0</v>
      </c>
      <c r="AA4709" t="s">
        <v>49</v>
      </c>
      <c r="AB4709">
        <v>0</v>
      </c>
      <c r="AC4709" t="s">
        <v>49</v>
      </c>
      <c r="AD4709">
        <v>0</v>
      </c>
      <c r="AE4709">
        <v>11249980</v>
      </c>
      <c r="AF4709" t="s">
        <v>50</v>
      </c>
      <c r="AG4709" t="s">
        <v>300</v>
      </c>
    </row>
    <row r="4710" spans="1:33" x14ac:dyDescent="0.35">
      <c r="A4710" s="1">
        <v>44585.884722222225</v>
      </c>
      <c r="B4710">
        <v>617176</v>
      </c>
      <c r="C4710" t="s">
        <v>1520</v>
      </c>
      <c r="D4710" t="s">
        <v>497</v>
      </c>
      <c r="E4710" s="2">
        <v>40542</v>
      </c>
      <c r="F4710" t="str">
        <f>"9781441136251"</f>
        <v>9781441136251</v>
      </c>
      <c r="G4710" t="str">
        <f>"9780826400871"</f>
        <v>9780826400871</v>
      </c>
      <c r="H4710" t="s">
        <v>1186</v>
      </c>
      <c r="I4710" t="s">
        <v>1521</v>
      </c>
      <c r="J4710" t="s">
        <v>1522</v>
      </c>
      <c r="K4710" t="s">
        <v>44</v>
      </c>
      <c r="N4710" t="s">
        <v>45</v>
      </c>
      <c r="O4710" t="s">
        <v>46</v>
      </c>
      <c r="P4710" t="s">
        <v>45</v>
      </c>
      <c r="Q4710" t="s">
        <v>47</v>
      </c>
      <c r="R4710" t="s">
        <v>44</v>
      </c>
      <c r="S4710">
        <v>0</v>
      </c>
      <c r="W4710" s="3">
        <v>1.5046296296296297E-4</v>
      </c>
      <c r="X4710" t="s">
        <v>9539</v>
      </c>
      <c r="Y4710">
        <v>3</v>
      </c>
      <c r="Z4710">
        <v>0</v>
      </c>
      <c r="AA4710" t="s">
        <v>49</v>
      </c>
      <c r="AB4710">
        <v>0</v>
      </c>
      <c r="AC4710" t="s">
        <v>49</v>
      </c>
      <c r="AD4710">
        <v>0</v>
      </c>
      <c r="AE4710">
        <v>10432531</v>
      </c>
      <c r="AF4710" t="s">
        <v>50</v>
      </c>
      <c r="AG4710" t="s">
        <v>300</v>
      </c>
    </row>
    <row r="4711" spans="1:33" x14ac:dyDescent="0.35">
      <c r="A4711" s="1">
        <v>44585.884027777778</v>
      </c>
      <c r="B4711">
        <v>3420193</v>
      </c>
      <c r="C4711" t="s">
        <v>7244</v>
      </c>
      <c r="D4711" t="s">
        <v>347</v>
      </c>
      <c r="E4711" s="2">
        <v>38118</v>
      </c>
      <c r="F4711" t="str">
        <f>"9780300133684"</f>
        <v>9780300133684</v>
      </c>
      <c r="G4711" t="str">
        <f>"9780300100327"</f>
        <v>9780300100327</v>
      </c>
      <c r="H4711" t="s">
        <v>498</v>
      </c>
      <c r="I4711" t="s">
        <v>6125</v>
      </c>
      <c r="J4711" t="s">
        <v>7245</v>
      </c>
      <c r="K4711" t="s">
        <v>44</v>
      </c>
      <c r="N4711" t="s">
        <v>45</v>
      </c>
      <c r="O4711" t="s">
        <v>46</v>
      </c>
      <c r="P4711" t="s">
        <v>45</v>
      </c>
      <c r="Q4711" t="s">
        <v>47</v>
      </c>
      <c r="R4711" t="s">
        <v>44</v>
      </c>
      <c r="S4711">
        <v>0</v>
      </c>
      <c r="W4711" s="3">
        <v>2.0833333333333335E-4</v>
      </c>
      <c r="X4711" t="s">
        <v>9540</v>
      </c>
      <c r="Y4711">
        <v>1</v>
      </c>
      <c r="Z4711">
        <v>3</v>
      </c>
      <c r="AA4711" t="s">
        <v>9541</v>
      </c>
      <c r="AB4711">
        <v>109</v>
      </c>
      <c r="AC4711" t="s">
        <v>49</v>
      </c>
      <c r="AD4711">
        <v>0</v>
      </c>
      <c r="AE4711">
        <v>10170884</v>
      </c>
      <c r="AF4711" t="s">
        <v>50</v>
      </c>
      <c r="AG4711" t="s">
        <v>9463</v>
      </c>
    </row>
    <row r="4712" spans="1:33" x14ac:dyDescent="0.35">
      <c r="A4712" s="1">
        <v>44585.870833333334</v>
      </c>
      <c r="B4712">
        <v>536977</v>
      </c>
      <c r="C4712" t="s">
        <v>1900</v>
      </c>
      <c r="D4712" t="s">
        <v>507</v>
      </c>
      <c r="E4712" s="2">
        <v>40043</v>
      </c>
      <c r="F4712" t="str">
        <f>"9780748637942"</f>
        <v>9780748637942</v>
      </c>
      <c r="G4712" t="str">
        <f>"9780748637928"</f>
        <v>9780748637928</v>
      </c>
      <c r="H4712" t="s">
        <v>162</v>
      </c>
      <c r="I4712">
        <v>297</v>
      </c>
      <c r="J4712" t="s">
        <v>1901</v>
      </c>
      <c r="K4712" t="s">
        <v>44</v>
      </c>
      <c r="N4712" t="s">
        <v>45</v>
      </c>
      <c r="O4712" t="s">
        <v>46</v>
      </c>
      <c r="P4712" t="s">
        <v>45</v>
      </c>
      <c r="Q4712" t="s">
        <v>47</v>
      </c>
      <c r="R4712" t="s">
        <v>44</v>
      </c>
      <c r="S4712">
        <v>0</v>
      </c>
      <c r="W4712" s="3">
        <v>0</v>
      </c>
      <c r="X4712" t="s">
        <v>49</v>
      </c>
      <c r="Y4712">
        <v>0</v>
      </c>
      <c r="Z4712">
        <v>2</v>
      </c>
      <c r="AA4712" t="s">
        <v>9542</v>
      </c>
      <c r="AB4712">
        <v>70</v>
      </c>
      <c r="AC4712" t="s">
        <v>49</v>
      </c>
      <c r="AD4712">
        <v>0</v>
      </c>
      <c r="AE4712">
        <v>10391780</v>
      </c>
      <c r="AF4712" t="s">
        <v>50</v>
      </c>
      <c r="AG4712" t="s">
        <v>9463</v>
      </c>
    </row>
    <row r="4713" spans="1:33" x14ac:dyDescent="0.35">
      <c r="A4713" s="1">
        <v>44585.859722222223</v>
      </c>
      <c r="B4713">
        <v>536977</v>
      </c>
      <c r="C4713" t="s">
        <v>1900</v>
      </c>
      <c r="D4713" t="s">
        <v>507</v>
      </c>
      <c r="E4713" s="2">
        <v>40043</v>
      </c>
      <c r="F4713" t="str">
        <f>"9780748637942"</f>
        <v>9780748637942</v>
      </c>
      <c r="G4713" t="str">
        <f>"9780748637928"</f>
        <v>9780748637928</v>
      </c>
      <c r="H4713" t="s">
        <v>162</v>
      </c>
      <c r="I4713">
        <v>297</v>
      </c>
      <c r="J4713" t="s">
        <v>1901</v>
      </c>
      <c r="K4713" t="s">
        <v>44</v>
      </c>
      <c r="N4713" t="s">
        <v>45</v>
      </c>
      <c r="O4713" t="s">
        <v>46</v>
      </c>
      <c r="P4713" t="s">
        <v>45</v>
      </c>
      <c r="Q4713" t="s">
        <v>47</v>
      </c>
      <c r="R4713" t="s">
        <v>44</v>
      </c>
      <c r="S4713">
        <v>0</v>
      </c>
      <c r="W4713" s="3">
        <v>1.1574074074074073E-5</v>
      </c>
      <c r="X4713" t="s">
        <v>49</v>
      </c>
      <c r="Y4713">
        <v>0</v>
      </c>
      <c r="Z4713">
        <v>7</v>
      </c>
      <c r="AA4713" t="s">
        <v>9543</v>
      </c>
      <c r="AB4713">
        <v>63</v>
      </c>
      <c r="AC4713" t="s">
        <v>49</v>
      </c>
      <c r="AD4713">
        <v>0</v>
      </c>
      <c r="AE4713">
        <v>10391780</v>
      </c>
      <c r="AF4713" t="s">
        <v>50</v>
      </c>
      <c r="AG4713" t="s">
        <v>9463</v>
      </c>
    </row>
    <row r="4714" spans="1:33" x14ac:dyDescent="0.35">
      <c r="A4714" s="1">
        <v>44585.79583333333</v>
      </c>
      <c r="B4714">
        <v>668791</v>
      </c>
      <c r="C4714" t="s">
        <v>9544</v>
      </c>
      <c r="D4714" t="s">
        <v>76</v>
      </c>
      <c r="E4714" s="2">
        <v>40653</v>
      </c>
      <c r="F4714" t="str">
        <f>"9780203840788"</f>
        <v>9780203840788</v>
      </c>
      <c r="G4714" t="str">
        <f>"9780415589888"</f>
        <v>9780415589888</v>
      </c>
      <c r="H4714" t="s">
        <v>90</v>
      </c>
      <c r="I4714">
        <v>371.077</v>
      </c>
      <c r="J4714" t="s">
        <v>9545</v>
      </c>
      <c r="K4714" t="s">
        <v>44</v>
      </c>
      <c r="N4714" t="s">
        <v>45</v>
      </c>
      <c r="O4714" t="s">
        <v>46</v>
      </c>
      <c r="P4714" t="s">
        <v>45</v>
      </c>
      <c r="Q4714" t="s">
        <v>47</v>
      </c>
      <c r="R4714" t="s">
        <v>44</v>
      </c>
      <c r="S4714">
        <v>0</v>
      </c>
      <c r="W4714" s="3">
        <v>4.6296296296296294E-5</v>
      </c>
      <c r="X4714" t="s">
        <v>121</v>
      </c>
      <c r="Y4714">
        <v>1</v>
      </c>
      <c r="Z4714">
        <v>0</v>
      </c>
      <c r="AA4714" t="s">
        <v>49</v>
      </c>
      <c r="AB4714">
        <v>0</v>
      </c>
      <c r="AC4714" t="s">
        <v>49</v>
      </c>
      <c r="AD4714">
        <v>0</v>
      </c>
      <c r="AE4714">
        <v>10462461</v>
      </c>
      <c r="AF4714" t="s">
        <v>50</v>
      </c>
      <c r="AG4714" t="s">
        <v>4702</v>
      </c>
    </row>
    <row r="4715" spans="1:33" x14ac:dyDescent="0.35">
      <c r="A4715" s="1">
        <v>44585.786111111112</v>
      </c>
      <c r="B4715">
        <v>536977</v>
      </c>
      <c r="C4715" t="s">
        <v>1900</v>
      </c>
      <c r="D4715" t="s">
        <v>507</v>
      </c>
      <c r="E4715" s="2">
        <v>40043</v>
      </c>
      <c r="F4715" t="str">
        <f>"9780748637942"</f>
        <v>9780748637942</v>
      </c>
      <c r="G4715" t="str">
        <f>"9780748637928"</f>
        <v>9780748637928</v>
      </c>
      <c r="H4715" t="s">
        <v>162</v>
      </c>
      <c r="I4715">
        <v>297</v>
      </c>
      <c r="J4715" t="s">
        <v>1901</v>
      </c>
      <c r="K4715" t="s">
        <v>44</v>
      </c>
      <c r="N4715" t="s">
        <v>45</v>
      </c>
      <c r="O4715" t="s">
        <v>46</v>
      </c>
      <c r="P4715" t="s">
        <v>45</v>
      </c>
      <c r="Q4715" t="s">
        <v>47</v>
      </c>
      <c r="R4715" t="s">
        <v>44</v>
      </c>
      <c r="S4715">
        <v>0</v>
      </c>
      <c r="W4715" s="3">
        <v>5.7870370370370366E-5</v>
      </c>
      <c r="X4715" t="s">
        <v>121</v>
      </c>
      <c r="Y4715">
        <v>1</v>
      </c>
      <c r="Z4715">
        <v>0</v>
      </c>
      <c r="AA4715" t="s">
        <v>49</v>
      </c>
      <c r="AB4715">
        <v>0</v>
      </c>
      <c r="AC4715" t="s">
        <v>49</v>
      </c>
      <c r="AD4715">
        <v>0</v>
      </c>
      <c r="AE4715">
        <v>10391780</v>
      </c>
      <c r="AF4715" t="s">
        <v>50</v>
      </c>
      <c r="AG4715" t="s">
        <v>4702</v>
      </c>
    </row>
    <row r="4716" spans="1:33" x14ac:dyDescent="0.35">
      <c r="A4716" s="1">
        <v>44585.786111111112</v>
      </c>
      <c r="B4716">
        <v>182841</v>
      </c>
      <c r="C4716" t="s">
        <v>8753</v>
      </c>
      <c r="D4716" t="s">
        <v>76</v>
      </c>
      <c r="E4716" s="2">
        <v>37680</v>
      </c>
      <c r="F4716" t="str">
        <f>"9780203504239"</f>
        <v>9780203504239</v>
      </c>
      <c r="G4716" t="str">
        <f>"9780415945295"</f>
        <v>9780415945295</v>
      </c>
      <c r="H4716" t="s">
        <v>712</v>
      </c>
      <c r="I4716" t="s">
        <v>8754</v>
      </c>
      <c r="J4716" t="s">
        <v>8755</v>
      </c>
      <c r="K4716" t="s">
        <v>44</v>
      </c>
      <c r="N4716" t="s">
        <v>45</v>
      </c>
      <c r="O4716" t="s">
        <v>46</v>
      </c>
      <c r="P4716" t="s">
        <v>45</v>
      </c>
      <c r="Q4716" t="s">
        <v>47</v>
      </c>
      <c r="R4716" t="s">
        <v>44</v>
      </c>
      <c r="S4716">
        <v>0</v>
      </c>
      <c r="W4716" s="3">
        <v>3.3564814814814812E-4</v>
      </c>
      <c r="X4716" t="s">
        <v>9546</v>
      </c>
      <c r="Y4716">
        <v>5</v>
      </c>
      <c r="Z4716">
        <v>0</v>
      </c>
      <c r="AA4716" t="s">
        <v>49</v>
      </c>
      <c r="AB4716">
        <v>0</v>
      </c>
      <c r="AC4716" t="s">
        <v>49</v>
      </c>
      <c r="AD4716">
        <v>0</v>
      </c>
      <c r="AE4716">
        <v>10986557</v>
      </c>
      <c r="AF4716" t="s">
        <v>50</v>
      </c>
      <c r="AG4716" t="s">
        <v>4702</v>
      </c>
    </row>
    <row r="4717" spans="1:33" x14ac:dyDescent="0.35">
      <c r="A4717" s="1">
        <v>44585.506249999999</v>
      </c>
      <c r="B4717">
        <v>3339142</v>
      </c>
      <c r="C4717" t="s">
        <v>7658</v>
      </c>
      <c r="D4717" t="s">
        <v>303</v>
      </c>
      <c r="E4717" s="2">
        <v>40025</v>
      </c>
      <c r="F4717" t="str">
        <f>"9780262270830"</f>
        <v>9780262270830</v>
      </c>
      <c r="G4717" t="str">
        <f>"9780262033848"</f>
        <v>9780262033848</v>
      </c>
      <c r="H4717" t="s">
        <v>138</v>
      </c>
      <c r="I4717">
        <v>5.0999999999999996</v>
      </c>
      <c r="J4717" t="s">
        <v>7659</v>
      </c>
      <c r="K4717" t="s">
        <v>44</v>
      </c>
      <c r="N4717" t="s">
        <v>45</v>
      </c>
      <c r="O4717" t="s">
        <v>46</v>
      </c>
      <c r="P4717" t="s">
        <v>45</v>
      </c>
      <c r="Q4717" t="s">
        <v>47</v>
      </c>
      <c r="R4717" t="s">
        <v>44</v>
      </c>
      <c r="S4717">
        <v>0</v>
      </c>
      <c r="W4717" s="3">
        <v>1.5023148148148148E-2</v>
      </c>
      <c r="X4717" t="s">
        <v>9547</v>
      </c>
      <c r="Y4717">
        <v>28</v>
      </c>
      <c r="Z4717">
        <v>0</v>
      </c>
      <c r="AA4717" t="s">
        <v>49</v>
      </c>
      <c r="AB4717">
        <v>0</v>
      </c>
      <c r="AC4717" t="s">
        <v>49</v>
      </c>
      <c r="AD4717">
        <v>0</v>
      </c>
      <c r="AE4717">
        <v>10397652</v>
      </c>
      <c r="AF4717" t="s">
        <v>50</v>
      </c>
      <c r="AG4717" t="s">
        <v>8710</v>
      </c>
    </row>
    <row r="4718" spans="1:33" x14ac:dyDescent="0.35">
      <c r="A4718" s="1">
        <v>44585.414583333331</v>
      </c>
      <c r="B4718">
        <v>6468134</v>
      </c>
      <c r="C4718" t="s">
        <v>9548</v>
      </c>
      <c r="D4718" t="s">
        <v>9549</v>
      </c>
      <c r="E4718" s="2">
        <v>42815</v>
      </c>
      <c r="F4718" t="str">
        <f>"9781593706739"</f>
        <v>9781593706739</v>
      </c>
      <c r="G4718" t="str">
        <f>"9781593703578"</f>
        <v>9781593703578</v>
      </c>
      <c r="H4718" t="s">
        <v>9550</v>
      </c>
      <c r="K4718" t="s">
        <v>44</v>
      </c>
      <c r="N4718" t="s">
        <v>45</v>
      </c>
      <c r="O4718" t="s">
        <v>46</v>
      </c>
      <c r="P4718" t="s">
        <v>45</v>
      </c>
      <c r="Q4718" t="s">
        <v>47</v>
      </c>
      <c r="R4718" t="s">
        <v>44</v>
      </c>
      <c r="S4718">
        <v>0</v>
      </c>
      <c r="W4718" s="3">
        <v>3.0092592592592595E-4</v>
      </c>
      <c r="X4718" t="s">
        <v>9551</v>
      </c>
      <c r="Y4718">
        <v>9</v>
      </c>
      <c r="Z4718">
        <v>4</v>
      </c>
      <c r="AA4718" t="s">
        <v>9552</v>
      </c>
      <c r="AB4718">
        <v>195</v>
      </c>
      <c r="AC4718" t="s">
        <v>49</v>
      </c>
      <c r="AD4718">
        <v>0</v>
      </c>
      <c r="AE4718">
        <v>-1</v>
      </c>
      <c r="AF4718" t="s">
        <v>63</v>
      </c>
      <c r="AG4718" t="s">
        <v>4702</v>
      </c>
    </row>
    <row r="4719" spans="1:33" x14ac:dyDescent="0.35">
      <c r="A4719" s="1">
        <v>44583.6875</v>
      </c>
      <c r="B4719">
        <v>6639186</v>
      </c>
      <c r="C4719" t="s">
        <v>7923</v>
      </c>
      <c r="D4719" t="s">
        <v>213</v>
      </c>
      <c r="E4719" s="2">
        <v>44361</v>
      </c>
      <c r="F4719" t="str">
        <f>"9780081028391"</f>
        <v>9780081028391</v>
      </c>
      <c r="G4719" t="str">
        <f>"9780081028384"</f>
        <v>9780081028384</v>
      </c>
      <c r="H4719" t="s">
        <v>60</v>
      </c>
      <c r="I4719">
        <v>658.15499999999997</v>
      </c>
      <c r="J4719" t="s">
        <v>7924</v>
      </c>
      <c r="K4719" t="s">
        <v>55</v>
      </c>
      <c r="N4719" t="s">
        <v>79</v>
      </c>
      <c r="P4719" t="s">
        <v>80</v>
      </c>
      <c r="Q4719" t="s">
        <v>47</v>
      </c>
      <c r="R4719" t="s">
        <v>44</v>
      </c>
      <c r="S4719">
        <v>1</v>
      </c>
      <c r="T4719">
        <v>90</v>
      </c>
      <c r="U4719" s="1">
        <v>44583.6875</v>
      </c>
      <c r="V4719" s="1">
        <v>44673.6875</v>
      </c>
      <c r="W4719" s="3">
        <v>0</v>
      </c>
      <c r="X4719" t="s">
        <v>49</v>
      </c>
      <c r="Y4719">
        <v>0</v>
      </c>
      <c r="Z4719">
        <v>0</v>
      </c>
      <c r="AA4719" t="s">
        <v>49</v>
      </c>
      <c r="AB4719">
        <v>0</v>
      </c>
      <c r="AC4719" t="s">
        <v>49</v>
      </c>
      <c r="AD4719">
        <v>0</v>
      </c>
      <c r="AE4719">
        <v>-1</v>
      </c>
      <c r="AF4719" t="s">
        <v>63</v>
      </c>
      <c r="AG4719" t="s">
        <v>300</v>
      </c>
    </row>
    <row r="4720" spans="1:33" x14ac:dyDescent="0.35">
      <c r="A4720" s="1">
        <v>44583.685416666667</v>
      </c>
      <c r="B4720">
        <v>6796392</v>
      </c>
      <c r="C4720" t="s">
        <v>9553</v>
      </c>
      <c r="D4720" t="s">
        <v>105</v>
      </c>
      <c r="E4720" s="2">
        <v>44500</v>
      </c>
      <c r="F4720" t="str">
        <f>"9783030889111"</f>
        <v>9783030889111</v>
      </c>
      <c r="G4720" t="str">
        <f>"9783030889104"</f>
        <v>9783030889104</v>
      </c>
      <c r="H4720" t="s">
        <v>116</v>
      </c>
      <c r="I4720">
        <v>660.28039999999999</v>
      </c>
      <c r="J4720" t="s">
        <v>9554</v>
      </c>
      <c r="K4720" t="s">
        <v>55</v>
      </c>
      <c r="N4720" t="s">
        <v>79</v>
      </c>
      <c r="P4720" t="s">
        <v>80</v>
      </c>
      <c r="Q4720" t="s">
        <v>47</v>
      </c>
      <c r="R4720" t="s">
        <v>44</v>
      </c>
      <c r="S4720">
        <v>1</v>
      </c>
      <c r="T4720">
        <v>90</v>
      </c>
      <c r="U4720" s="1">
        <v>44583.685416666667</v>
      </c>
      <c r="V4720" s="1">
        <v>44673.685416666667</v>
      </c>
      <c r="W4720" s="3">
        <v>0</v>
      </c>
      <c r="X4720" t="s">
        <v>49</v>
      </c>
      <c r="Y4720">
        <v>0</v>
      </c>
      <c r="Z4720">
        <v>0</v>
      </c>
      <c r="AA4720" t="s">
        <v>49</v>
      </c>
      <c r="AB4720">
        <v>0</v>
      </c>
      <c r="AC4720" t="s">
        <v>49</v>
      </c>
      <c r="AD4720">
        <v>0</v>
      </c>
      <c r="AE4720">
        <v>-1</v>
      </c>
      <c r="AF4720" t="s">
        <v>63</v>
      </c>
      <c r="AG4720" t="s">
        <v>300</v>
      </c>
    </row>
    <row r="4721" spans="1:33" x14ac:dyDescent="0.35">
      <c r="A4721" s="1">
        <v>44581.713888888888</v>
      </c>
      <c r="B4721">
        <v>1449974</v>
      </c>
      <c r="C4721" t="s">
        <v>9555</v>
      </c>
      <c r="D4721" t="s">
        <v>59</v>
      </c>
      <c r="E4721" s="2">
        <v>41582</v>
      </c>
      <c r="F4721" t="str">
        <f>"9781118356821"</f>
        <v>9781118356821</v>
      </c>
      <c r="G4721" t="str">
        <f>"9780470633472"</f>
        <v>9780470633472</v>
      </c>
      <c r="H4721" t="s">
        <v>1220</v>
      </c>
      <c r="I4721" t="s">
        <v>9556</v>
      </c>
      <c r="J4721" t="s">
        <v>9557</v>
      </c>
      <c r="K4721" t="s">
        <v>44</v>
      </c>
      <c r="N4721" t="s">
        <v>45</v>
      </c>
      <c r="O4721" t="s">
        <v>46</v>
      </c>
      <c r="P4721" t="s">
        <v>45</v>
      </c>
      <c r="Q4721" t="s">
        <v>47</v>
      </c>
      <c r="R4721" t="s">
        <v>44</v>
      </c>
      <c r="S4721">
        <v>0</v>
      </c>
      <c r="W4721" s="3">
        <v>9.1435185185185185E-4</v>
      </c>
      <c r="X4721" t="s">
        <v>9558</v>
      </c>
      <c r="Y4721">
        <v>10</v>
      </c>
      <c r="Z4721">
        <v>0</v>
      </c>
      <c r="AA4721" t="s">
        <v>49</v>
      </c>
      <c r="AB4721">
        <v>0</v>
      </c>
      <c r="AC4721" t="s">
        <v>49</v>
      </c>
      <c r="AD4721">
        <v>0</v>
      </c>
      <c r="AE4721">
        <v>10780706</v>
      </c>
      <c r="AF4721" t="s">
        <v>50</v>
      </c>
      <c r="AG4721" t="s">
        <v>4702</v>
      </c>
    </row>
    <row r="4722" spans="1:33" x14ac:dyDescent="0.35">
      <c r="A4722" s="1">
        <v>44581.696527777778</v>
      </c>
      <c r="B4722">
        <v>5735490</v>
      </c>
      <c r="C4722" t="s">
        <v>9559</v>
      </c>
      <c r="D4722" t="s">
        <v>769</v>
      </c>
      <c r="E4722" s="2">
        <v>43567</v>
      </c>
      <c r="F4722" t="str">
        <f>"9780429608827"</f>
        <v>9780429608827</v>
      </c>
      <c r="G4722" t="str">
        <f>"9781498773218"</f>
        <v>9781498773218</v>
      </c>
      <c r="H4722" t="s">
        <v>43</v>
      </c>
      <c r="I4722">
        <v>519.54999999999995</v>
      </c>
      <c r="J4722" t="s">
        <v>9560</v>
      </c>
      <c r="K4722" t="s">
        <v>55</v>
      </c>
      <c r="Q4722" t="s">
        <v>47</v>
      </c>
      <c r="R4722" t="s">
        <v>44</v>
      </c>
      <c r="S4722">
        <v>0</v>
      </c>
      <c r="W4722" s="3">
        <v>3.5879629629629635E-4</v>
      </c>
      <c r="X4722" t="s">
        <v>9561</v>
      </c>
      <c r="Y4722">
        <v>9</v>
      </c>
      <c r="Z4722">
        <v>0</v>
      </c>
      <c r="AA4722" t="s">
        <v>49</v>
      </c>
      <c r="AB4722">
        <v>0</v>
      </c>
      <c r="AC4722" t="s">
        <v>49</v>
      </c>
      <c r="AD4722">
        <v>0</v>
      </c>
      <c r="AE4722">
        <v>-1</v>
      </c>
      <c r="AF4722" t="s">
        <v>50</v>
      </c>
      <c r="AG4722" t="s">
        <v>4702</v>
      </c>
    </row>
    <row r="4723" spans="1:33" x14ac:dyDescent="0.35">
      <c r="A4723" s="1">
        <v>44581.69027777778</v>
      </c>
      <c r="B4723">
        <v>1895570</v>
      </c>
      <c r="C4723" t="s">
        <v>9562</v>
      </c>
      <c r="D4723" t="s">
        <v>59</v>
      </c>
      <c r="E4723" s="2">
        <v>42121</v>
      </c>
      <c r="F4723" t="str">
        <f>"9781118745229"</f>
        <v>9781118745229</v>
      </c>
      <c r="G4723" t="str">
        <f>"9781118745113"</f>
        <v>9781118745113</v>
      </c>
      <c r="H4723" t="s">
        <v>43</v>
      </c>
      <c r="I4723" t="s">
        <v>9563</v>
      </c>
      <c r="J4723" t="s">
        <v>9564</v>
      </c>
      <c r="K4723" t="s">
        <v>44</v>
      </c>
      <c r="N4723" t="s">
        <v>45</v>
      </c>
      <c r="O4723" t="s">
        <v>46</v>
      </c>
      <c r="P4723" t="s">
        <v>45</v>
      </c>
      <c r="Q4723" t="s">
        <v>47</v>
      </c>
      <c r="R4723" t="s">
        <v>44</v>
      </c>
      <c r="S4723">
        <v>0</v>
      </c>
      <c r="W4723" s="3">
        <v>4.7800925925925919E-3</v>
      </c>
      <c r="X4723" t="s">
        <v>9565</v>
      </c>
      <c r="Y4723">
        <v>62</v>
      </c>
      <c r="Z4723">
        <v>0</v>
      </c>
      <c r="AA4723" t="s">
        <v>49</v>
      </c>
      <c r="AB4723">
        <v>0</v>
      </c>
      <c r="AC4723" t="s">
        <v>49</v>
      </c>
      <c r="AD4723">
        <v>0</v>
      </c>
      <c r="AE4723">
        <v>11041415</v>
      </c>
      <c r="AF4723" t="s">
        <v>50</v>
      </c>
      <c r="AG4723" t="s">
        <v>4702</v>
      </c>
    </row>
    <row r="4724" spans="1:33" x14ac:dyDescent="0.35">
      <c r="A4724" s="1">
        <v>44581.688194444447</v>
      </c>
      <c r="B4724">
        <v>4834063</v>
      </c>
      <c r="C4724" t="s">
        <v>9566</v>
      </c>
      <c r="D4724" t="s">
        <v>59</v>
      </c>
      <c r="E4724" s="2">
        <v>42828</v>
      </c>
      <c r="F4724" t="str">
        <f>"9781119132134"</f>
        <v>9781119132134</v>
      </c>
      <c r="G4724" t="str">
        <f>"9781119132097"</f>
        <v>9781119132097</v>
      </c>
      <c r="H4724" t="s">
        <v>43</v>
      </c>
      <c r="I4724" t="s">
        <v>9563</v>
      </c>
      <c r="J4724" t="s">
        <v>9567</v>
      </c>
      <c r="K4724" t="s">
        <v>44</v>
      </c>
      <c r="N4724" t="s">
        <v>45</v>
      </c>
      <c r="O4724" t="s">
        <v>46</v>
      </c>
      <c r="P4724" t="s">
        <v>45</v>
      </c>
      <c r="Q4724" t="s">
        <v>47</v>
      </c>
      <c r="R4724" t="s">
        <v>44</v>
      </c>
      <c r="S4724">
        <v>0</v>
      </c>
      <c r="W4724" s="3">
        <v>6.2500000000000001E-4</v>
      </c>
      <c r="X4724" t="s">
        <v>9568</v>
      </c>
      <c r="Y4724">
        <v>15</v>
      </c>
      <c r="Z4724">
        <v>0</v>
      </c>
      <c r="AA4724" t="s">
        <v>49</v>
      </c>
      <c r="AB4724">
        <v>0</v>
      </c>
      <c r="AC4724" t="s">
        <v>49</v>
      </c>
      <c r="AD4724">
        <v>0</v>
      </c>
      <c r="AE4724">
        <v>11368432</v>
      </c>
      <c r="AF4724" t="s">
        <v>50</v>
      </c>
      <c r="AG4724" t="s">
        <v>4702</v>
      </c>
    </row>
    <row r="4725" spans="1:33" x14ac:dyDescent="0.35">
      <c r="A4725" s="1">
        <v>44581.567361111112</v>
      </c>
      <c r="B4725">
        <v>4746649</v>
      </c>
      <c r="C4725" t="s">
        <v>9569</v>
      </c>
      <c r="D4725" t="s">
        <v>4343</v>
      </c>
      <c r="E4725" s="2">
        <v>42370</v>
      </c>
      <c r="F4725" t="str">
        <f>"9781945291111"</f>
        <v>9781945291111</v>
      </c>
      <c r="G4725" t="str">
        <f>"9781945291104"</f>
        <v>9781945291104</v>
      </c>
      <c r="H4725" t="s">
        <v>252</v>
      </c>
      <c r="I4725">
        <v>620.11028499999895</v>
      </c>
      <c r="J4725" t="s">
        <v>9570</v>
      </c>
      <c r="K4725" t="s">
        <v>55</v>
      </c>
      <c r="N4725" t="s">
        <v>79</v>
      </c>
      <c r="P4725" t="s">
        <v>80</v>
      </c>
      <c r="Q4725" t="s">
        <v>47</v>
      </c>
      <c r="R4725" t="s">
        <v>44</v>
      </c>
      <c r="S4725">
        <v>0</v>
      </c>
      <c r="W4725" s="3">
        <v>6.626157407407407E-2</v>
      </c>
      <c r="X4725" t="s">
        <v>9571</v>
      </c>
      <c r="Y4725">
        <v>305</v>
      </c>
      <c r="Z4725">
        <v>0</v>
      </c>
      <c r="AA4725" t="s">
        <v>49</v>
      </c>
      <c r="AB4725">
        <v>0</v>
      </c>
      <c r="AC4725" t="s">
        <v>49</v>
      </c>
      <c r="AD4725">
        <v>0</v>
      </c>
      <c r="AE4725">
        <v>11300732</v>
      </c>
      <c r="AF4725" t="s">
        <v>50</v>
      </c>
      <c r="AG4725" t="s">
        <v>9572</v>
      </c>
    </row>
    <row r="4726" spans="1:33" x14ac:dyDescent="0.35">
      <c r="A4726" s="1">
        <v>44581.567361111112</v>
      </c>
      <c r="B4726">
        <v>1815516</v>
      </c>
      <c r="C4726" t="s">
        <v>9573</v>
      </c>
      <c r="D4726" t="s">
        <v>76</v>
      </c>
      <c r="E4726" s="2">
        <v>40843</v>
      </c>
      <c r="F4726" t="str">
        <f>"9781317547624"</f>
        <v>9781317547624</v>
      </c>
      <c r="G4726" t="str">
        <f>"9781844655069"</f>
        <v>9781844655069</v>
      </c>
      <c r="H4726" t="s">
        <v>498</v>
      </c>
      <c r="I4726">
        <v>177.7</v>
      </c>
      <c r="J4726" t="s">
        <v>9574</v>
      </c>
      <c r="K4726" t="s">
        <v>44</v>
      </c>
      <c r="N4726" t="s">
        <v>45</v>
      </c>
      <c r="O4726" t="s">
        <v>46</v>
      </c>
      <c r="P4726" t="s">
        <v>45</v>
      </c>
      <c r="Q4726" t="s">
        <v>47</v>
      </c>
      <c r="R4726" t="s">
        <v>44</v>
      </c>
      <c r="S4726">
        <v>0</v>
      </c>
      <c r="W4726" s="3">
        <v>1.1921296296296296E-3</v>
      </c>
      <c r="X4726" t="s">
        <v>9575</v>
      </c>
      <c r="Y4726">
        <v>3</v>
      </c>
      <c r="Z4726">
        <v>0</v>
      </c>
      <c r="AA4726" t="s">
        <v>49</v>
      </c>
      <c r="AB4726">
        <v>0</v>
      </c>
      <c r="AC4726" t="s">
        <v>49</v>
      </c>
      <c r="AD4726">
        <v>0</v>
      </c>
      <c r="AE4726">
        <v>10553868</v>
      </c>
      <c r="AF4726" t="s">
        <v>50</v>
      </c>
      <c r="AG4726" t="s">
        <v>4702</v>
      </c>
    </row>
    <row r="4727" spans="1:33" x14ac:dyDescent="0.35">
      <c r="A4727" s="1">
        <v>44581.561111111114</v>
      </c>
      <c r="B4727">
        <v>4746649</v>
      </c>
      <c r="C4727" t="s">
        <v>9569</v>
      </c>
      <c r="D4727" t="s">
        <v>4343</v>
      </c>
      <c r="E4727" s="2">
        <v>42370</v>
      </c>
      <c r="F4727" t="str">
        <f>"9781945291111"</f>
        <v>9781945291111</v>
      </c>
      <c r="G4727" t="str">
        <f>"9781945291104"</f>
        <v>9781945291104</v>
      </c>
      <c r="H4727" t="s">
        <v>252</v>
      </c>
      <c r="I4727">
        <v>620.11028499999895</v>
      </c>
      <c r="J4727" t="s">
        <v>9570</v>
      </c>
      <c r="K4727" t="s">
        <v>55</v>
      </c>
      <c r="N4727" t="s">
        <v>79</v>
      </c>
      <c r="P4727" t="s">
        <v>80</v>
      </c>
      <c r="Q4727" t="s">
        <v>47</v>
      </c>
      <c r="R4727" t="s">
        <v>44</v>
      </c>
      <c r="S4727">
        <v>0</v>
      </c>
      <c r="W4727" s="3">
        <v>4.0509259259259258E-4</v>
      </c>
      <c r="X4727" t="s">
        <v>4386</v>
      </c>
      <c r="Y4727">
        <v>3</v>
      </c>
      <c r="Z4727">
        <v>0</v>
      </c>
      <c r="AA4727" t="s">
        <v>49</v>
      </c>
      <c r="AB4727">
        <v>0</v>
      </c>
      <c r="AC4727" t="s">
        <v>49</v>
      </c>
      <c r="AD4727">
        <v>0</v>
      </c>
      <c r="AE4727">
        <v>11300732</v>
      </c>
      <c r="AF4727" t="s">
        <v>63</v>
      </c>
      <c r="AG4727" t="s">
        <v>4702</v>
      </c>
    </row>
    <row r="4728" spans="1:33" x14ac:dyDescent="0.35">
      <c r="A4728" s="1">
        <v>44581.557638888888</v>
      </c>
      <c r="B4728">
        <v>536977</v>
      </c>
      <c r="C4728" t="s">
        <v>1900</v>
      </c>
      <c r="D4728" t="s">
        <v>507</v>
      </c>
      <c r="E4728" s="2">
        <v>40043</v>
      </c>
      <c r="F4728" t="str">
        <f>"9780748637942"</f>
        <v>9780748637942</v>
      </c>
      <c r="G4728" t="str">
        <f>"9780748637928"</f>
        <v>9780748637928</v>
      </c>
      <c r="H4728" t="s">
        <v>162</v>
      </c>
      <c r="I4728">
        <v>297</v>
      </c>
      <c r="J4728" t="s">
        <v>1901</v>
      </c>
      <c r="K4728" t="s">
        <v>44</v>
      </c>
      <c r="N4728" t="s">
        <v>45</v>
      </c>
      <c r="O4728" t="s">
        <v>46</v>
      </c>
      <c r="P4728" t="s">
        <v>45</v>
      </c>
      <c r="Q4728" t="s">
        <v>47</v>
      </c>
      <c r="R4728" t="s">
        <v>44</v>
      </c>
      <c r="S4728">
        <v>0</v>
      </c>
      <c r="W4728" s="3">
        <v>2.5694444444444445E-3</v>
      </c>
      <c r="X4728" t="s">
        <v>2649</v>
      </c>
      <c r="Y4728">
        <v>3</v>
      </c>
      <c r="Z4728">
        <v>0</v>
      </c>
      <c r="AA4728" t="s">
        <v>49</v>
      </c>
      <c r="AB4728">
        <v>0</v>
      </c>
      <c r="AC4728" t="s">
        <v>49</v>
      </c>
      <c r="AD4728">
        <v>0</v>
      </c>
      <c r="AE4728">
        <v>10391780</v>
      </c>
      <c r="AF4728" t="s">
        <v>50</v>
      </c>
      <c r="AG4728" t="s">
        <v>4702</v>
      </c>
    </row>
    <row r="4729" spans="1:33" x14ac:dyDescent="0.35">
      <c r="A4729" s="1">
        <v>44581.530555555553</v>
      </c>
      <c r="B4729">
        <v>319086</v>
      </c>
      <c r="C4729" t="s">
        <v>9576</v>
      </c>
      <c r="D4729" t="s">
        <v>65</v>
      </c>
      <c r="E4729" s="2">
        <v>39407</v>
      </c>
      <c r="F4729" t="str">
        <f>"9780080554457"</f>
        <v>9780080554457</v>
      </c>
      <c r="G4729" t="str">
        <f>"9780123742315"</f>
        <v>9780123742315</v>
      </c>
      <c r="H4729" t="s">
        <v>8298</v>
      </c>
      <c r="I4729">
        <v>551.46145999999999</v>
      </c>
      <c r="J4729" t="s">
        <v>9577</v>
      </c>
      <c r="K4729" t="s">
        <v>55</v>
      </c>
      <c r="N4729" t="s">
        <v>79</v>
      </c>
      <c r="P4729" t="s">
        <v>80</v>
      </c>
      <c r="Q4729" t="s">
        <v>47</v>
      </c>
      <c r="R4729" t="s">
        <v>44</v>
      </c>
      <c r="S4729">
        <v>0</v>
      </c>
      <c r="W4729" s="3">
        <v>0</v>
      </c>
      <c r="X4729" t="s">
        <v>49</v>
      </c>
      <c r="Y4729">
        <v>0</v>
      </c>
      <c r="Z4729">
        <v>1</v>
      </c>
      <c r="AA4729" t="s">
        <v>9578</v>
      </c>
      <c r="AB4729">
        <v>4</v>
      </c>
      <c r="AC4729" t="s">
        <v>49</v>
      </c>
      <c r="AD4729">
        <v>0</v>
      </c>
      <c r="AE4729">
        <v>10206023</v>
      </c>
      <c r="AF4729" t="s">
        <v>50</v>
      </c>
      <c r="AG4729" t="s">
        <v>4702</v>
      </c>
    </row>
    <row r="4730" spans="1:33" x14ac:dyDescent="0.35">
      <c r="A4730" s="1">
        <v>44581.404166666667</v>
      </c>
      <c r="B4730">
        <v>4742052</v>
      </c>
      <c r="C4730" t="s">
        <v>9443</v>
      </c>
      <c r="D4730" t="s">
        <v>7257</v>
      </c>
      <c r="E4730" s="2">
        <v>42444</v>
      </c>
      <c r="F4730" t="str">
        <f>"9781780236155"</f>
        <v>9781780236155</v>
      </c>
      <c r="G4730" t="str">
        <f>"9781780235806"</f>
        <v>9781780235806</v>
      </c>
      <c r="H4730" t="s">
        <v>667</v>
      </c>
      <c r="I4730">
        <v>953.57</v>
      </c>
      <c r="J4730" t="s">
        <v>9444</v>
      </c>
      <c r="K4730" t="s">
        <v>44</v>
      </c>
      <c r="N4730" t="s">
        <v>45</v>
      </c>
      <c r="O4730" t="s">
        <v>46</v>
      </c>
      <c r="P4730" t="s">
        <v>177</v>
      </c>
      <c r="Q4730" t="s">
        <v>47</v>
      </c>
      <c r="R4730" t="s">
        <v>55</v>
      </c>
      <c r="S4730">
        <v>0</v>
      </c>
      <c r="W4730" s="3">
        <v>2.6041666666666665E-3</v>
      </c>
      <c r="X4730" t="s">
        <v>9579</v>
      </c>
      <c r="Y4730">
        <v>7</v>
      </c>
      <c r="Z4730">
        <v>0</v>
      </c>
      <c r="AA4730" t="s">
        <v>49</v>
      </c>
      <c r="AB4730">
        <v>0</v>
      </c>
      <c r="AC4730" t="s">
        <v>49</v>
      </c>
      <c r="AD4730">
        <v>0</v>
      </c>
      <c r="AE4730">
        <v>11297932</v>
      </c>
      <c r="AF4730" t="s">
        <v>50</v>
      </c>
      <c r="AG4730" t="s">
        <v>4702</v>
      </c>
    </row>
    <row r="4731" spans="1:33" x14ac:dyDescent="0.35">
      <c r="A4731" s="1">
        <v>44580.729861111111</v>
      </c>
      <c r="B4731">
        <v>5945707</v>
      </c>
      <c r="C4731" t="s">
        <v>8297</v>
      </c>
      <c r="D4731" t="s">
        <v>65</v>
      </c>
      <c r="E4731" s="2">
        <v>43751</v>
      </c>
      <c r="F4731" t="str">
        <f>"9780128177372"</f>
        <v>9780128177372</v>
      </c>
      <c r="G4731" t="str">
        <f>"9780128177365"</f>
        <v>9780128177365</v>
      </c>
      <c r="H4731" t="s">
        <v>8298</v>
      </c>
      <c r="I4731">
        <v>550.28563099999997</v>
      </c>
      <c r="J4731" t="s">
        <v>8299</v>
      </c>
      <c r="K4731" t="s">
        <v>55</v>
      </c>
      <c r="Q4731" t="s">
        <v>47</v>
      </c>
      <c r="R4731" t="s">
        <v>44</v>
      </c>
      <c r="S4731">
        <v>0</v>
      </c>
      <c r="W4731" s="3">
        <v>8.9120370370370362E-4</v>
      </c>
      <c r="X4731" t="s">
        <v>9580</v>
      </c>
      <c r="Y4731">
        <v>15</v>
      </c>
      <c r="Z4731">
        <v>0</v>
      </c>
      <c r="AA4731" t="s">
        <v>49</v>
      </c>
      <c r="AB4731">
        <v>0</v>
      </c>
      <c r="AC4731" t="s">
        <v>49</v>
      </c>
      <c r="AD4731">
        <v>0</v>
      </c>
      <c r="AE4731">
        <v>-1</v>
      </c>
      <c r="AF4731" t="s">
        <v>50</v>
      </c>
      <c r="AG4731" t="s">
        <v>4702</v>
      </c>
    </row>
    <row r="4732" spans="1:33" x14ac:dyDescent="0.35">
      <c r="A4732" s="1">
        <v>44580.685416666667</v>
      </c>
      <c r="B4732">
        <v>5945707</v>
      </c>
      <c r="C4732" t="s">
        <v>8297</v>
      </c>
      <c r="D4732" t="s">
        <v>65</v>
      </c>
      <c r="E4732" s="2">
        <v>43751</v>
      </c>
      <c r="F4732" t="str">
        <f>"9780128177372"</f>
        <v>9780128177372</v>
      </c>
      <c r="G4732" t="str">
        <f>"9780128177365"</f>
        <v>9780128177365</v>
      </c>
      <c r="H4732" t="s">
        <v>8298</v>
      </c>
      <c r="I4732">
        <v>550.28563099999997</v>
      </c>
      <c r="J4732" t="s">
        <v>8299</v>
      </c>
      <c r="K4732" t="s">
        <v>55</v>
      </c>
      <c r="Q4732" t="s">
        <v>47</v>
      </c>
      <c r="R4732" t="s">
        <v>44</v>
      </c>
      <c r="S4732">
        <v>0</v>
      </c>
      <c r="W4732" s="3">
        <v>3.0092592592592595E-4</v>
      </c>
      <c r="X4732" t="s">
        <v>9581</v>
      </c>
      <c r="Y4732">
        <v>14</v>
      </c>
      <c r="Z4732">
        <v>0</v>
      </c>
      <c r="AA4732" t="s">
        <v>49</v>
      </c>
      <c r="AB4732">
        <v>0</v>
      </c>
      <c r="AC4732" t="s">
        <v>49</v>
      </c>
      <c r="AD4732">
        <v>0</v>
      </c>
      <c r="AE4732">
        <v>-1</v>
      </c>
      <c r="AF4732" t="s">
        <v>50</v>
      </c>
      <c r="AG4732" t="s">
        <v>4702</v>
      </c>
    </row>
    <row r="4733" spans="1:33" x14ac:dyDescent="0.35">
      <c r="A4733" s="1">
        <v>44580.463194444441</v>
      </c>
      <c r="B4733">
        <v>886690</v>
      </c>
      <c r="C4733" t="s">
        <v>7970</v>
      </c>
      <c r="D4733" t="s">
        <v>125</v>
      </c>
      <c r="E4733" s="2">
        <v>38176</v>
      </c>
      <c r="F4733" t="str">
        <f>"9780191547393"</f>
        <v>9780191547393</v>
      </c>
      <c r="G4733" t="str">
        <f>"9780198613367"</f>
        <v>9780198613367</v>
      </c>
      <c r="H4733" t="s">
        <v>7971</v>
      </c>
      <c r="I4733">
        <v>793.74</v>
      </c>
      <c r="J4733" t="s">
        <v>7972</v>
      </c>
      <c r="K4733" t="s">
        <v>44</v>
      </c>
      <c r="N4733" t="s">
        <v>45</v>
      </c>
      <c r="O4733" t="s">
        <v>46</v>
      </c>
      <c r="P4733" t="s">
        <v>45</v>
      </c>
      <c r="Q4733" t="s">
        <v>47</v>
      </c>
      <c r="R4733" t="s">
        <v>44</v>
      </c>
      <c r="S4733">
        <v>0</v>
      </c>
      <c r="W4733" s="3">
        <v>7.175925925925927E-4</v>
      </c>
      <c r="X4733" t="s">
        <v>9582</v>
      </c>
      <c r="Y4733">
        <v>4</v>
      </c>
      <c r="Z4733">
        <v>2</v>
      </c>
      <c r="AA4733" t="s">
        <v>9583</v>
      </c>
      <c r="AB4733">
        <v>22</v>
      </c>
      <c r="AC4733" t="s">
        <v>49</v>
      </c>
      <c r="AD4733">
        <v>0</v>
      </c>
      <c r="AE4733">
        <v>10537846</v>
      </c>
      <c r="AF4733" t="s">
        <v>50</v>
      </c>
      <c r="AG4733" t="s">
        <v>4702</v>
      </c>
    </row>
    <row r="4734" spans="1:33" x14ac:dyDescent="0.35">
      <c r="A4734" s="1">
        <v>44579.759722222225</v>
      </c>
      <c r="B4734">
        <v>3073657</v>
      </c>
      <c r="C4734" t="s">
        <v>5762</v>
      </c>
      <c r="D4734" t="s">
        <v>5763</v>
      </c>
      <c r="E4734" s="2">
        <v>37798</v>
      </c>
      <c r="F4734" t="str">
        <f>"9781461200390"</f>
        <v>9781461200390</v>
      </c>
      <c r="G4734" t="str">
        <f>"9781461265849"</f>
        <v>9781461265849</v>
      </c>
      <c r="H4734" t="s">
        <v>824</v>
      </c>
      <c r="J4734" t="s">
        <v>234</v>
      </c>
      <c r="K4734" t="s">
        <v>55</v>
      </c>
      <c r="N4734" t="s">
        <v>79</v>
      </c>
      <c r="P4734" t="s">
        <v>80</v>
      </c>
      <c r="Q4734" t="s">
        <v>47</v>
      </c>
      <c r="R4734" t="s">
        <v>44</v>
      </c>
      <c r="S4734">
        <v>0</v>
      </c>
      <c r="W4734" s="3">
        <v>4.2824074074074075E-4</v>
      </c>
      <c r="X4734" t="s">
        <v>2578</v>
      </c>
      <c r="Y4734">
        <v>1</v>
      </c>
      <c r="Z4734">
        <v>0</v>
      </c>
      <c r="AA4734" t="s">
        <v>49</v>
      </c>
      <c r="AB4734">
        <v>0</v>
      </c>
      <c r="AC4734" t="s">
        <v>49</v>
      </c>
      <c r="AD4734">
        <v>0</v>
      </c>
      <c r="AE4734">
        <v>10916826</v>
      </c>
      <c r="AF4734" t="s">
        <v>50</v>
      </c>
      <c r="AG4734" t="s">
        <v>4702</v>
      </c>
    </row>
    <row r="4735" spans="1:33" x14ac:dyDescent="0.35">
      <c r="A4735" s="1">
        <v>44579.640277777777</v>
      </c>
      <c r="B4735">
        <v>4432151</v>
      </c>
      <c r="C4735" t="s">
        <v>8901</v>
      </c>
      <c r="D4735" t="s">
        <v>59</v>
      </c>
      <c r="E4735" s="2">
        <v>42492</v>
      </c>
      <c r="F4735" t="str">
        <f>"9781118737453"</f>
        <v>9781118737453</v>
      </c>
      <c r="G4735" t="str">
        <f>"9781118737446"</f>
        <v>9781118737446</v>
      </c>
      <c r="H4735" t="s">
        <v>542</v>
      </c>
      <c r="I4735">
        <v>621.31899999999905</v>
      </c>
      <c r="J4735" t="s">
        <v>8902</v>
      </c>
      <c r="K4735" t="s">
        <v>44</v>
      </c>
      <c r="N4735" t="s">
        <v>45</v>
      </c>
      <c r="O4735" t="s">
        <v>46</v>
      </c>
      <c r="P4735" t="s">
        <v>45</v>
      </c>
      <c r="Q4735" t="s">
        <v>47</v>
      </c>
      <c r="R4735" t="s">
        <v>44</v>
      </c>
      <c r="S4735">
        <v>1</v>
      </c>
      <c r="W4735" s="3">
        <v>0</v>
      </c>
      <c r="X4735" t="s">
        <v>49</v>
      </c>
      <c r="Y4735">
        <v>0</v>
      </c>
      <c r="Z4735">
        <v>1</v>
      </c>
      <c r="AA4735" t="s">
        <v>6249</v>
      </c>
      <c r="AB4735">
        <v>58</v>
      </c>
      <c r="AC4735" t="s">
        <v>49</v>
      </c>
      <c r="AD4735">
        <v>0</v>
      </c>
      <c r="AE4735">
        <v>11169557</v>
      </c>
      <c r="AF4735" t="s">
        <v>63</v>
      </c>
      <c r="AG4735" t="s">
        <v>9392</v>
      </c>
    </row>
    <row r="4736" spans="1:33" x14ac:dyDescent="0.35">
      <c r="A4736" s="1">
        <v>44579.538194444445</v>
      </c>
      <c r="B4736">
        <v>5771510</v>
      </c>
      <c r="C4736" t="s">
        <v>9584</v>
      </c>
      <c r="D4736" t="s">
        <v>6602</v>
      </c>
      <c r="E4736" s="2">
        <v>43495</v>
      </c>
      <c r="F4736" t="str">
        <f>"9781785615009"</f>
        <v>9781785615009</v>
      </c>
      <c r="G4736" t="str">
        <f>"9781785614996"</f>
        <v>9781785614996</v>
      </c>
      <c r="H4736" t="s">
        <v>546</v>
      </c>
      <c r="I4736">
        <v>621.31921</v>
      </c>
      <c r="K4736" t="s">
        <v>55</v>
      </c>
      <c r="N4736" t="s">
        <v>293</v>
      </c>
      <c r="P4736" t="s">
        <v>80</v>
      </c>
      <c r="Q4736" t="s">
        <v>47</v>
      </c>
      <c r="R4736" t="s">
        <v>44</v>
      </c>
      <c r="S4736">
        <v>1</v>
      </c>
      <c r="T4736">
        <v>90</v>
      </c>
      <c r="U4736" s="1">
        <v>44579.538194444445</v>
      </c>
      <c r="V4736" s="1">
        <v>44669.538194444445</v>
      </c>
      <c r="W4736" s="3">
        <v>0</v>
      </c>
      <c r="X4736" t="s">
        <v>49</v>
      </c>
      <c r="Y4736">
        <v>0</v>
      </c>
      <c r="Z4736">
        <v>8</v>
      </c>
      <c r="AA4736" t="s">
        <v>9585</v>
      </c>
      <c r="AB4736">
        <v>141</v>
      </c>
      <c r="AC4736" t="s">
        <v>49</v>
      </c>
      <c r="AD4736">
        <v>0</v>
      </c>
      <c r="AE4736">
        <v>-1</v>
      </c>
      <c r="AF4736" t="s">
        <v>63</v>
      </c>
      <c r="AG4736" t="s">
        <v>9392</v>
      </c>
    </row>
    <row r="4737" spans="1:33" x14ac:dyDescent="0.35">
      <c r="A4737" s="1">
        <v>44579.513194444444</v>
      </c>
      <c r="B4737">
        <v>5771510</v>
      </c>
      <c r="C4737" t="s">
        <v>9584</v>
      </c>
      <c r="D4737" t="s">
        <v>6602</v>
      </c>
      <c r="E4737" s="2">
        <v>43495</v>
      </c>
      <c r="F4737" t="str">
        <f>"9781785615009"</f>
        <v>9781785615009</v>
      </c>
      <c r="G4737" t="str">
        <f>"9781785614996"</f>
        <v>9781785614996</v>
      </c>
      <c r="H4737" t="s">
        <v>546</v>
      </c>
      <c r="I4737">
        <v>621.31921</v>
      </c>
      <c r="K4737" t="s">
        <v>55</v>
      </c>
      <c r="Q4737" t="s">
        <v>47</v>
      </c>
      <c r="R4737" t="s">
        <v>44</v>
      </c>
      <c r="S4737">
        <v>0</v>
      </c>
      <c r="W4737" s="3">
        <v>0</v>
      </c>
      <c r="X4737" t="s">
        <v>49</v>
      </c>
      <c r="Y4737">
        <v>0</v>
      </c>
      <c r="Z4737">
        <v>0</v>
      </c>
      <c r="AA4737" t="s">
        <v>49</v>
      </c>
      <c r="AB4737">
        <v>0</v>
      </c>
      <c r="AC4737" t="s">
        <v>49</v>
      </c>
      <c r="AD4737">
        <v>0</v>
      </c>
      <c r="AE4737">
        <v>-1</v>
      </c>
      <c r="AF4737" t="s">
        <v>63</v>
      </c>
      <c r="AG4737" t="s">
        <v>9392</v>
      </c>
    </row>
    <row r="4738" spans="1:33" x14ac:dyDescent="0.35">
      <c r="A4738" s="1">
        <v>44579.441666666666</v>
      </c>
      <c r="B4738">
        <v>3073657</v>
      </c>
      <c r="C4738" t="s">
        <v>5762</v>
      </c>
      <c r="D4738" t="s">
        <v>5763</v>
      </c>
      <c r="E4738" s="2">
        <v>37798</v>
      </c>
      <c r="F4738" t="str">
        <f>"9781461200390"</f>
        <v>9781461200390</v>
      </c>
      <c r="G4738" t="str">
        <f>"9781461265849"</f>
        <v>9781461265849</v>
      </c>
      <c r="H4738" t="s">
        <v>824</v>
      </c>
      <c r="J4738" t="s">
        <v>234</v>
      </c>
      <c r="K4738" t="s">
        <v>55</v>
      </c>
      <c r="N4738" t="s">
        <v>79</v>
      </c>
      <c r="P4738" t="s">
        <v>80</v>
      </c>
      <c r="Q4738" t="s">
        <v>47</v>
      </c>
      <c r="R4738" t="s">
        <v>44</v>
      </c>
      <c r="S4738">
        <v>0</v>
      </c>
      <c r="W4738" s="3">
        <v>2.0324074074074074E-2</v>
      </c>
      <c r="X4738" t="s">
        <v>9586</v>
      </c>
      <c r="Y4738">
        <v>53</v>
      </c>
      <c r="Z4738">
        <v>0</v>
      </c>
      <c r="AA4738" t="s">
        <v>49</v>
      </c>
      <c r="AB4738">
        <v>0</v>
      </c>
      <c r="AC4738" t="s">
        <v>49</v>
      </c>
      <c r="AD4738">
        <v>0</v>
      </c>
      <c r="AE4738">
        <v>10916826</v>
      </c>
      <c r="AF4738" t="s">
        <v>50</v>
      </c>
      <c r="AG4738" t="s">
        <v>9367</v>
      </c>
    </row>
    <row r="4739" spans="1:33" x14ac:dyDescent="0.35">
      <c r="A4739" s="1">
        <v>44579.4375</v>
      </c>
      <c r="B4739">
        <v>1875897</v>
      </c>
      <c r="C4739" t="s">
        <v>9587</v>
      </c>
      <c r="D4739" t="s">
        <v>59</v>
      </c>
      <c r="E4739" s="2">
        <v>42031</v>
      </c>
      <c r="F4739" t="str">
        <f>"9781118694183"</f>
        <v>9781118694183</v>
      </c>
      <c r="G4739" t="str">
        <f>"9781118352342"</f>
        <v>9781118352342</v>
      </c>
      <c r="H4739" t="s">
        <v>542</v>
      </c>
      <c r="I4739" t="s">
        <v>9588</v>
      </c>
      <c r="J4739" t="s">
        <v>9589</v>
      </c>
      <c r="K4739" t="s">
        <v>44</v>
      </c>
      <c r="N4739" t="s">
        <v>45</v>
      </c>
      <c r="O4739" t="s">
        <v>46</v>
      </c>
      <c r="P4739" t="s">
        <v>45</v>
      </c>
      <c r="Q4739" t="s">
        <v>47</v>
      </c>
      <c r="R4739" t="s">
        <v>44</v>
      </c>
      <c r="S4739">
        <v>0</v>
      </c>
      <c r="W4739" s="3">
        <v>7.6388888888888893E-4</v>
      </c>
      <c r="X4739" t="s">
        <v>9590</v>
      </c>
      <c r="Y4739">
        <v>8</v>
      </c>
      <c r="Z4739">
        <v>0</v>
      </c>
      <c r="AA4739" t="s">
        <v>49</v>
      </c>
      <c r="AB4739">
        <v>0</v>
      </c>
      <c r="AC4739" t="s">
        <v>49</v>
      </c>
      <c r="AD4739">
        <v>0</v>
      </c>
      <c r="AE4739">
        <v>10992237</v>
      </c>
      <c r="AF4739" t="s">
        <v>63</v>
      </c>
      <c r="AG4739" t="s">
        <v>9392</v>
      </c>
    </row>
    <row r="4740" spans="1:33" x14ac:dyDescent="0.35">
      <c r="A4740" s="1">
        <v>44579.415277777778</v>
      </c>
      <c r="B4740">
        <v>5771510</v>
      </c>
      <c r="C4740" t="s">
        <v>9584</v>
      </c>
      <c r="D4740" t="s">
        <v>6602</v>
      </c>
      <c r="E4740" s="2">
        <v>43495</v>
      </c>
      <c r="F4740" t="str">
        <f>"9781785615009"</f>
        <v>9781785615009</v>
      </c>
      <c r="G4740" t="str">
        <f>"9781785614996"</f>
        <v>9781785614996</v>
      </c>
      <c r="H4740" t="s">
        <v>546</v>
      </c>
      <c r="I4740">
        <v>621.31921</v>
      </c>
      <c r="K4740" t="s">
        <v>55</v>
      </c>
      <c r="Q4740" t="s">
        <v>47</v>
      </c>
      <c r="R4740" t="s">
        <v>44</v>
      </c>
      <c r="S4740">
        <v>0</v>
      </c>
      <c r="W4740" s="3">
        <v>1.2372685185185186E-2</v>
      </c>
      <c r="X4740" t="s">
        <v>9591</v>
      </c>
      <c r="Y4740">
        <v>43</v>
      </c>
      <c r="Z4740">
        <v>0</v>
      </c>
      <c r="AA4740" t="s">
        <v>49</v>
      </c>
      <c r="AB4740">
        <v>0</v>
      </c>
      <c r="AC4740" t="s">
        <v>49</v>
      </c>
      <c r="AD4740">
        <v>0</v>
      </c>
      <c r="AE4740">
        <v>-1</v>
      </c>
      <c r="AF4740" t="s">
        <v>50</v>
      </c>
      <c r="AG4740" t="s">
        <v>9392</v>
      </c>
    </row>
    <row r="4741" spans="1:33" x14ac:dyDescent="0.35">
      <c r="A4741" s="1">
        <v>44579.375</v>
      </c>
      <c r="B4741">
        <v>5754433</v>
      </c>
      <c r="C4741" t="s">
        <v>9592</v>
      </c>
      <c r="D4741" t="s">
        <v>65</v>
      </c>
      <c r="E4741" s="2">
        <v>41474</v>
      </c>
      <c r="F4741" t="str">
        <f>"9780124058934"</f>
        <v>9780124058934</v>
      </c>
      <c r="G4741" t="str">
        <f>"9780124058767"</f>
        <v>9780124058767</v>
      </c>
      <c r="H4741" t="s">
        <v>43</v>
      </c>
      <c r="I4741">
        <v>518.02855299999999</v>
      </c>
      <c r="J4741" t="s">
        <v>9593</v>
      </c>
      <c r="K4741" t="s">
        <v>44</v>
      </c>
      <c r="N4741" t="s">
        <v>45</v>
      </c>
      <c r="O4741" t="s">
        <v>46</v>
      </c>
      <c r="P4741" t="s">
        <v>45</v>
      </c>
      <c r="Q4741" t="s">
        <v>47</v>
      </c>
      <c r="R4741" t="s">
        <v>44</v>
      </c>
      <c r="S4741">
        <v>0</v>
      </c>
      <c r="W4741" s="3">
        <v>7.1990740740740739E-3</v>
      </c>
      <c r="X4741" t="s">
        <v>9594</v>
      </c>
      <c r="Y4741">
        <v>14</v>
      </c>
      <c r="Z4741">
        <v>0</v>
      </c>
      <c r="AA4741" t="s">
        <v>49</v>
      </c>
      <c r="AB4741">
        <v>0</v>
      </c>
      <c r="AC4741" t="s">
        <v>49</v>
      </c>
      <c r="AD4741">
        <v>0</v>
      </c>
      <c r="AE4741">
        <v>-1</v>
      </c>
      <c r="AF4741" t="s">
        <v>50</v>
      </c>
      <c r="AG4741" t="s">
        <v>8624</v>
      </c>
    </row>
    <row r="4742" spans="1:33" x14ac:dyDescent="0.35">
      <c r="A4742" s="1">
        <v>44579.210416666669</v>
      </c>
      <c r="B4742">
        <v>3339490</v>
      </c>
      <c r="C4742" t="s">
        <v>4081</v>
      </c>
      <c r="D4742" t="s">
        <v>303</v>
      </c>
      <c r="E4742" s="2">
        <v>41145</v>
      </c>
      <c r="F4742" t="str">
        <f>"9780262305242"</f>
        <v>9780262305242</v>
      </c>
      <c r="G4742" t="str">
        <f>"9780262018029"</f>
        <v>9780262018029</v>
      </c>
      <c r="H4742" t="s">
        <v>106</v>
      </c>
      <c r="I4742" t="s">
        <v>1049</v>
      </c>
      <c r="J4742" t="s">
        <v>4082</v>
      </c>
      <c r="K4742" t="s">
        <v>44</v>
      </c>
      <c r="N4742" t="s">
        <v>45</v>
      </c>
      <c r="O4742" t="s">
        <v>46</v>
      </c>
      <c r="P4742" t="s">
        <v>45</v>
      </c>
      <c r="Q4742" t="s">
        <v>47</v>
      </c>
      <c r="R4742" t="s">
        <v>44</v>
      </c>
      <c r="S4742">
        <v>0</v>
      </c>
      <c r="W4742" s="3">
        <v>1.9675925925925926E-4</v>
      </c>
      <c r="X4742" t="s">
        <v>9595</v>
      </c>
      <c r="Y4742">
        <v>5</v>
      </c>
      <c r="Z4742">
        <v>0</v>
      </c>
      <c r="AA4742" t="s">
        <v>49</v>
      </c>
      <c r="AB4742">
        <v>0</v>
      </c>
      <c r="AC4742" t="s">
        <v>49</v>
      </c>
      <c r="AD4742">
        <v>0</v>
      </c>
      <c r="AE4742">
        <v>10597102</v>
      </c>
      <c r="AF4742" t="s">
        <v>50</v>
      </c>
      <c r="AG4742" t="s">
        <v>4702</v>
      </c>
    </row>
    <row r="4743" spans="1:33" x14ac:dyDescent="0.35">
      <c r="A4743" s="1">
        <v>44579.209027777775</v>
      </c>
      <c r="B4743">
        <v>5994476</v>
      </c>
      <c r="C4743" t="s">
        <v>9596</v>
      </c>
      <c r="D4743" t="s">
        <v>65</v>
      </c>
      <c r="E4743" s="2">
        <v>43812</v>
      </c>
      <c r="F4743" t="str">
        <f>"9780128034958"</f>
        <v>9780128034958</v>
      </c>
      <c r="G4743" t="str">
        <f>"9780128034675"</f>
        <v>9780128034675</v>
      </c>
      <c r="H4743" t="s">
        <v>138</v>
      </c>
      <c r="I4743">
        <v>6.37</v>
      </c>
      <c r="K4743" t="s">
        <v>55</v>
      </c>
      <c r="Q4743" t="s">
        <v>47</v>
      </c>
      <c r="R4743" t="s">
        <v>44</v>
      </c>
      <c r="S4743">
        <v>0</v>
      </c>
      <c r="W4743" s="3">
        <v>1.3888888888888889E-4</v>
      </c>
      <c r="X4743" t="s">
        <v>9597</v>
      </c>
      <c r="Y4743">
        <v>3</v>
      </c>
      <c r="Z4743">
        <v>0</v>
      </c>
      <c r="AA4743" t="s">
        <v>49</v>
      </c>
      <c r="AB4743">
        <v>0</v>
      </c>
      <c r="AC4743" t="s">
        <v>49</v>
      </c>
      <c r="AD4743">
        <v>0</v>
      </c>
      <c r="AE4743">
        <v>-1</v>
      </c>
      <c r="AF4743" t="s">
        <v>50</v>
      </c>
      <c r="AG4743" t="s">
        <v>4702</v>
      </c>
    </row>
    <row r="4744" spans="1:33" x14ac:dyDescent="0.35">
      <c r="A4744" s="1">
        <v>44578.743055555555</v>
      </c>
      <c r="B4744">
        <v>886690</v>
      </c>
      <c r="C4744" t="s">
        <v>7970</v>
      </c>
      <c r="D4744" t="s">
        <v>125</v>
      </c>
      <c r="E4744" s="2">
        <v>38176</v>
      </c>
      <c r="F4744" t="str">
        <f>"9780191547393"</f>
        <v>9780191547393</v>
      </c>
      <c r="G4744" t="str">
        <f>"9780198613367"</f>
        <v>9780198613367</v>
      </c>
      <c r="H4744" t="s">
        <v>7971</v>
      </c>
      <c r="I4744">
        <v>793.74</v>
      </c>
      <c r="J4744" t="s">
        <v>7972</v>
      </c>
      <c r="K4744" t="s">
        <v>44</v>
      </c>
      <c r="N4744" t="s">
        <v>45</v>
      </c>
      <c r="O4744" t="s">
        <v>46</v>
      </c>
      <c r="P4744" t="s">
        <v>45</v>
      </c>
      <c r="Q4744" t="s">
        <v>47</v>
      </c>
      <c r="R4744" t="s">
        <v>44</v>
      </c>
      <c r="S4744">
        <v>0</v>
      </c>
      <c r="W4744" s="3">
        <v>3.0092592592592595E-4</v>
      </c>
      <c r="X4744" t="s">
        <v>9598</v>
      </c>
      <c r="Y4744">
        <v>3</v>
      </c>
      <c r="Z4744">
        <v>1</v>
      </c>
      <c r="AA4744" t="s">
        <v>9599</v>
      </c>
      <c r="AB4744">
        <v>10</v>
      </c>
      <c r="AC4744" t="s">
        <v>49</v>
      </c>
      <c r="AD4744">
        <v>0</v>
      </c>
      <c r="AE4744">
        <v>10537846</v>
      </c>
      <c r="AF4744" t="s">
        <v>50</v>
      </c>
      <c r="AG4744" t="s">
        <v>4702</v>
      </c>
    </row>
    <row r="4745" spans="1:33" x14ac:dyDescent="0.35">
      <c r="A4745" s="1">
        <v>44577.436111111114</v>
      </c>
      <c r="B4745">
        <v>333148</v>
      </c>
      <c r="C4745" t="s">
        <v>9600</v>
      </c>
      <c r="D4745" t="s">
        <v>1918</v>
      </c>
      <c r="E4745" s="2">
        <v>38803</v>
      </c>
      <c r="F4745" t="str">
        <f>"9788122423396"</f>
        <v>9788122423396</v>
      </c>
      <c r="G4745" t="str">
        <f>"9788122417715"</f>
        <v>9788122417715</v>
      </c>
      <c r="H4745" t="s">
        <v>4190</v>
      </c>
      <c r="I4745" t="s">
        <v>9601</v>
      </c>
      <c r="J4745" t="s">
        <v>9602</v>
      </c>
      <c r="K4745" t="s">
        <v>44</v>
      </c>
      <c r="N4745" t="s">
        <v>45</v>
      </c>
      <c r="O4745" t="s">
        <v>46</v>
      </c>
      <c r="P4745" t="s">
        <v>45</v>
      </c>
      <c r="Q4745" t="s">
        <v>47</v>
      </c>
      <c r="R4745" t="s">
        <v>44</v>
      </c>
      <c r="S4745">
        <v>0</v>
      </c>
      <c r="W4745" s="3">
        <v>1.1805555555555556E-3</v>
      </c>
      <c r="X4745" t="s">
        <v>9603</v>
      </c>
      <c r="Y4745">
        <v>14</v>
      </c>
      <c r="Z4745">
        <v>0</v>
      </c>
      <c r="AA4745" t="s">
        <v>49</v>
      </c>
      <c r="AB4745">
        <v>0</v>
      </c>
      <c r="AC4745" t="s">
        <v>49</v>
      </c>
      <c r="AD4745">
        <v>0</v>
      </c>
      <c r="AE4745">
        <v>10323359</v>
      </c>
      <c r="AF4745" t="s">
        <v>50</v>
      </c>
      <c r="AG4745" t="s">
        <v>4702</v>
      </c>
    </row>
    <row r="4746" spans="1:33" x14ac:dyDescent="0.35">
      <c r="A4746" s="1">
        <v>44576.587500000001</v>
      </c>
      <c r="B4746">
        <v>697570</v>
      </c>
      <c r="C4746" t="s">
        <v>9604</v>
      </c>
      <c r="D4746" t="s">
        <v>59</v>
      </c>
      <c r="E4746" s="2">
        <v>40757</v>
      </c>
      <c r="F4746" t="str">
        <f>"9781118023433"</f>
        <v>9781118023433</v>
      </c>
      <c r="G4746" t="str">
        <f>"9780470641835"</f>
        <v>9780470641835</v>
      </c>
      <c r="H4746" t="s">
        <v>454</v>
      </c>
      <c r="I4746" t="s">
        <v>1049</v>
      </c>
      <c r="J4746" t="s">
        <v>9605</v>
      </c>
      <c r="K4746" t="s">
        <v>44</v>
      </c>
      <c r="N4746" t="s">
        <v>45</v>
      </c>
      <c r="O4746" t="s">
        <v>46</v>
      </c>
      <c r="P4746" t="s">
        <v>45</v>
      </c>
      <c r="Q4746" t="s">
        <v>47</v>
      </c>
      <c r="R4746" t="s">
        <v>44</v>
      </c>
      <c r="S4746">
        <v>0</v>
      </c>
      <c r="W4746" s="3">
        <v>4.1666666666666669E-4</v>
      </c>
      <c r="X4746" t="s">
        <v>9606</v>
      </c>
      <c r="Y4746">
        <v>8</v>
      </c>
      <c r="Z4746">
        <v>0</v>
      </c>
      <c r="AA4746" t="s">
        <v>49</v>
      </c>
      <c r="AB4746">
        <v>0</v>
      </c>
      <c r="AC4746" t="s">
        <v>49</v>
      </c>
      <c r="AD4746">
        <v>0</v>
      </c>
      <c r="AE4746">
        <v>10466734</v>
      </c>
      <c r="AF4746" t="s">
        <v>50</v>
      </c>
      <c r="AG4746" t="s">
        <v>9607</v>
      </c>
    </row>
    <row r="4747" spans="1:33" x14ac:dyDescent="0.35">
      <c r="A4747" s="1">
        <v>44575.631944444445</v>
      </c>
      <c r="B4747">
        <v>3440190</v>
      </c>
      <c r="C4747" t="s">
        <v>9608</v>
      </c>
      <c r="D4747" t="s">
        <v>9301</v>
      </c>
      <c r="E4747" s="2">
        <v>40565</v>
      </c>
      <c r="F4747" t="str">
        <f>"9781781830505"</f>
        <v>9781781830505</v>
      </c>
      <c r="G4747" t="str">
        <f>"9781906574789"</f>
        <v>9781906574789</v>
      </c>
      <c r="H4747" t="s">
        <v>95</v>
      </c>
      <c r="I4747">
        <v>620.10607600000003</v>
      </c>
      <c r="J4747" t="s">
        <v>9609</v>
      </c>
      <c r="K4747" t="s">
        <v>44</v>
      </c>
      <c r="N4747" t="s">
        <v>45</v>
      </c>
      <c r="O4747" t="s">
        <v>46</v>
      </c>
      <c r="P4747" t="s">
        <v>45</v>
      </c>
      <c r="Q4747" t="s">
        <v>47</v>
      </c>
      <c r="R4747" t="s">
        <v>44</v>
      </c>
      <c r="S4747">
        <v>0</v>
      </c>
      <c r="W4747" s="3">
        <v>0</v>
      </c>
      <c r="X4747" t="s">
        <v>49</v>
      </c>
      <c r="Y4747">
        <v>0</v>
      </c>
      <c r="Z4747">
        <v>1</v>
      </c>
      <c r="AA4747" t="s">
        <v>9610</v>
      </c>
      <c r="AB4747">
        <v>48</v>
      </c>
      <c r="AC4747" t="s">
        <v>49</v>
      </c>
      <c r="AD4747">
        <v>0</v>
      </c>
      <c r="AE4747">
        <v>11094590</v>
      </c>
      <c r="AF4747" t="s">
        <v>50</v>
      </c>
      <c r="AG4747" t="s">
        <v>4702</v>
      </c>
    </row>
    <row r="4748" spans="1:33" x14ac:dyDescent="0.35">
      <c r="A4748" s="1">
        <v>44574.619444444441</v>
      </c>
      <c r="B4748">
        <v>269589</v>
      </c>
      <c r="C4748" t="s">
        <v>9611</v>
      </c>
      <c r="D4748" t="s">
        <v>65</v>
      </c>
      <c r="E4748" s="2">
        <v>38701</v>
      </c>
      <c r="F4748" t="str">
        <f>"9780080456546"</f>
        <v>9780080456546</v>
      </c>
      <c r="G4748" t="str">
        <f>"9780120884186"</f>
        <v>9780120884186</v>
      </c>
      <c r="H4748" t="s">
        <v>9612</v>
      </c>
      <c r="I4748">
        <v>660.65</v>
      </c>
      <c r="J4748" t="s">
        <v>9613</v>
      </c>
      <c r="K4748" t="s">
        <v>44</v>
      </c>
      <c r="N4748" t="s">
        <v>45</v>
      </c>
      <c r="O4748" t="s">
        <v>46</v>
      </c>
      <c r="P4748" t="s">
        <v>45</v>
      </c>
      <c r="Q4748" t="s">
        <v>47</v>
      </c>
      <c r="R4748" t="s">
        <v>44</v>
      </c>
      <c r="S4748">
        <v>0</v>
      </c>
      <c r="W4748" s="3">
        <v>1.8518518518518518E-4</v>
      </c>
      <c r="X4748" t="s">
        <v>2649</v>
      </c>
      <c r="Y4748">
        <v>3</v>
      </c>
      <c r="Z4748">
        <v>0</v>
      </c>
      <c r="AA4748" t="s">
        <v>49</v>
      </c>
      <c r="AB4748">
        <v>0</v>
      </c>
      <c r="AC4748" t="s">
        <v>49</v>
      </c>
      <c r="AD4748">
        <v>0</v>
      </c>
      <c r="AE4748">
        <v>10138111</v>
      </c>
      <c r="AF4748" t="s">
        <v>50</v>
      </c>
      <c r="AG4748" t="s">
        <v>4702</v>
      </c>
    </row>
    <row r="4749" spans="1:33" x14ac:dyDescent="0.35">
      <c r="A4749" s="1">
        <v>44574.619444444441</v>
      </c>
      <c r="B4749">
        <v>1001358</v>
      </c>
      <c r="C4749" t="s">
        <v>9614</v>
      </c>
      <c r="D4749" t="s">
        <v>65</v>
      </c>
      <c r="E4749" s="2">
        <v>41206</v>
      </c>
      <c r="F4749" t="str">
        <f>"9780123948335"</f>
        <v>9780123948335</v>
      </c>
      <c r="G4749" t="str">
        <f>"9780123945853"</f>
        <v>9780123945853</v>
      </c>
      <c r="H4749" t="s">
        <v>7820</v>
      </c>
      <c r="I4749">
        <v>614.1</v>
      </c>
      <c r="J4749" t="s">
        <v>9615</v>
      </c>
      <c r="K4749" t="s">
        <v>44</v>
      </c>
      <c r="N4749" t="s">
        <v>45</v>
      </c>
      <c r="O4749" t="s">
        <v>46</v>
      </c>
      <c r="P4749" t="s">
        <v>45</v>
      </c>
      <c r="Q4749" t="s">
        <v>47</v>
      </c>
      <c r="R4749" t="s">
        <v>44</v>
      </c>
      <c r="S4749">
        <v>0</v>
      </c>
      <c r="W4749" s="3">
        <v>1.6087962962962963E-3</v>
      </c>
      <c r="X4749" t="s">
        <v>9616</v>
      </c>
      <c r="Y4749">
        <v>14</v>
      </c>
      <c r="Z4749">
        <v>0</v>
      </c>
      <c r="AA4749" t="s">
        <v>49</v>
      </c>
      <c r="AB4749">
        <v>0</v>
      </c>
      <c r="AC4749" t="s">
        <v>49</v>
      </c>
      <c r="AD4749">
        <v>0</v>
      </c>
      <c r="AE4749">
        <v>10593898</v>
      </c>
      <c r="AF4749" t="s">
        <v>50</v>
      </c>
      <c r="AG4749" t="s">
        <v>4702</v>
      </c>
    </row>
    <row r="4750" spans="1:33" x14ac:dyDescent="0.35">
      <c r="A4750" s="1">
        <v>44574.581944444442</v>
      </c>
      <c r="B4750">
        <v>947223</v>
      </c>
      <c r="C4750" t="s">
        <v>7535</v>
      </c>
      <c r="D4750" t="s">
        <v>59</v>
      </c>
      <c r="E4750" s="2">
        <v>41029</v>
      </c>
      <c r="F4750" t="str">
        <f>"9781119941781"</f>
        <v>9781119941781</v>
      </c>
      <c r="G4750" t="str">
        <f>"9781119990352"</f>
        <v>9781119990352</v>
      </c>
      <c r="H4750" t="s">
        <v>1040</v>
      </c>
      <c r="I4750">
        <v>541.33000000000004</v>
      </c>
      <c r="J4750" t="s">
        <v>7536</v>
      </c>
      <c r="K4750" t="s">
        <v>44</v>
      </c>
      <c r="N4750" t="s">
        <v>45</v>
      </c>
      <c r="O4750" t="s">
        <v>46</v>
      </c>
      <c r="P4750" t="s">
        <v>45</v>
      </c>
      <c r="Q4750" t="s">
        <v>47</v>
      </c>
      <c r="R4750" t="s">
        <v>44</v>
      </c>
      <c r="S4750">
        <v>0</v>
      </c>
      <c r="W4750" s="3">
        <v>5.7870370370370366E-5</v>
      </c>
      <c r="X4750" t="s">
        <v>121</v>
      </c>
      <c r="Y4750">
        <v>1</v>
      </c>
      <c r="Z4750">
        <v>0</v>
      </c>
      <c r="AA4750" t="s">
        <v>49</v>
      </c>
      <c r="AB4750">
        <v>0</v>
      </c>
      <c r="AC4750" t="s">
        <v>49</v>
      </c>
      <c r="AD4750">
        <v>0</v>
      </c>
      <c r="AE4750">
        <v>10575502</v>
      </c>
      <c r="AF4750" t="s">
        <v>50</v>
      </c>
      <c r="AG4750" t="s">
        <v>4702</v>
      </c>
    </row>
    <row r="4751" spans="1:33" x14ac:dyDescent="0.35">
      <c r="A4751" s="1">
        <v>44574.454861111109</v>
      </c>
      <c r="B4751">
        <v>427992</v>
      </c>
      <c r="C4751" t="s">
        <v>9617</v>
      </c>
      <c r="D4751" t="s">
        <v>59</v>
      </c>
      <c r="E4751" s="2">
        <v>33253</v>
      </c>
      <c r="F4751" t="str">
        <f>"9781444303827"</f>
        <v>9781444303827</v>
      </c>
      <c r="G4751" t="str">
        <f>"9780632017324"</f>
        <v>9780632017324</v>
      </c>
      <c r="H4751" t="s">
        <v>1626</v>
      </c>
      <c r="I4751">
        <v>552.79999999999995</v>
      </c>
      <c r="J4751" t="s">
        <v>9618</v>
      </c>
      <c r="K4751" t="s">
        <v>55</v>
      </c>
      <c r="N4751" t="s">
        <v>79</v>
      </c>
      <c r="P4751" t="s">
        <v>80</v>
      </c>
      <c r="Q4751" t="s">
        <v>47</v>
      </c>
      <c r="R4751" t="s">
        <v>44</v>
      </c>
      <c r="S4751">
        <v>0</v>
      </c>
      <c r="W4751" s="3">
        <v>8.3333333333333339E-4</v>
      </c>
      <c r="X4751" t="s">
        <v>9619</v>
      </c>
      <c r="Y4751">
        <v>13</v>
      </c>
      <c r="Z4751">
        <v>0</v>
      </c>
      <c r="AA4751" t="s">
        <v>49</v>
      </c>
      <c r="AB4751">
        <v>0</v>
      </c>
      <c r="AC4751" t="s">
        <v>49</v>
      </c>
      <c r="AD4751">
        <v>0</v>
      </c>
      <c r="AE4751">
        <v>11194524</v>
      </c>
      <c r="AF4751" t="s">
        <v>50</v>
      </c>
      <c r="AG4751" t="s">
        <v>9367</v>
      </c>
    </row>
    <row r="4752" spans="1:33" x14ac:dyDescent="0.35">
      <c r="A4752" s="1">
        <v>44573.915972222225</v>
      </c>
      <c r="B4752">
        <v>5447789</v>
      </c>
      <c r="C4752" t="s">
        <v>9620</v>
      </c>
      <c r="D4752" t="s">
        <v>738</v>
      </c>
      <c r="E4752" s="2">
        <v>42856</v>
      </c>
      <c r="F4752" t="str">
        <f>"9781624104015"</f>
        <v>9781624104015</v>
      </c>
      <c r="G4752" t="str">
        <f>"9781624104008"</f>
        <v>9781624104008</v>
      </c>
      <c r="H4752" t="s">
        <v>9621</v>
      </c>
      <c r="I4752">
        <v>363.72809189999998</v>
      </c>
      <c r="J4752" t="s">
        <v>9622</v>
      </c>
      <c r="K4752" t="s">
        <v>44</v>
      </c>
      <c r="N4752" t="s">
        <v>45</v>
      </c>
      <c r="O4752" t="s">
        <v>46</v>
      </c>
      <c r="P4752" t="s">
        <v>45</v>
      </c>
      <c r="Q4752" t="s">
        <v>47</v>
      </c>
      <c r="R4752" t="s">
        <v>44</v>
      </c>
      <c r="S4752">
        <v>1</v>
      </c>
      <c r="W4752" s="3">
        <v>0</v>
      </c>
      <c r="X4752" t="s">
        <v>9623</v>
      </c>
      <c r="Y4752">
        <v>1</v>
      </c>
      <c r="Z4752">
        <v>0</v>
      </c>
      <c r="AA4752" t="s">
        <v>49</v>
      </c>
      <c r="AB4752">
        <v>0</v>
      </c>
      <c r="AC4752" t="s">
        <v>49</v>
      </c>
      <c r="AD4752">
        <v>0</v>
      </c>
      <c r="AE4752">
        <v>-1</v>
      </c>
      <c r="AF4752" t="s">
        <v>63</v>
      </c>
      <c r="AG4752" t="s">
        <v>4702</v>
      </c>
    </row>
    <row r="4753" spans="1:33" x14ac:dyDescent="0.35">
      <c r="A4753" s="1">
        <v>44573.914583333331</v>
      </c>
      <c r="B4753">
        <v>5447789</v>
      </c>
      <c r="C4753" t="s">
        <v>9620</v>
      </c>
      <c r="D4753" t="s">
        <v>738</v>
      </c>
      <c r="E4753" s="2">
        <v>42856</v>
      </c>
      <c r="F4753" t="str">
        <f>"9781624104015"</f>
        <v>9781624104015</v>
      </c>
      <c r="G4753" t="str">
        <f>"9781624104008"</f>
        <v>9781624104008</v>
      </c>
      <c r="H4753" t="s">
        <v>9621</v>
      </c>
      <c r="I4753">
        <v>363.72809189999998</v>
      </c>
      <c r="J4753" t="s">
        <v>9622</v>
      </c>
      <c r="K4753" t="s">
        <v>44</v>
      </c>
      <c r="N4753" t="s">
        <v>45</v>
      </c>
      <c r="O4753" t="s">
        <v>46</v>
      </c>
      <c r="P4753" t="s">
        <v>45</v>
      </c>
      <c r="Q4753" t="s">
        <v>47</v>
      </c>
      <c r="R4753" t="s">
        <v>44</v>
      </c>
      <c r="S4753">
        <v>0</v>
      </c>
      <c r="W4753" s="3">
        <v>1.0416666666666667E-3</v>
      </c>
      <c r="X4753" t="s">
        <v>9623</v>
      </c>
      <c r="Y4753">
        <v>1</v>
      </c>
      <c r="Z4753">
        <v>0</v>
      </c>
      <c r="AA4753" t="s">
        <v>49</v>
      </c>
      <c r="AB4753">
        <v>0</v>
      </c>
      <c r="AC4753" t="s">
        <v>49</v>
      </c>
      <c r="AD4753">
        <v>0</v>
      </c>
      <c r="AE4753">
        <v>-1</v>
      </c>
      <c r="AF4753" t="s">
        <v>63</v>
      </c>
      <c r="AG4753" t="s">
        <v>4702</v>
      </c>
    </row>
    <row r="4754" spans="1:33" x14ac:dyDescent="0.35">
      <c r="A4754" s="1">
        <v>44573.84097222222</v>
      </c>
      <c r="B4754">
        <v>5447789</v>
      </c>
      <c r="C4754" t="s">
        <v>9620</v>
      </c>
      <c r="D4754" t="s">
        <v>738</v>
      </c>
      <c r="E4754" s="2">
        <v>42856</v>
      </c>
      <c r="F4754" t="str">
        <f>"9781624104015"</f>
        <v>9781624104015</v>
      </c>
      <c r="G4754" t="str">
        <f>"9781624104008"</f>
        <v>9781624104008</v>
      </c>
      <c r="H4754" t="s">
        <v>9621</v>
      </c>
      <c r="I4754">
        <v>363.72809189999998</v>
      </c>
      <c r="J4754" t="s">
        <v>9622</v>
      </c>
      <c r="K4754" t="s">
        <v>44</v>
      </c>
      <c r="N4754" t="s">
        <v>45</v>
      </c>
      <c r="O4754" t="s">
        <v>46</v>
      </c>
      <c r="P4754" t="s">
        <v>45</v>
      </c>
      <c r="Q4754" t="s">
        <v>47</v>
      </c>
      <c r="R4754" t="s">
        <v>44</v>
      </c>
      <c r="S4754">
        <v>0</v>
      </c>
      <c r="W4754" s="3">
        <v>2.3148148148148146E-4</v>
      </c>
      <c r="X4754" t="s">
        <v>7396</v>
      </c>
      <c r="Y4754">
        <v>4</v>
      </c>
      <c r="Z4754">
        <v>0</v>
      </c>
      <c r="AA4754" t="s">
        <v>49</v>
      </c>
      <c r="AB4754">
        <v>0</v>
      </c>
      <c r="AC4754" t="s">
        <v>49</v>
      </c>
      <c r="AD4754">
        <v>0</v>
      </c>
      <c r="AE4754">
        <v>-1</v>
      </c>
      <c r="AF4754" t="s">
        <v>50</v>
      </c>
      <c r="AG4754" t="s">
        <v>4702</v>
      </c>
    </row>
    <row r="4755" spans="1:33" x14ac:dyDescent="0.35">
      <c r="A4755" s="1">
        <v>44573.831250000003</v>
      </c>
      <c r="B4755">
        <v>5447789</v>
      </c>
      <c r="C4755" t="s">
        <v>9620</v>
      </c>
      <c r="D4755" t="s">
        <v>738</v>
      </c>
      <c r="E4755" s="2">
        <v>42856</v>
      </c>
      <c r="F4755" t="str">
        <f>"9781624104015"</f>
        <v>9781624104015</v>
      </c>
      <c r="G4755" t="str">
        <f>"9781624104008"</f>
        <v>9781624104008</v>
      </c>
      <c r="H4755" t="s">
        <v>9621</v>
      </c>
      <c r="I4755">
        <v>363.72809189999998</v>
      </c>
      <c r="J4755" t="s">
        <v>9622</v>
      </c>
      <c r="K4755" t="s">
        <v>44</v>
      </c>
      <c r="N4755" t="s">
        <v>45</v>
      </c>
      <c r="O4755" t="s">
        <v>46</v>
      </c>
      <c r="P4755" t="s">
        <v>45</v>
      </c>
      <c r="Q4755" t="s">
        <v>47</v>
      </c>
      <c r="R4755" t="s">
        <v>44</v>
      </c>
      <c r="S4755">
        <v>0</v>
      </c>
      <c r="W4755" s="3">
        <v>1.1805555555555556E-3</v>
      </c>
      <c r="X4755" t="s">
        <v>9624</v>
      </c>
      <c r="Y4755">
        <v>18</v>
      </c>
      <c r="Z4755">
        <v>0</v>
      </c>
      <c r="AA4755" t="s">
        <v>49</v>
      </c>
      <c r="AB4755">
        <v>0</v>
      </c>
      <c r="AC4755" t="s">
        <v>49</v>
      </c>
      <c r="AD4755">
        <v>0</v>
      </c>
      <c r="AE4755">
        <v>-1</v>
      </c>
      <c r="AF4755" t="s">
        <v>50</v>
      </c>
      <c r="AG4755" t="s">
        <v>4702</v>
      </c>
    </row>
    <row r="4756" spans="1:33" x14ac:dyDescent="0.35">
      <c r="A4756" s="1">
        <v>44573.470833333333</v>
      </c>
      <c r="B4756">
        <v>427992</v>
      </c>
      <c r="C4756" t="s">
        <v>9617</v>
      </c>
      <c r="D4756" t="s">
        <v>59</v>
      </c>
      <c r="E4756" s="2">
        <v>33253</v>
      </c>
      <c r="F4756" t="str">
        <f>"9781444303827"</f>
        <v>9781444303827</v>
      </c>
      <c r="G4756" t="str">
        <f>"9780632017324"</f>
        <v>9780632017324</v>
      </c>
      <c r="H4756" t="s">
        <v>1626</v>
      </c>
      <c r="I4756">
        <v>552.79999999999995</v>
      </c>
      <c r="J4756" t="s">
        <v>9618</v>
      </c>
      <c r="K4756" t="s">
        <v>55</v>
      </c>
      <c r="N4756" t="s">
        <v>79</v>
      </c>
      <c r="P4756" t="s">
        <v>80</v>
      </c>
      <c r="Q4756" t="s">
        <v>47</v>
      </c>
      <c r="R4756" t="s">
        <v>44</v>
      </c>
      <c r="S4756">
        <v>0</v>
      </c>
      <c r="W4756" s="3">
        <v>1.2222222222222223E-2</v>
      </c>
      <c r="X4756" t="s">
        <v>9625</v>
      </c>
      <c r="Y4756">
        <v>11</v>
      </c>
      <c r="Z4756">
        <v>0</v>
      </c>
      <c r="AA4756" t="s">
        <v>9626</v>
      </c>
      <c r="AB4756">
        <v>1</v>
      </c>
      <c r="AC4756" t="s">
        <v>49</v>
      </c>
      <c r="AD4756">
        <v>0</v>
      </c>
      <c r="AE4756">
        <v>11194524</v>
      </c>
      <c r="AF4756" t="s">
        <v>50</v>
      </c>
      <c r="AG4756" t="s">
        <v>9367</v>
      </c>
    </row>
    <row r="4757" spans="1:33" x14ac:dyDescent="0.35">
      <c r="A4757" s="1">
        <v>44573.151388888888</v>
      </c>
      <c r="B4757">
        <v>1395274</v>
      </c>
      <c r="C4757" t="s">
        <v>9627</v>
      </c>
      <c r="D4757" t="s">
        <v>76</v>
      </c>
      <c r="E4757" s="2">
        <v>37627</v>
      </c>
      <c r="F4757" t="str">
        <f>"9781136851315"</f>
        <v>9781136851315</v>
      </c>
      <c r="G4757" t="str">
        <f>"9780700714377"</f>
        <v>9780700714377</v>
      </c>
      <c r="H4757" t="s">
        <v>483</v>
      </c>
      <c r="I4757">
        <v>720.91767100000004</v>
      </c>
      <c r="J4757" t="s">
        <v>9628</v>
      </c>
      <c r="K4757" t="s">
        <v>44</v>
      </c>
      <c r="N4757" t="s">
        <v>45</v>
      </c>
      <c r="O4757" t="s">
        <v>46</v>
      </c>
      <c r="P4757" t="s">
        <v>45</v>
      </c>
      <c r="Q4757" t="s">
        <v>47</v>
      </c>
      <c r="R4757" t="s">
        <v>44</v>
      </c>
      <c r="S4757">
        <v>0</v>
      </c>
      <c r="W4757" s="3">
        <v>1.0532407407407407E-2</v>
      </c>
      <c r="X4757" t="s">
        <v>9629</v>
      </c>
      <c r="Y4757">
        <v>11</v>
      </c>
      <c r="Z4757">
        <v>0</v>
      </c>
      <c r="AA4757" t="s">
        <v>49</v>
      </c>
      <c r="AB4757">
        <v>0</v>
      </c>
      <c r="AC4757" t="s">
        <v>49</v>
      </c>
      <c r="AD4757">
        <v>0</v>
      </c>
      <c r="AE4757">
        <v>10764167</v>
      </c>
      <c r="AF4757" t="s">
        <v>50</v>
      </c>
      <c r="AG4757" t="s">
        <v>4702</v>
      </c>
    </row>
    <row r="4758" spans="1:33" x14ac:dyDescent="0.35">
      <c r="A4758" s="1">
        <v>44572.695833333331</v>
      </c>
      <c r="B4758">
        <v>427992</v>
      </c>
      <c r="C4758" t="s">
        <v>9617</v>
      </c>
      <c r="D4758" t="s">
        <v>59</v>
      </c>
      <c r="E4758" s="2">
        <v>33253</v>
      </c>
      <c r="F4758" t="str">
        <f>"9781444303827"</f>
        <v>9781444303827</v>
      </c>
      <c r="G4758" t="str">
        <f>"9780632017324"</f>
        <v>9780632017324</v>
      </c>
      <c r="H4758" t="s">
        <v>1626</v>
      </c>
      <c r="I4758">
        <v>552.79999999999995</v>
      </c>
      <c r="J4758" t="s">
        <v>9618</v>
      </c>
      <c r="K4758" t="s">
        <v>55</v>
      </c>
      <c r="N4758" t="s">
        <v>79</v>
      </c>
      <c r="P4758" t="s">
        <v>80</v>
      </c>
      <c r="Q4758" t="s">
        <v>47</v>
      </c>
      <c r="R4758" t="s">
        <v>44</v>
      </c>
      <c r="S4758">
        <v>0</v>
      </c>
      <c r="W4758" s="3">
        <v>2.2037037037037036E-2</v>
      </c>
      <c r="X4758" t="s">
        <v>9630</v>
      </c>
      <c r="Y4758">
        <v>40</v>
      </c>
      <c r="Z4758">
        <v>0</v>
      </c>
      <c r="AA4758" t="s">
        <v>49</v>
      </c>
      <c r="AB4758">
        <v>0</v>
      </c>
      <c r="AC4758" t="s">
        <v>49</v>
      </c>
      <c r="AD4758">
        <v>0</v>
      </c>
      <c r="AE4758">
        <v>11194524</v>
      </c>
      <c r="AF4758" t="s">
        <v>50</v>
      </c>
      <c r="AG4758" t="s">
        <v>9367</v>
      </c>
    </row>
    <row r="4759" spans="1:33" x14ac:dyDescent="0.35">
      <c r="A4759" s="1">
        <v>44572.652083333334</v>
      </c>
      <c r="B4759">
        <v>427992</v>
      </c>
      <c r="C4759" t="s">
        <v>9617</v>
      </c>
      <c r="D4759" t="s">
        <v>59</v>
      </c>
      <c r="E4759" s="2">
        <v>33253</v>
      </c>
      <c r="F4759" t="str">
        <f>"9781444303827"</f>
        <v>9781444303827</v>
      </c>
      <c r="G4759" t="str">
        <f>"9780632017324"</f>
        <v>9780632017324</v>
      </c>
      <c r="H4759" t="s">
        <v>1626</v>
      </c>
      <c r="I4759">
        <v>552.79999999999995</v>
      </c>
      <c r="J4759" t="s">
        <v>9618</v>
      </c>
      <c r="K4759" t="s">
        <v>55</v>
      </c>
      <c r="N4759" t="s">
        <v>79</v>
      </c>
      <c r="P4759" t="s">
        <v>80</v>
      </c>
      <c r="Q4759" t="s">
        <v>47</v>
      </c>
      <c r="R4759" t="s">
        <v>44</v>
      </c>
      <c r="S4759">
        <v>1</v>
      </c>
      <c r="T4759">
        <v>1</v>
      </c>
      <c r="U4759" s="1">
        <v>44572.652083333334</v>
      </c>
      <c r="V4759" s="1">
        <v>44573.652083333334</v>
      </c>
      <c r="W4759" s="3">
        <v>6.6666666666666671E-3</v>
      </c>
      <c r="X4759" t="s">
        <v>9631</v>
      </c>
      <c r="Y4759">
        <v>11</v>
      </c>
      <c r="Z4759">
        <v>1</v>
      </c>
      <c r="AA4759" t="s">
        <v>205</v>
      </c>
      <c r="AB4759">
        <v>2</v>
      </c>
      <c r="AC4759" t="s">
        <v>49</v>
      </c>
      <c r="AD4759">
        <v>0</v>
      </c>
      <c r="AE4759">
        <v>11194524</v>
      </c>
      <c r="AF4759" t="s">
        <v>63</v>
      </c>
      <c r="AG4759" t="s">
        <v>9367</v>
      </c>
    </row>
    <row r="4760" spans="1:33" x14ac:dyDescent="0.35">
      <c r="A4760" s="1">
        <v>44572.651388888888</v>
      </c>
      <c r="B4760">
        <v>427992</v>
      </c>
      <c r="C4760" t="s">
        <v>9617</v>
      </c>
      <c r="D4760" t="s">
        <v>59</v>
      </c>
      <c r="E4760" s="2">
        <v>33253</v>
      </c>
      <c r="F4760" t="str">
        <f>"9781444303827"</f>
        <v>9781444303827</v>
      </c>
      <c r="G4760" t="str">
        <f>"9780632017324"</f>
        <v>9780632017324</v>
      </c>
      <c r="H4760" t="s">
        <v>1626</v>
      </c>
      <c r="I4760">
        <v>552.79999999999995</v>
      </c>
      <c r="J4760" t="s">
        <v>9618</v>
      </c>
      <c r="K4760" t="s">
        <v>55</v>
      </c>
      <c r="N4760" t="s">
        <v>79</v>
      </c>
      <c r="P4760" t="s">
        <v>80</v>
      </c>
      <c r="Q4760" t="s">
        <v>47</v>
      </c>
      <c r="R4760" t="s">
        <v>44</v>
      </c>
      <c r="S4760">
        <v>0</v>
      </c>
      <c r="W4760" s="3">
        <v>1.9675925925925926E-4</v>
      </c>
      <c r="X4760" t="s">
        <v>9632</v>
      </c>
      <c r="Y4760">
        <v>4</v>
      </c>
      <c r="Z4760">
        <v>0</v>
      </c>
      <c r="AA4760" t="s">
        <v>49</v>
      </c>
      <c r="AB4760">
        <v>0</v>
      </c>
      <c r="AC4760" t="s">
        <v>49</v>
      </c>
      <c r="AD4760">
        <v>0</v>
      </c>
      <c r="AE4760">
        <v>11194524</v>
      </c>
      <c r="AF4760" t="s">
        <v>50</v>
      </c>
      <c r="AG4760" t="s">
        <v>9367</v>
      </c>
    </row>
    <row r="4761" spans="1:33" x14ac:dyDescent="0.35">
      <c r="A4761" s="1">
        <v>44571.877083333333</v>
      </c>
      <c r="B4761">
        <v>4003820</v>
      </c>
      <c r="C4761" t="s">
        <v>9633</v>
      </c>
      <c r="D4761" t="s">
        <v>65</v>
      </c>
      <c r="E4761" s="2">
        <v>42265</v>
      </c>
      <c r="F4761" t="str">
        <f>"9780128018804"</f>
        <v>9780128018804</v>
      </c>
      <c r="G4761" t="str">
        <f>"9780128018545"</f>
        <v>9780128018545</v>
      </c>
      <c r="H4761" t="s">
        <v>9634</v>
      </c>
      <c r="I4761">
        <v>581.76900000000001</v>
      </c>
      <c r="J4761" t="s">
        <v>9635</v>
      </c>
      <c r="K4761" t="s">
        <v>44</v>
      </c>
      <c r="N4761" t="s">
        <v>45</v>
      </c>
      <c r="O4761" t="s">
        <v>46</v>
      </c>
      <c r="P4761" t="s">
        <v>45</v>
      </c>
      <c r="Q4761" t="s">
        <v>47</v>
      </c>
      <c r="R4761" t="s">
        <v>44</v>
      </c>
      <c r="S4761">
        <v>0</v>
      </c>
      <c r="W4761" s="3">
        <v>2.0833333333333335E-4</v>
      </c>
      <c r="X4761" t="s">
        <v>56</v>
      </c>
      <c r="Y4761">
        <v>3</v>
      </c>
      <c r="Z4761">
        <v>0</v>
      </c>
      <c r="AA4761" t="s">
        <v>49</v>
      </c>
      <c r="AB4761">
        <v>0</v>
      </c>
      <c r="AC4761" t="s">
        <v>49</v>
      </c>
      <c r="AD4761">
        <v>0</v>
      </c>
      <c r="AE4761">
        <v>11116642</v>
      </c>
      <c r="AF4761" t="s">
        <v>50</v>
      </c>
      <c r="AG4761" t="s">
        <v>9367</v>
      </c>
    </row>
    <row r="4762" spans="1:33" x14ac:dyDescent="0.35">
      <c r="A4762" s="1">
        <v>44571.537499999999</v>
      </c>
      <c r="B4762">
        <v>3420193</v>
      </c>
      <c r="C4762" t="s">
        <v>7244</v>
      </c>
      <c r="D4762" t="s">
        <v>347</v>
      </c>
      <c r="E4762" s="2">
        <v>38118</v>
      </c>
      <c r="F4762" t="str">
        <f>"9780300133684"</f>
        <v>9780300133684</v>
      </c>
      <c r="G4762" t="str">
        <f>"9780300100327"</f>
        <v>9780300100327</v>
      </c>
      <c r="H4762" t="s">
        <v>498</v>
      </c>
      <c r="I4762" t="s">
        <v>6125</v>
      </c>
      <c r="J4762" t="s">
        <v>7245</v>
      </c>
      <c r="K4762" t="s">
        <v>44</v>
      </c>
      <c r="N4762" t="s">
        <v>45</v>
      </c>
      <c r="O4762" t="s">
        <v>46</v>
      </c>
      <c r="P4762" t="s">
        <v>45</v>
      </c>
      <c r="Q4762" t="s">
        <v>47</v>
      </c>
      <c r="R4762" t="s">
        <v>44</v>
      </c>
      <c r="S4762">
        <v>0</v>
      </c>
      <c r="W4762" s="3">
        <v>0</v>
      </c>
      <c r="X4762" t="s">
        <v>49</v>
      </c>
      <c r="Y4762">
        <v>0</v>
      </c>
      <c r="Z4762">
        <v>4</v>
      </c>
      <c r="AA4762" t="s">
        <v>9636</v>
      </c>
      <c r="AB4762">
        <v>111</v>
      </c>
      <c r="AC4762" t="s">
        <v>49</v>
      </c>
      <c r="AD4762">
        <v>0</v>
      </c>
      <c r="AE4762">
        <v>10170884</v>
      </c>
      <c r="AF4762" t="s">
        <v>50</v>
      </c>
      <c r="AG4762" t="s">
        <v>9367</v>
      </c>
    </row>
    <row r="4763" spans="1:33" x14ac:dyDescent="0.35">
      <c r="A4763" s="1">
        <v>44571.34375</v>
      </c>
      <c r="B4763">
        <v>6165492</v>
      </c>
      <c r="C4763" t="s">
        <v>9637</v>
      </c>
      <c r="D4763" t="s">
        <v>71</v>
      </c>
      <c r="E4763" s="2">
        <v>43895</v>
      </c>
      <c r="F4763" t="str">
        <f>"9789813279490"</f>
        <v>9789813279490</v>
      </c>
      <c r="G4763" t="str">
        <f>"9789813279483"</f>
        <v>9789813279483</v>
      </c>
      <c r="H4763" t="s">
        <v>233</v>
      </c>
      <c r="I4763">
        <v>623.89300000000003</v>
      </c>
      <c r="J4763" t="s">
        <v>9638</v>
      </c>
      <c r="K4763" t="s">
        <v>55</v>
      </c>
      <c r="N4763" t="s">
        <v>79</v>
      </c>
      <c r="P4763" t="s">
        <v>80</v>
      </c>
      <c r="Q4763" t="s">
        <v>47</v>
      </c>
      <c r="R4763" t="s">
        <v>44</v>
      </c>
      <c r="S4763">
        <v>3</v>
      </c>
      <c r="T4763">
        <v>1</v>
      </c>
      <c r="U4763" s="1">
        <v>44571.34375</v>
      </c>
      <c r="V4763" s="1">
        <v>44572.34375</v>
      </c>
      <c r="W4763" s="3">
        <v>0</v>
      </c>
      <c r="X4763" t="s">
        <v>49</v>
      </c>
      <c r="Y4763">
        <v>0</v>
      </c>
      <c r="Z4763">
        <v>0</v>
      </c>
      <c r="AA4763" t="s">
        <v>49</v>
      </c>
      <c r="AB4763">
        <v>0</v>
      </c>
      <c r="AC4763" t="s">
        <v>49</v>
      </c>
      <c r="AD4763">
        <v>0</v>
      </c>
      <c r="AE4763">
        <v>-1</v>
      </c>
      <c r="AF4763" t="s">
        <v>63</v>
      </c>
      <c r="AG4763" t="s">
        <v>9639</v>
      </c>
    </row>
    <row r="4764" spans="1:33" x14ac:dyDescent="0.35">
      <c r="A4764" s="1">
        <v>44571.343055555553</v>
      </c>
      <c r="B4764">
        <v>6253285</v>
      </c>
      <c r="C4764" t="s">
        <v>9640</v>
      </c>
      <c r="D4764" t="s">
        <v>71</v>
      </c>
      <c r="E4764" s="2">
        <v>44004</v>
      </c>
      <c r="F4764" t="str">
        <f>"9789811216374"</f>
        <v>9789811216374</v>
      </c>
      <c r="G4764" t="str">
        <f>"9789811216367"</f>
        <v>9789811216367</v>
      </c>
      <c r="H4764" t="s">
        <v>1256</v>
      </c>
      <c r="I4764" t="s">
        <v>9641</v>
      </c>
      <c r="J4764" t="s">
        <v>9642</v>
      </c>
      <c r="K4764" t="s">
        <v>55</v>
      </c>
      <c r="N4764" t="s">
        <v>79</v>
      </c>
      <c r="P4764" t="s">
        <v>1169</v>
      </c>
      <c r="Q4764" t="s">
        <v>47</v>
      </c>
      <c r="R4764" t="s">
        <v>44</v>
      </c>
      <c r="S4764">
        <v>2</v>
      </c>
      <c r="T4764">
        <v>1</v>
      </c>
      <c r="U4764" s="1">
        <v>44571.343055555553</v>
      </c>
      <c r="V4764" s="1">
        <v>44572.343055555553</v>
      </c>
      <c r="W4764" s="3">
        <v>0</v>
      </c>
      <c r="X4764" t="s">
        <v>49</v>
      </c>
      <c r="Y4764">
        <v>0</v>
      </c>
      <c r="Z4764">
        <v>0</v>
      </c>
      <c r="AA4764" t="s">
        <v>49</v>
      </c>
      <c r="AB4764">
        <v>0</v>
      </c>
      <c r="AC4764" t="s">
        <v>49</v>
      </c>
      <c r="AD4764">
        <v>0</v>
      </c>
      <c r="AE4764">
        <v>-1</v>
      </c>
      <c r="AF4764" t="s">
        <v>63</v>
      </c>
      <c r="AG4764" t="s">
        <v>9639</v>
      </c>
    </row>
    <row r="4765" spans="1:33" x14ac:dyDescent="0.35">
      <c r="A4765" s="1">
        <v>44571.339583333334</v>
      </c>
      <c r="B4765">
        <v>6521170</v>
      </c>
      <c r="C4765" t="s">
        <v>9643</v>
      </c>
      <c r="D4765" t="s">
        <v>71</v>
      </c>
      <c r="E4765" s="2">
        <v>44265</v>
      </c>
      <c r="F4765" t="str">
        <f>"9789811228445"</f>
        <v>9789811228445</v>
      </c>
      <c r="G4765" t="str">
        <f>"9789811228438"</f>
        <v>9789811228438</v>
      </c>
      <c r="H4765" t="s">
        <v>60</v>
      </c>
      <c r="I4765">
        <v>658.42100000000005</v>
      </c>
      <c r="J4765" t="s">
        <v>9644</v>
      </c>
      <c r="K4765" t="s">
        <v>55</v>
      </c>
      <c r="N4765" t="s">
        <v>79</v>
      </c>
      <c r="P4765" t="s">
        <v>80</v>
      </c>
      <c r="Q4765" t="s">
        <v>47</v>
      </c>
      <c r="R4765" t="s">
        <v>44</v>
      </c>
      <c r="S4765">
        <v>2</v>
      </c>
      <c r="T4765">
        <v>1</v>
      </c>
      <c r="U4765" s="1">
        <v>44571.339583333334</v>
      </c>
      <c r="V4765" s="1">
        <v>44572.339583333334</v>
      </c>
      <c r="W4765" s="3">
        <v>0</v>
      </c>
      <c r="X4765" t="s">
        <v>49</v>
      </c>
      <c r="Y4765">
        <v>0</v>
      </c>
      <c r="Z4765">
        <v>0</v>
      </c>
      <c r="AA4765" t="s">
        <v>49</v>
      </c>
      <c r="AB4765">
        <v>0</v>
      </c>
      <c r="AC4765" t="s">
        <v>49</v>
      </c>
      <c r="AD4765">
        <v>0</v>
      </c>
      <c r="AE4765">
        <v>-1</v>
      </c>
      <c r="AF4765" t="s">
        <v>63</v>
      </c>
      <c r="AG4765" t="s">
        <v>9639</v>
      </c>
    </row>
    <row r="4766" spans="1:33" x14ac:dyDescent="0.35">
      <c r="A4766" s="1">
        <v>44569.897222222222</v>
      </c>
      <c r="B4766">
        <v>283794</v>
      </c>
      <c r="C4766" t="s">
        <v>9645</v>
      </c>
      <c r="D4766" t="s">
        <v>4615</v>
      </c>
      <c r="E4766" s="2">
        <v>39328</v>
      </c>
      <c r="F4766" t="str">
        <f>"9781889057446"</f>
        <v>9781889057446</v>
      </c>
      <c r="G4766" t="str">
        <f>"9781889057071"</f>
        <v>9781889057071</v>
      </c>
      <c r="H4766" t="s">
        <v>77</v>
      </c>
      <c r="I4766" t="s">
        <v>9646</v>
      </c>
      <c r="J4766" t="s">
        <v>9647</v>
      </c>
      <c r="K4766" t="s">
        <v>44</v>
      </c>
      <c r="N4766" t="s">
        <v>45</v>
      </c>
      <c r="O4766" t="s">
        <v>46</v>
      </c>
      <c r="P4766" t="s">
        <v>45</v>
      </c>
      <c r="Q4766" t="s">
        <v>47</v>
      </c>
      <c r="R4766" t="s">
        <v>44</v>
      </c>
      <c r="S4766">
        <v>0</v>
      </c>
      <c r="W4766" s="3">
        <v>4.9768518518518521E-4</v>
      </c>
      <c r="X4766" t="s">
        <v>9648</v>
      </c>
      <c r="Y4766">
        <v>3</v>
      </c>
      <c r="Z4766">
        <v>0</v>
      </c>
      <c r="AA4766" t="s">
        <v>49</v>
      </c>
      <c r="AB4766">
        <v>0</v>
      </c>
      <c r="AC4766" t="s">
        <v>49</v>
      </c>
      <c r="AD4766">
        <v>0</v>
      </c>
      <c r="AE4766">
        <v>10158198</v>
      </c>
      <c r="AF4766" t="s">
        <v>50</v>
      </c>
      <c r="AG4766" t="s">
        <v>8846</v>
      </c>
    </row>
    <row r="4767" spans="1:33" x14ac:dyDescent="0.35">
      <c r="A4767" s="1">
        <v>44569.597222222219</v>
      </c>
      <c r="B4767">
        <v>4454999</v>
      </c>
      <c r="C4767" t="s">
        <v>9649</v>
      </c>
      <c r="D4767" t="s">
        <v>59</v>
      </c>
      <c r="E4767" s="2">
        <v>42464</v>
      </c>
      <c r="F4767" t="str">
        <f>"9781118839386"</f>
        <v>9781118839386</v>
      </c>
      <c r="G4767" t="str">
        <f>"9781118839393"</f>
        <v>9781118839393</v>
      </c>
      <c r="H4767" t="s">
        <v>2932</v>
      </c>
      <c r="I4767" t="s">
        <v>9650</v>
      </c>
      <c r="J4767" t="s">
        <v>9651</v>
      </c>
      <c r="K4767" t="s">
        <v>44</v>
      </c>
      <c r="N4767" t="s">
        <v>45</v>
      </c>
      <c r="O4767" t="s">
        <v>46</v>
      </c>
      <c r="P4767" t="s">
        <v>45</v>
      </c>
      <c r="Q4767" t="s">
        <v>47</v>
      </c>
      <c r="R4767" t="s">
        <v>44</v>
      </c>
      <c r="S4767">
        <v>0</v>
      </c>
      <c r="W4767" s="3">
        <v>5.0925925925925921E-4</v>
      </c>
      <c r="X4767" t="s">
        <v>9652</v>
      </c>
      <c r="Y4767">
        <v>8</v>
      </c>
      <c r="Z4767">
        <v>0</v>
      </c>
      <c r="AA4767" t="s">
        <v>49</v>
      </c>
      <c r="AB4767">
        <v>0</v>
      </c>
      <c r="AC4767" t="s">
        <v>49</v>
      </c>
      <c r="AD4767">
        <v>0</v>
      </c>
      <c r="AE4767">
        <v>11176446</v>
      </c>
      <c r="AF4767" t="s">
        <v>50</v>
      </c>
      <c r="AG4767" t="s">
        <v>9367</v>
      </c>
    </row>
    <row r="4768" spans="1:33" x14ac:dyDescent="0.35">
      <c r="A4768" s="1">
        <v>44568.393055555556</v>
      </c>
      <c r="B4768">
        <v>6362112</v>
      </c>
      <c r="C4768" t="s">
        <v>4049</v>
      </c>
      <c r="D4768" t="s">
        <v>65</v>
      </c>
      <c r="E4768" s="2">
        <v>44110</v>
      </c>
      <c r="F4768" t="str">
        <f>"9780128208861"</f>
        <v>9780128208861</v>
      </c>
      <c r="G4768" t="str">
        <f>"9780128205600"</f>
        <v>9780128205600</v>
      </c>
      <c r="H4768" t="s">
        <v>116</v>
      </c>
      <c r="I4768">
        <v>661.34</v>
      </c>
      <c r="J4768" t="s">
        <v>4050</v>
      </c>
      <c r="K4768" t="s">
        <v>55</v>
      </c>
      <c r="N4768" t="s">
        <v>293</v>
      </c>
      <c r="P4768" t="s">
        <v>80</v>
      </c>
      <c r="Q4768" t="s">
        <v>47</v>
      </c>
      <c r="R4768" t="s">
        <v>44</v>
      </c>
      <c r="S4768">
        <v>1</v>
      </c>
      <c r="T4768">
        <v>19</v>
      </c>
      <c r="U4768" s="1">
        <v>44568.393055555556</v>
      </c>
      <c r="V4768" s="1">
        <v>44587.393055555556</v>
      </c>
      <c r="W4768" s="3">
        <v>0</v>
      </c>
      <c r="X4768" t="s">
        <v>49</v>
      </c>
      <c r="Y4768">
        <v>0</v>
      </c>
      <c r="Z4768">
        <v>0</v>
      </c>
      <c r="AA4768" t="s">
        <v>49</v>
      </c>
      <c r="AB4768">
        <v>0</v>
      </c>
      <c r="AC4768" t="s">
        <v>49</v>
      </c>
      <c r="AD4768">
        <v>0</v>
      </c>
      <c r="AE4768">
        <v>-1</v>
      </c>
      <c r="AF4768" t="s">
        <v>63</v>
      </c>
      <c r="AG4768" t="s">
        <v>9367</v>
      </c>
    </row>
    <row r="4769" spans="1:33" x14ac:dyDescent="0.35">
      <c r="A4769" s="1">
        <v>44567.981249999997</v>
      </c>
      <c r="B4769">
        <v>5553745</v>
      </c>
      <c r="C4769" t="s">
        <v>9653</v>
      </c>
      <c r="D4769" t="s">
        <v>213</v>
      </c>
      <c r="E4769" s="2">
        <v>42822</v>
      </c>
      <c r="F4769" t="str">
        <f>"9780323394130"</f>
        <v>9780323394130</v>
      </c>
      <c r="G4769" t="str">
        <f>"9780323353175"</f>
        <v>9780323353175</v>
      </c>
      <c r="H4769" t="s">
        <v>77</v>
      </c>
      <c r="I4769">
        <v>616.07000000000005</v>
      </c>
      <c r="J4769" t="s">
        <v>9654</v>
      </c>
      <c r="K4769" t="s">
        <v>55</v>
      </c>
      <c r="N4769" t="s">
        <v>79</v>
      </c>
      <c r="P4769" t="s">
        <v>1169</v>
      </c>
      <c r="Q4769" t="s">
        <v>47</v>
      </c>
      <c r="R4769" t="s">
        <v>44</v>
      </c>
      <c r="S4769">
        <v>0</v>
      </c>
      <c r="W4769" s="3">
        <v>3.0092592592592595E-4</v>
      </c>
      <c r="X4769" t="s">
        <v>205</v>
      </c>
      <c r="Y4769">
        <v>2</v>
      </c>
      <c r="Z4769">
        <v>0</v>
      </c>
      <c r="AA4769" t="s">
        <v>49</v>
      </c>
      <c r="AB4769">
        <v>0</v>
      </c>
      <c r="AC4769" t="s">
        <v>49</v>
      </c>
      <c r="AD4769">
        <v>0</v>
      </c>
      <c r="AE4769">
        <v>-1</v>
      </c>
      <c r="AF4769" t="s">
        <v>50</v>
      </c>
      <c r="AG4769" t="s">
        <v>4222</v>
      </c>
    </row>
    <row r="4770" spans="1:33" x14ac:dyDescent="0.35">
      <c r="A4770" s="1">
        <v>44567.686805555553</v>
      </c>
      <c r="B4770">
        <v>886690</v>
      </c>
      <c r="C4770" t="s">
        <v>7970</v>
      </c>
      <c r="D4770" t="s">
        <v>125</v>
      </c>
      <c r="E4770" s="2">
        <v>38176</v>
      </c>
      <c r="F4770" t="str">
        <f>"9780191547393"</f>
        <v>9780191547393</v>
      </c>
      <c r="G4770" t="str">
        <f>"9780198613367"</f>
        <v>9780198613367</v>
      </c>
      <c r="H4770" t="s">
        <v>7971</v>
      </c>
      <c r="I4770">
        <v>793.74</v>
      </c>
      <c r="J4770" t="s">
        <v>7972</v>
      </c>
      <c r="K4770" t="s">
        <v>44</v>
      </c>
      <c r="N4770" t="s">
        <v>45</v>
      </c>
      <c r="O4770" t="s">
        <v>46</v>
      </c>
      <c r="P4770" t="s">
        <v>45</v>
      </c>
      <c r="Q4770" t="s">
        <v>47</v>
      </c>
      <c r="R4770" t="s">
        <v>44</v>
      </c>
      <c r="S4770">
        <v>0</v>
      </c>
      <c r="W4770" s="3">
        <v>3.0543981481481481E-2</v>
      </c>
      <c r="X4770" t="s">
        <v>9655</v>
      </c>
      <c r="Y4770">
        <v>8</v>
      </c>
      <c r="Z4770">
        <v>3</v>
      </c>
      <c r="AA4770" t="s">
        <v>9656</v>
      </c>
      <c r="AB4770">
        <v>38</v>
      </c>
      <c r="AC4770" t="s">
        <v>49</v>
      </c>
      <c r="AD4770">
        <v>0</v>
      </c>
      <c r="AE4770">
        <v>10537846</v>
      </c>
      <c r="AF4770" t="s">
        <v>50</v>
      </c>
      <c r="AG4770" t="s">
        <v>9367</v>
      </c>
    </row>
    <row r="4771" spans="1:33" x14ac:dyDescent="0.35">
      <c r="A4771" s="1">
        <v>44567.630555555559</v>
      </c>
      <c r="B4771">
        <v>6362112</v>
      </c>
      <c r="C4771" t="s">
        <v>4049</v>
      </c>
      <c r="D4771" t="s">
        <v>65</v>
      </c>
      <c r="E4771" s="2">
        <v>44110</v>
      </c>
      <c r="F4771" t="str">
        <f>"9780128208861"</f>
        <v>9780128208861</v>
      </c>
      <c r="G4771" t="str">
        <f>"9780128205600"</f>
        <v>9780128205600</v>
      </c>
      <c r="H4771" t="s">
        <v>116</v>
      </c>
      <c r="I4771">
        <v>661.34</v>
      </c>
      <c r="J4771" t="s">
        <v>4050</v>
      </c>
      <c r="K4771" t="s">
        <v>55</v>
      </c>
      <c r="Q4771" t="s">
        <v>47</v>
      </c>
      <c r="R4771" t="s">
        <v>44</v>
      </c>
      <c r="S4771">
        <v>0</v>
      </c>
      <c r="W4771" s="3">
        <v>4.5370370370370365E-3</v>
      </c>
      <c r="X4771" t="s">
        <v>9657</v>
      </c>
      <c r="Y4771">
        <v>8</v>
      </c>
      <c r="Z4771">
        <v>0</v>
      </c>
      <c r="AA4771" t="s">
        <v>49</v>
      </c>
      <c r="AB4771">
        <v>0</v>
      </c>
      <c r="AC4771" t="s">
        <v>49</v>
      </c>
      <c r="AD4771">
        <v>0</v>
      </c>
      <c r="AE4771">
        <v>-1</v>
      </c>
      <c r="AF4771" t="s">
        <v>63</v>
      </c>
      <c r="AG4771" t="s">
        <v>9367</v>
      </c>
    </row>
    <row r="4772" spans="1:33" x14ac:dyDescent="0.35">
      <c r="A4772" s="1">
        <v>44567.550694444442</v>
      </c>
      <c r="B4772">
        <v>429745</v>
      </c>
      <c r="C4772" t="s">
        <v>9658</v>
      </c>
      <c r="D4772" t="s">
        <v>76</v>
      </c>
      <c r="E4772" s="2">
        <v>38684</v>
      </c>
      <c r="F4772" t="str">
        <f>"9780754682271"</f>
        <v>9780754682271</v>
      </c>
      <c r="G4772" t="str">
        <f>"9780754636236"</f>
        <v>9780754636236</v>
      </c>
      <c r="H4772" t="s">
        <v>162</v>
      </c>
      <c r="I4772" t="s">
        <v>9659</v>
      </c>
      <c r="J4772" t="s">
        <v>9660</v>
      </c>
      <c r="K4772" t="s">
        <v>44</v>
      </c>
      <c r="N4772" t="s">
        <v>45</v>
      </c>
      <c r="O4772" t="s">
        <v>46</v>
      </c>
      <c r="P4772" t="s">
        <v>45</v>
      </c>
      <c r="Q4772" t="s">
        <v>47</v>
      </c>
      <c r="R4772" t="s">
        <v>44</v>
      </c>
      <c r="S4772">
        <v>0</v>
      </c>
      <c r="W4772" s="3">
        <v>3.3518518518518517E-2</v>
      </c>
      <c r="X4772" t="s">
        <v>9661</v>
      </c>
      <c r="Y4772">
        <v>57</v>
      </c>
      <c r="Z4772">
        <v>0</v>
      </c>
      <c r="AA4772" t="s">
        <v>49</v>
      </c>
      <c r="AB4772">
        <v>0</v>
      </c>
      <c r="AC4772" t="s">
        <v>49</v>
      </c>
      <c r="AD4772">
        <v>0</v>
      </c>
      <c r="AE4772">
        <v>10211442</v>
      </c>
      <c r="AF4772" t="s">
        <v>50</v>
      </c>
      <c r="AG4772" t="s">
        <v>9367</v>
      </c>
    </row>
    <row r="4773" spans="1:33" x14ac:dyDescent="0.35">
      <c r="A4773" s="1">
        <v>44567.375694444447</v>
      </c>
      <c r="B4773">
        <v>589099</v>
      </c>
      <c r="C4773" t="s">
        <v>8531</v>
      </c>
      <c r="D4773" t="s">
        <v>59</v>
      </c>
      <c r="E4773" s="2">
        <v>40498</v>
      </c>
      <c r="F4773" t="str">
        <f>"9780470825624"</f>
        <v>9780470825624</v>
      </c>
      <c r="G4773" t="str">
        <f>"9780470825617"</f>
        <v>9780470825617</v>
      </c>
      <c r="H4773" t="s">
        <v>546</v>
      </c>
      <c r="I4773">
        <v>621.38400000000001</v>
      </c>
      <c r="J4773" t="s">
        <v>8532</v>
      </c>
      <c r="K4773" t="s">
        <v>44</v>
      </c>
      <c r="N4773" t="s">
        <v>45</v>
      </c>
      <c r="O4773" t="s">
        <v>46</v>
      </c>
      <c r="P4773" t="s">
        <v>45</v>
      </c>
      <c r="Q4773" t="s">
        <v>47</v>
      </c>
      <c r="R4773" t="s">
        <v>44</v>
      </c>
      <c r="S4773">
        <v>0</v>
      </c>
      <c r="W4773" s="3">
        <v>3.5763888888888894E-3</v>
      </c>
      <c r="X4773" t="s">
        <v>9662</v>
      </c>
      <c r="Y4773">
        <v>19</v>
      </c>
      <c r="Z4773">
        <v>0</v>
      </c>
      <c r="AA4773" t="s">
        <v>49</v>
      </c>
      <c r="AB4773">
        <v>0</v>
      </c>
      <c r="AC4773" t="s">
        <v>9663</v>
      </c>
      <c r="AD4773">
        <v>2</v>
      </c>
      <c r="AE4773">
        <v>10412611</v>
      </c>
      <c r="AF4773" t="s">
        <v>50</v>
      </c>
      <c r="AG4773" t="s">
        <v>9367</v>
      </c>
    </row>
    <row r="4774" spans="1:33" x14ac:dyDescent="0.35">
      <c r="A4774" s="1">
        <v>44567.319444444445</v>
      </c>
      <c r="B4774">
        <v>6362112</v>
      </c>
      <c r="C4774" t="s">
        <v>4049</v>
      </c>
      <c r="D4774" t="s">
        <v>65</v>
      </c>
      <c r="E4774" s="2">
        <v>44110</v>
      </c>
      <c r="F4774" t="str">
        <f>"9780128208861"</f>
        <v>9780128208861</v>
      </c>
      <c r="G4774" t="str">
        <f>"9780128205600"</f>
        <v>9780128205600</v>
      </c>
      <c r="H4774" t="s">
        <v>116</v>
      </c>
      <c r="I4774">
        <v>661.34</v>
      </c>
      <c r="J4774" t="s">
        <v>4050</v>
      </c>
      <c r="K4774" t="s">
        <v>55</v>
      </c>
      <c r="Q4774" t="s">
        <v>47</v>
      </c>
      <c r="R4774" t="s">
        <v>44</v>
      </c>
      <c r="S4774">
        <v>0</v>
      </c>
      <c r="W4774" s="3">
        <v>2.6620370370370372E-4</v>
      </c>
      <c r="X4774" t="s">
        <v>9664</v>
      </c>
      <c r="Y4774">
        <v>8</v>
      </c>
      <c r="Z4774">
        <v>0</v>
      </c>
      <c r="AA4774" t="s">
        <v>49</v>
      </c>
      <c r="AB4774">
        <v>0</v>
      </c>
      <c r="AC4774" t="s">
        <v>49</v>
      </c>
      <c r="AD4774">
        <v>0</v>
      </c>
      <c r="AE4774">
        <v>-1</v>
      </c>
      <c r="AF4774" t="s">
        <v>50</v>
      </c>
      <c r="AG4774" t="s">
        <v>9367</v>
      </c>
    </row>
    <row r="4775" spans="1:33" x14ac:dyDescent="0.35">
      <c r="A4775" s="1">
        <v>44567.309027777781</v>
      </c>
      <c r="B4775">
        <v>5553745</v>
      </c>
      <c r="C4775" t="s">
        <v>9653</v>
      </c>
      <c r="D4775" t="s">
        <v>213</v>
      </c>
      <c r="E4775" s="2">
        <v>42822</v>
      </c>
      <c r="F4775" t="str">
        <f>"9780323394130"</f>
        <v>9780323394130</v>
      </c>
      <c r="G4775" t="str">
        <f>"9780323353175"</f>
        <v>9780323353175</v>
      </c>
      <c r="H4775" t="s">
        <v>77</v>
      </c>
      <c r="I4775">
        <v>616.07000000000005</v>
      </c>
      <c r="J4775" t="s">
        <v>9654</v>
      </c>
      <c r="K4775" t="s">
        <v>55</v>
      </c>
      <c r="N4775" t="s">
        <v>79</v>
      </c>
      <c r="P4775" t="s">
        <v>1169</v>
      </c>
      <c r="Q4775" t="s">
        <v>47</v>
      </c>
      <c r="R4775" t="s">
        <v>44</v>
      </c>
      <c r="S4775">
        <v>0</v>
      </c>
      <c r="W4775" s="3">
        <v>3.8194444444444446E-4</v>
      </c>
      <c r="X4775" t="s">
        <v>9665</v>
      </c>
      <c r="Y4775">
        <v>6</v>
      </c>
      <c r="Z4775">
        <v>0</v>
      </c>
      <c r="AA4775" t="s">
        <v>49</v>
      </c>
      <c r="AB4775">
        <v>0</v>
      </c>
      <c r="AC4775" t="s">
        <v>49</v>
      </c>
      <c r="AD4775">
        <v>0</v>
      </c>
      <c r="AE4775">
        <v>-1</v>
      </c>
      <c r="AF4775" t="s">
        <v>50</v>
      </c>
      <c r="AG4775" t="s">
        <v>9367</v>
      </c>
    </row>
    <row r="4776" spans="1:33" x14ac:dyDescent="0.35">
      <c r="A4776" s="1">
        <v>44566.629166666666</v>
      </c>
      <c r="B4776">
        <v>6639917</v>
      </c>
      <c r="C4776" t="s">
        <v>9666</v>
      </c>
      <c r="D4776" t="s">
        <v>303</v>
      </c>
      <c r="E4776" s="2">
        <v>44355</v>
      </c>
      <c r="F4776" t="str">
        <f>"9780262361125"</f>
        <v>9780262361125</v>
      </c>
      <c r="G4776" t="str">
        <f>"9780262044707"</f>
        <v>9780262044707</v>
      </c>
      <c r="H4776" t="s">
        <v>1046</v>
      </c>
      <c r="I4776">
        <v>307.12160917239999</v>
      </c>
      <c r="K4776" t="s">
        <v>55</v>
      </c>
      <c r="N4776" t="s">
        <v>79</v>
      </c>
      <c r="P4776" t="s">
        <v>80</v>
      </c>
      <c r="Q4776" t="s">
        <v>47</v>
      </c>
      <c r="R4776" t="s">
        <v>44</v>
      </c>
      <c r="S4776">
        <v>1</v>
      </c>
      <c r="T4776">
        <v>90</v>
      </c>
      <c r="U4776" s="1">
        <v>44566.629166666666</v>
      </c>
      <c r="V4776" s="1">
        <v>44656.629166666666</v>
      </c>
      <c r="W4776" s="3">
        <v>2.7314814814814819E-3</v>
      </c>
      <c r="X4776" t="s">
        <v>9667</v>
      </c>
      <c r="Y4776">
        <v>5</v>
      </c>
      <c r="Z4776">
        <v>1</v>
      </c>
      <c r="AA4776" t="s">
        <v>9668</v>
      </c>
      <c r="AB4776">
        <v>45</v>
      </c>
      <c r="AC4776" t="s">
        <v>49</v>
      </c>
      <c r="AD4776">
        <v>0</v>
      </c>
      <c r="AE4776">
        <v>-1</v>
      </c>
      <c r="AF4776" t="s">
        <v>63</v>
      </c>
      <c r="AG4776" t="s">
        <v>9387</v>
      </c>
    </row>
    <row r="4777" spans="1:33" x14ac:dyDescent="0.35">
      <c r="A4777" s="1">
        <v>44566.563888888886</v>
      </c>
      <c r="B4777">
        <v>589099</v>
      </c>
      <c r="C4777" t="s">
        <v>8531</v>
      </c>
      <c r="D4777" t="s">
        <v>59</v>
      </c>
      <c r="E4777" s="2">
        <v>40498</v>
      </c>
      <c r="F4777" t="str">
        <f>"9780470825624"</f>
        <v>9780470825624</v>
      </c>
      <c r="G4777" t="str">
        <f>"9780470825617"</f>
        <v>9780470825617</v>
      </c>
      <c r="H4777" t="s">
        <v>546</v>
      </c>
      <c r="I4777">
        <v>621.38400000000001</v>
      </c>
      <c r="J4777" t="s">
        <v>8532</v>
      </c>
      <c r="K4777" t="s">
        <v>44</v>
      </c>
      <c r="N4777" t="s">
        <v>45</v>
      </c>
      <c r="O4777" t="s">
        <v>46</v>
      </c>
      <c r="P4777" t="s">
        <v>45</v>
      </c>
      <c r="Q4777" t="s">
        <v>47</v>
      </c>
      <c r="R4777" t="s">
        <v>44</v>
      </c>
      <c r="S4777">
        <v>0</v>
      </c>
      <c r="W4777" s="3">
        <v>3.1249999999999997E-3</v>
      </c>
      <c r="X4777" t="s">
        <v>9669</v>
      </c>
      <c r="Y4777">
        <v>13</v>
      </c>
      <c r="Z4777">
        <v>0</v>
      </c>
      <c r="AA4777" t="s">
        <v>49</v>
      </c>
      <c r="AB4777">
        <v>0</v>
      </c>
      <c r="AC4777" t="s">
        <v>49</v>
      </c>
      <c r="AD4777">
        <v>0</v>
      </c>
      <c r="AE4777">
        <v>10412611</v>
      </c>
      <c r="AF4777" t="s">
        <v>50</v>
      </c>
      <c r="AG4777" t="s">
        <v>9367</v>
      </c>
    </row>
    <row r="4778" spans="1:33" x14ac:dyDescent="0.35">
      <c r="A4778" s="1">
        <v>44565.78125</v>
      </c>
      <c r="B4778">
        <v>1360805</v>
      </c>
      <c r="C4778" t="s">
        <v>6433</v>
      </c>
      <c r="D4778" t="s">
        <v>59</v>
      </c>
      <c r="E4778" s="2">
        <v>41575</v>
      </c>
      <c r="F4778" t="str">
        <f>"9781118654378"</f>
        <v>9781118654378</v>
      </c>
      <c r="G4778" t="str">
        <f>"9780470655931"</f>
        <v>9780470655931</v>
      </c>
      <c r="H4778" t="s">
        <v>712</v>
      </c>
      <c r="I4778">
        <v>343.73078623999999</v>
      </c>
      <c r="J4778" t="s">
        <v>6434</v>
      </c>
      <c r="K4778" t="s">
        <v>44</v>
      </c>
      <c r="N4778" t="s">
        <v>45</v>
      </c>
      <c r="O4778" t="s">
        <v>46</v>
      </c>
      <c r="P4778" t="s">
        <v>45</v>
      </c>
      <c r="Q4778" t="s">
        <v>47</v>
      </c>
      <c r="R4778" t="s">
        <v>44</v>
      </c>
      <c r="S4778">
        <v>1</v>
      </c>
      <c r="W4778" s="3">
        <v>1.9328703703703704E-3</v>
      </c>
      <c r="X4778" t="s">
        <v>9670</v>
      </c>
      <c r="Y4778">
        <v>6</v>
      </c>
      <c r="Z4778">
        <v>1</v>
      </c>
      <c r="AA4778" t="s">
        <v>1346</v>
      </c>
      <c r="AB4778">
        <v>4</v>
      </c>
      <c r="AC4778" t="s">
        <v>49</v>
      </c>
      <c r="AD4778">
        <v>0</v>
      </c>
      <c r="AE4778">
        <v>10753413</v>
      </c>
      <c r="AF4778" t="s">
        <v>63</v>
      </c>
      <c r="AG4778" t="s">
        <v>9367</v>
      </c>
    </row>
    <row r="4779" spans="1:33" x14ac:dyDescent="0.35">
      <c r="A4779" s="1">
        <v>44565.600694444445</v>
      </c>
      <c r="B4779">
        <v>968015</v>
      </c>
      <c r="C4779" t="s">
        <v>9671</v>
      </c>
      <c r="D4779" t="s">
        <v>125</v>
      </c>
      <c r="E4779" s="2">
        <v>41060</v>
      </c>
      <c r="F4779" t="str">
        <f>"9780199798230"</f>
        <v>9780199798230</v>
      </c>
      <c r="G4779" t="str">
        <f>"9780199798124"</f>
        <v>9780199798124</v>
      </c>
      <c r="H4779" t="s">
        <v>72</v>
      </c>
      <c r="I4779">
        <v>530.12</v>
      </c>
      <c r="J4779" t="s">
        <v>9672</v>
      </c>
      <c r="K4779" t="s">
        <v>44</v>
      </c>
      <c r="N4779" t="s">
        <v>45</v>
      </c>
      <c r="O4779" t="s">
        <v>46</v>
      </c>
      <c r="P4779" t="s">
        <v>45</v>
      </c>
      <c r="Q4779" t="s">
        <v>47</v>
      </c>
      <c r="R4779" t="s">
        <v>44</v>
      </c>
      <c r="S4779">
        <v>0</v>
      </c>
      <c r="W4779" s="3">
        <v>1.3969907407407408E-2</v>
      </c>
      <c r="X4779" t="s">
        <v>9673</v>
      </c>
      <c r="Y4779">
        <v>25</v>
      </c>
      <c r="Z4779">
        <v>0</v>
      </c>
      <c r="AA4779" t="s">
        <v>49</v>
      </c>
      <c r="AB4779">
        <v>0</v>
      </c>
      <c r="AC4779" t="s">
        <v>49</v>
      </c>
      <c r="AD4779">
        <v>0</v>
      </c>
      <c r="AE4779">
        <v>10578493</v>
      </c>
      <c r="AF4779" t="s">
        <v>50</v>
      </c>
      <c r="AG4779" t="s">
        <v>9367</v>
      </c>
    </row>
    <row r="4780" spans="1:33" x14ac:dyDescent="0.35">
      <c r="A4780" s="1">
        <v>44565.438194444447</v>
      </c>
      <c r="B4780">
        <v>589099</v>
      </c>
      <c r="C4780" t="s">
        <v>8531</v>
      </c>
      <c r="D4780" t="s">
        <v>59</v>
      </c>
      <c r="E4780" s="2">
        <v>40498</v>
      </c>
      <c r="F4780" t="str">
        <f>"9780470825624"</f>
        <v>9780470825624</v>
      </c>
      <c r="G4780" t="str">
        <f>"9780470825617"</f>
        <v>9780470825617</v>
      </c>
      <c r="H4780" t="s">
        <v>546</v>
      </c>
      <c r="I4780">
        <v>621.38400000000001</v>
      </c>
      <c r="J4780" t="s">
        <v>8532</v>
      </c>
      <c r="K4780" t="s">
        <v>44</v>
      </c>
      <c r="N4780" t="s">
        <v>45</v>
      </c>
      <c r="O4780" t="s">
        <v>46</v>
      </c>
      <c r="P4780" t="s">
        <v>45</v>
      </c>
      <c r="Q4780" t="s">
        <v>47</v>
      </c>
      <c r="R4780" t="s">
        <v>44</v>
      </c>
      <c r="S4780">
        <v>0</v>
      </c>
      <c r="W4780" s="3">
        <v>2.3958333333333336E-3</v>
      </c>
      <c r="X4780" t="s">
        <v>9674</v>
      </c>
      <c r="Y4780">
        <v>33</v>
      </c>
      <c r="Z4780">
        <v>0</v>
      </c>
      <c r="AA4780" t="s">
        <v>49</v>
      </c>
      <c r="AB4780">
        <v>0</v>
      </c>
      <c r="AC4780" t="s">
        <v>49</v>
      </c>
      <c r="AD4780">
        <v>0</v>
      </c>
      <c r="AE4780">
        <v>10412611</v>
      </c>
      <c r="AF4780" t="s">
        <v>50</v>
      </c>
      <c r="AG4780" t="s">
        <v>9367</v>
      </c>
    </row>
    <row r="4781" spans="1:33" x14ac:dyDescent="0.35">
      <c r="A4781" s="1">
        <v>44563.797222222223</v>
      </c>
      <c r="B4781">
        <v>3376144</v>
      </c>
      <c r="C4781" t="s">
        <v>9675</v>
      </c>
      <c r="D4781" t="s">
        <v>175</v>
      </c>
      <c r="E4781" s="2">
        <v>35621</v>
      </c>
      <c r="F4781" t="str">
        <f>"9780309590853"</f>
        <v>9780309590853</v>
      </c>
      <c r="G4781" t="str">
        <f>"9780309058315"</f>
        <v>9780309058315</v>
      </c>
      <c r="H4781" t="s">
        <v>9676</v>
      </c>
      <c r="K4781" t="s">
        <v>44</v>
      </c>
      <c r="N4781" t="s">
        <v>45</v>
      </c>
      <c r="O4781" t="s">
        <v>46</v>
      </c>
      <c r="P4781" t="s">
        <v>177</v>
      </c>
      <c r="Q4781" t="s">
        <v>47</v>
      </c>
      <c r="R4781" t="s">
        <v>55</v>
      </c>
      <c r="S4781">
        <v>0</v>
      </c>
      <c r="W4781" s="3">
        <v>1.7361111111111112E-4</v>
      </c>
      <c r="X4781" t="s">
        <v>9677</v>
      </c>
      <c r="Y4781">
        <v>3</v>
      </c>
      <c r="Z4781">
        <v>0</v>
      </c>
      <c r="AA4781" t="s">
        <v>49</v>
      </c>
      <c r="AB4781">
        <v>0</v>
      </c>
      <c r="AC4781" t="s">
        <v>49</v>
      </c>
      <c r="AD4781">
        <v>0</v>
      </c>
      <c r="AE4781">
        <v>10055138</v>
      </c>
      <c r="AF4781" t="s">
        <v>50</v>
      </c>
      <c r="AG4781" t="s">
        <v>9367</v>
      </c>
    </row>
    <row r="4782" spans="1:33" x14ac:dyDescent="0.35">
      <c r="A4782" s="1">
        <v>44563.790277777778</v>
      </c>
      <c r="B4782">
        <v>1107724</v>
      </c>
      <c r="C4782" t="s">
        <v>9678</v>
      </c>
      <c r="D4782" t="s">
        <v>125</v>
      </c>
      <c r="E4782" s="2">
        <v>34242</v>
      </c>
      <c r="F4782" t="str">
        <f>"9780191505744"</f>
        <v>9780191505744</v>
      </c>
      <c r="G4782" t="str">
        <f>"9780192823793"</f>
        <v>9780192823793</v>
      </c>
      <c r="H4782" t="s">
        <v>3302</v>
      </c>
      <c r="I4782" t="s">
        <v>9364</v>
      </c>
      <c r="J4782" t="s">
        <v>9679</v>
      </c>
      <c r="K4782" t="s">
        <v>44</v>
      </c>
      <c r="N4782" t="s">
        <v>45</v>
      </c>
      <c r="O4782" t="s">
        <v>46</v>
      </c>
      <c r="P4782" t="s">
        <v>45</v>
      </c>
      <c r="Q4782" t="s">
        <v>47</v>
      </c>
      <c r="R4782" t="s">
        <v>44</v>
      </c>
      <c r="S4782">
        <v>1</v>
      </c>
      <c r="W4782" s="3">
        <v>0</v>
      </c>
      <c r="X4782" t="s">
        <v>49</v>
      </c>
      <c r="Y4782">
        <v>0</v>
      </c>
      <c r="Z4782">
        <v>0</v>
      </c>
      <c r="AA4782" t="s">
        <v>49</v>
      </c>
      <c r="AB4782">
        <v>0</v>
      </c>
      <c r="AC4782" t="s">
        <v>49</v>
      </c>
      <c r="AD4782">
        <v>0</v>
      </c>
      <c r="AE4782">
        <v>10642331</v>
      </c>
      <c r="AF4782" t="s">
        <v>63</v>
      </c>
      <c r="AG4782" t="s">
        <v>9387</v>
      </c>
    </row>
    <row r="4783" spans="1:33" x14ac:dyDescent="0.35">
      <c r="A4783" s="1">
        <v>44563.552777777775</v>
      </c>
      <c r="B4783">
        <v>1186512</v>
      </c>
      <c r="C4783" t="s">
        <v>9680</v>
      </c>
      <c r="D4783" t="s">
        <v>76</v>
      </c>
      <c r="E4783" s="2">
        <v>41389</v>
      </c>
      <c r="F4783" t="str">
        <f>"9781466555440"</f>
        <v>9781466555440</v>
      </c>
      <c r="G4783" t="str">
        <f>"9781466555433"</f>
        <v>9781466555433</v>
      </c>
      <c r="H4783" t="s">
        <v>1040</v>
      </c>
      <c r="I4783">
        <v>543.65</v>
      </c>
      <c r="J4783" t="s">
        <v>9681</v>
      </c>
      <c r="K4783" t="s">
        <v>44</v>
      </c>
      <c r="N4783" t="s">
        <v>45</v>
      </c>
      <c r="O4783" t="s">
        <v>46</v>
      </c>
      <c r="P4783" t="s">
        <v>45</v>
      </c>
      <c r="Q4783" t="s">
        <v>47</v>
      </c>
      <c r="R4783" t="s">
        <v>44</v>
      </c>
      <c r="S4783">
        <v>0</v>
      </c>
      <c r="W4783" s="3">
        <v>5.3819444444444453E-3</v>
      </c>
      <c r="X4783" t="s">
        <v>9682</v>
      </c>
      <c r="Y4783">
        <v>5</v>
      </c>
      <c r="Z4783">
        <v>0</v>
      </c>
      <c r="AA4783" t="s">
        <v>49</v>
      </c>
      <c r="AB4783">
        <v>0</v>
      </c>
      <c r="AC4783" t="s">
        <v>49</v>
      </c>
      <c r="AD4783">
        <v>0</v>
      </c>
      <c r="AE4783">
        <v>10700006</v>
      </c>
      <c r="AF4783" t="s">
        <v>50</v>
      </c>
      <c r="AG4783" t="s">
        <v>9367</v>
      </c>
    </row>
    <row r="4784" spans="1:33" x14ac:dyDescent="0.35">
      <c r="A4784" s="1">
        <v>44563.504166666666</v>
      </c>
      <c r="B4784">
        <v>589099</v>
      </c>
      <c r="C4784" t="s">
        <v>8531</v>
      </c>
      <c r="D4784" t="s">
        <v>59</v>
      </c>
      <c r="E4784" s="2">
        <v>40498</v>
      </c>
      <c r="F4784" t="str">
        <f>"9780470825624"</f>
        <v>9780470825624</v>
      </c>
      <c r="G4784" t="str">
        <f>"9780470825617"</f>
        <v>9780470825617</v>
      </c>
      <c r="H4784" t="s">
        <v>546</v>
      </c>
      <c r="I4784">
        <v>621.38400000000001</v>
      </c>
      <c r="J4784" t="s">
        <v>8532</v>
      </c>
      <c r="K4784" t="s">
        <v>44</v>
      </c>
      <c r="N4784" t="s">
        <v>45</v>
      </c>
      <c r="O4784" t="s">
        <v>46</v>
      </c>
      <c r="P4784" t="s">
        <v>45</v>
      </c>
      <c r="Q4784" t="s">
        <v>47</v>
      </c>
      <c r="R4784" t="s">
        <v>44</v>
      </c>
      <c r="S4784">
        <v>0</v>
      </c>
      <c r="W4784" s="3">
        <v>1.638888888888889E-2</v>
      </c>
      <c r="X4784" t="s">
        <v>9683</v>
      </c>
      <c r="Y4784">
        <v>50</v>
      </c>
      <c r="Z4784">
        <v>0</v>
      </c>
      <c r="AA4784" t="s">
        <v>49</v>
      </c>
      <c r="AB4784">
        <v>0</v>
      </c>
      <c r="AC4784" t="s">
        <v>49</v>
      </c>
      <c r="AD4784">
        <v>0</v>
      </c>
      <c r="AE4784">
        <v>10412611</v>
      </c>
      <c r="AF4784" t="s">
        <v>50</v>
      </c>
      <c r="AG4784" t="s">
        <v>9367</v>
      </c>
    </row>
    <row r="4785" spans="1:33" x14ac:dyDescent="0.35">
      <c r="A4785" s="1">
        <v>44563.412499999999</v>
      </c>
      <c r="B4785">
        <v>886690</v>
      </c>
      <c r="C4785" t="s">
        <v>7970</v>
      </c>
      <c r="D4785" t="s">
        <v>125</v>
      </c>
      <c r="E4785" s="2">
        <v>38176</v>
      </c>
      <c r="F4785" t="str">
        <f>"9780191547393"</f>
        <v>9780191547393</v>
      </c>
      <c r="G4785" t="str">
        <f>"9780198613367"</f>
        <v>9780198613367</v>
      </c>
      <c r="H4785" t="s">
        <v>7971</v>
      </c>
      <c r="I4785">
        <v>793.74</v>
      </c>
      <c r="J4785" t="s">
        <v>7972</v>
      </c>
      <c r="K4785" t="s">
        <v>44</v>
      </c>
      <c r="N4785" t="s">
        <v>45</v>
      </c>
      <c r="O4785" t="s">
        <v>46</v>
      </c>
      <c r="P4785" t="s">
        <v>45</v>
      </c>
      <c r="Q4785" t="s">
        <v>47</v>
      </c>
      <c r="R4785" t="s">
        <v>44</v>
      </c>
      <c r="S4785">
        <v>0</v>
      </c>
      <c r="W4785" s="3">
        <v>7.5578703703703702E-3</v>
      </c>
      <c r="X4785" t="s">
        <v>9684</v>
      </c>
      <c r="Y4785">
        <v>15</v>
      </c>
      <c r="Z4785">
        <v>1</v>
      </c>
      <c r="AA4785" t="s">
        <v>9685</v>
      </c>
      <c r="AB4785">
        <v>12</v>
      </c>
      <c r="AC4785" t="s">
        <v>49</v>
      </c>
      <c r="AD4785">
        <v>0</v>
      </c>
      <c r="AE4785">
        <v>10537846</v>
      </c>
      <c r="AF4785" t="s">
        <v>50</v>
      </c>
      <c r="AG4785" t="s">
        <v>9367</v>
      </c>
    </row>
    <row r="4786" spans="1:33" x14ac:dyDescent="0.35">
      <c r="A4786" s="1">
        <v>44562.898611111108</v>
      </c>
      <c r="B4786">
        <v>886690</v>
      </c>
      <c r="C4786" t="s">
        <v>7970</v>
      </c>
      <c r="D4786" t="s">
        <v>125</v>
      </c>
      <c r="E4786" s="2">
        <v>38176</v>
      </c>
      <c r="F4786" t="str">
        <f>"9780191547393"</f>
        <v>9780191547393</v>
      </c>
      <c r="G4786" t="str">
        <f>"9780198613367"</f>
        <v>9780198613367</v>
      </c>
      <c r="H4786" t="s">
        <v>7971</v>
      </c>
      <c r="I4786">
        <v>793.74</v>
      </c>
      <c r="J4786" t="s">
        <v>7972</v>
      </c>
      <c r="K4786" t="s">
        <v>44</v>
      </c>
      <c r="N4786" t="s">
        <v>45</v>
      </c>
      <c r="O4786" t="s">
        <v>46</v>
      </c>
      <c r="P4786" t="s">
        <v>45</v>
      </c>
      <c r="Q4786" t="s">
        <v>47</v>
      </c>
      <c r="R4786" t="s">
        <v>44</v>
      </c>
      <c r="S4786">
        <v>0</v>
      </c>
      <c r="W4786" s="3">
        <v>1.8298611111111113E-2</v>
      </c>
      <c r="X4786" t="s">
        <v>9686</v>
      </c>
      <c r="Y4786">
        <v>22</v>
      </c>
      <c r="Z4786">
        <v>0</v>
      </c>
      <c r="AA4786" t="s">
        <v>49</v>
      </c>
      <c r="AB4786">
        <v>0</v>
      </c>
      <c r="AC4786" t="s">
        <v>49</v>
      </c>
      <c r="AD4786">
        <v>0</v>
      </c>
      <c r="AE4786">
        <v>10537846</v>
      </c>
      <c r="AF4786" t="s">
        <v>50</v>
      </c>
      <c r="AG4786" t="s">
        <v>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Ebooks Summary</vt:lpstr>
      <vt:lpstr>Ebooks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Zacharias</dc:creator>
  <cp:lastModifiedBy>Rani Anand</cp:lastModifiedBy>
  <dcterms:created xsi:type="dcterms:W3CDTF">2023-01-18T10:24:20Z</dcterms:created>
  <dcterms:modified xsi:type="dcterms:W3CDTF">2023-01-19T06:16:06Z</dcterms:modified>
</cp:coreProperties>
</file>