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CLIMB Operation\"/>
    </mc:Choice>
  </mc:AlternateContent>
  <xr:revisionPtr revIDLastSave="0" documentId="13_ncr:1_{81FAA508-9399-46E7-A940-80838FE9B455}" xr6:coauthVersionLast="47" xr6:coauthVersionMax="47" xr10:uidLastSave="{00000000-0000-0000-0000-000000000000}"/>
  <bookViews>
    <workbookView xWindow="19200" yWindow="0" windowWidth="19200" windowHeight="15600" xr2:uid="{00000000-000D-0000-FFFF-FFFF00000000}"/>
  </bookViews>
  <sheets>
    <sheet name="Power Budget CLIMB" sheetId="1" r:id="rId1"/>
    <sheet name="Power Dissipation Budget CLIMB" sheetId="4" r:id="rId2"/>
  </sheets>
  <definedNames>
    <definedName name="_ftn1" localSheetId="0">'Power Budget CLIMB'!$K$55</definedName>
    <definedName name="_ftn1" localSheetId="1">'Power Dissipation Budget CLIMB'!$G$48</definedName>
    <definedName name="_ftn2" localSheetId="0">'Power Budget CLIMB'!$K$56</definedName>
    <definedName name="_ftn2" localSheetId="1">'Power Dissipation Budget CLIMB'!$G$49</definedName>
    <definedName name="_ftn3" localSheetId="0">'Power Budget CLIMB'!$K$58</definedName>
    <definedName name="_ftn3" localSheetId="1">'Power Dissipation Budget CLIMB'!$G$50</definedName>
    <definedName name="_ftn4" localSheetId="0">'Power Budget CLIMB'!$K$59</definedName>
    <definedName name="_ftn4" localSheetId="1">'Power Dissipation Budget CLIMB'!$G$51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7" i="1" l="1"/>
  <c r="G11" i="1"/>
  <c r="G12" i="1" s="1"/>
  <c r="I74" i="1" l="1"/>
  <c r="I73" i="1"/>
  <c r="I72" i="1"/>
  <c r="AG29" i="1"/>
  <c r="L68" i="1"/>
  <c r="O68" i="1"/>
  <c r="L65" i="1"/>
  <c r="O65" i="1" s="1"/>
  <c r="L63" i="1"/>
  <c r="O63" i="1" s="1"/>
  <c r="L67" i="1"/>
  <c r="O67" i="1" s="1"/>
  <c r="O64" i="1"/>
  <c r="O66" i="1"/>
  <c r="L62" i="1"/>
  <c r="O62" i="1" s="1"/>
  <c r="G56" i="1" l="1"/>
  <c r="G62" i="1" s="1"/>
  <c r="J62" i="1" s="1"/>
  <c r="G41" i="1"/>
  <c r="AL36" i="1" l="1"/>
  <c r="AG36" i="1"/>
  <c r="AB36" i="1"/>
  <c r="W36" i="1"/>
  <c r="R36" i="1"/>
  <c r="M36" i="1"/>
  <c r="H36" i="1"/>
  <c r="AG38" i="1"/>
  <c r="AL19" i="1"/>
  <c r="AO31" i="1"/>
  <c r="AN31" i="1"/>
  <c r="AM31" i="1"/>
  <c r="AL31" i="1"/>
  <c r="AO30" i="1"/>
  <c r="AN30" i="1"/>
  <c r="AM30" i="1"/>
  <c r="AL30" i="1"/>
  <c r="AO29" i="1"/>
  <c r="AN29" i="1"/>
  <c r="AM29" i="1"/>
  <c r="AL29" i="1"/>
  <c r="AO28" i="1"/>
  <c r="AN28" i="1"/>
  <c r="AM28" i="1"/>
  <c r="AL28" i="1"/>
  <c r="AN27" i="1"/>
  <c r="AM27" i="1"/>
  <c r="AL27" i="1"/>
  <c r="AO26" i="1"/>
  <c r="AN26" i="1"/>
  <c r="AM26" i="1"/>
  <c r="AL26" i="1"/>
  <c r="AO25" i="1"/>
  <c r="AN25" i="1"/>
  <c r="AM25" i="1"/>
  <c r="AL25" i="1"/>
  <c r="AO24" i="1"/>
  <c r="AN24" i="1"/>
  <c r="AM24" i="1"/>
  <c r="AL24" i="1"/>
  <c r="AO23" i="1"/>
  <c r="AN23" i="1"/>
  <c r="AM23" i="1"/>
  <c r="AL23" i="1"/>
  <c r="AO22" i="1"/>
  <c r="AN22" i="1"/>
  <c r="AM22" i="1"/>
  <c r="AL22" i="1"/>
  <c r="AO21" i="1"/>
  <c r="AN21" i="1"/>
  <c r="AM21" i="1"/>
  <c r="AL21" i="1"/>
  <c r="AO20" i="1"/>
  <c r="AN20" i="1"/>
  <c r="AM20" i="1"/>
  <c r="AL20" i="1"/>
  <c r="AO19" i="1"/>
  <c r="AM19" i="1"/>
  <c r="AJ31" i="1"/>
  <c r="AI31" i="1"/>
  <c r="AH31" i="1"/>
  <c r="AG31" i="1"/>
  <c r="AJ30" i="1"/>
  <c r="AI30" i="1"/>
  <c r="AH30" i="1"/>
  <c r="AG30" i="1"/>
  <c r="AJ29" i="1"/>
  <c r="AI29" i="1"/>
  <c r="AH29" i="1"/>
  <c r="AJ28" i="1"/>
  <c r="AI28" i="1"/>
  <c r="AH28" i="1"/>
  <c r="AG28" i="1"/>
  <c r="AJ27" i="1"/>
  <c r="AI27" i="1"/>
  <c r="AH27" i="1"/>
  <c r="AJ26" i="1"/>
  <c r="AI26" i="1"/>
  <c r="AH26" i="1"/>
  <c r="AG26" i="1"/>
  <c r="AJ25" i="1"/>
  <c r="AI25" i="1"/>
  <c r="AH25" i="1"/>
  <c r="AG25" i="1"/>
  <c r="AJ24" i="1"/>
  <c r="AI24" i="1"/>
  <c r="AH24" i="1"/>
  <c r="AG24" i="1"/>
  <c r="AJ23" i="1"/>
  <c r="AI23" i="1"/>
  <c r="AH23" i="1"/>
  <c r="AG23" i="1"/>
  <c r="AJ22" i="1"/>
  <c r="AI22" i="1"/>
  <c r="AH22" i="1"/>
  <c r="AG22" i="1"/>
  <c r="AJ21" i="1"/>
  <c r="AI21" i="1"/>
  <c r="AH21" i="1"/>
  <c r="AG21" i="1"/>
  <c r="AJ20" i="1"/>
  <c r="AI20" i="1"/>
  <c r="AH20" i="1"/>
  <c r="AG20" i="1"/>
  <c r="AJ19" i="1"/>
  <c r="AH19" i="1"/>
  <c r="AG19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C19" i="1"/>
  <c r="AB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Z19" i="1"/>
  <c r="X19" i="1"/>
  <c r="W19" i="1"/>
  <c r="R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U19" i="1"/>
  <c r="S19" i="1"/>
  <c r="N19" i="1"/>
  <c r="M19" i="1"/>
  <c r="P19" i="1"/>
  <c r="K19" i="1"/>
  <c r="I19" i="1"/>
  <c r="H19" i="1"/>
  <c r="E19" i="1"/>
  <c r="C18" i="4"/>
  <c r="AI19" i="1" l="1"/>
  <c r="AD19" i="1"/>
  <c r="J19" i="1"/>
  <c r="X32" i="1"/>
  <c r="X34" i="1" s="1"/>
  <c r="T19" i="1"/>
  <c r="AN19" i="1"/>
  <c r="AN32" i="1"/>
  <c r="AN34" i="1" s="1"/>
  <c r="O19" i="1"/>
  <c r="O32" i="1"/>
  <c r="O34" i="1" s="1"/>
  <c r="Y19" i="1"/>
  <c r="Y32" i="1" s="1"/>
  <c r="Y34" i="1" s="1"/>
  <c r="AO32" i="1"/>
  <c r="AO34" i="1" s="1"/>
  <c r="P32" i="1"/>
  <c r="P34" i="1" s="1"/>
  <c r="AJ32" i="1"/>
  <c r="AJ34" i="1" s="1"/>
  <c r="AL32" i="1"/>
  <c r="AL34" i="1" s="1"/>
  <c r="AM32" i="1"/>
  <c r="AM34" i="1" s="1"/>
  <c r="AI32" i="1"/>
  <c r="AI34" i="1" s="1"/>
  <c r="AH32" i="1"/>
  <c r="AH34" i="1" s="1"/>
  <c r="AG32" i="1"/>
  <c r="AG34" i="1" s="1"/>
  <c r="AB32" i="1"/>
  <c r="AC32" i="1"/>
  <c r="AD32" i="1"/>
  <c r="AE32" i="1"/>
  <c r="H32" i="1"/>
  <c r="W32" i="1"/>
  <c r="W34" i="1" s="1"/>
  <c r="Z32" i="1"/>
  <c r="Z34" i="1" s="1"/>
  <c r="U32" i="1"/>
  <c r="U34" i="1" s="1"/>
  <c r="T32" i="1"/>
  <c r="T34" i="1" s="1"/>
  <c r="S32" i="1"/>
  <c r="S34" i="1" s="1"/>
  <c r="R32" i="1"/>
  <c r="R34" i="1" s="1"/>
  <c r="N32" i="1"/>
  <c r="N34" i="1" s="1"/>
  <c r="M32" i="1"/>
  <c r="M34" i="1" s="1"/>
  <c r="I32" i="1"/>
  <c r="J32" i="1"/>
  <c r="K32" i="1"/>
  <c r="AG35" i="1" l="1"/>
  <c r="AG37" i="1" s="1"/>
  <c r="G46" i="1"/>
  <c r="I46" i="1" s="1"/>
  <c r="G51" i="1"/>
  <c r="I51" i="1" s="1"/>
  <c r="G64" i="1" s="1"/>
  <c r="J64" i="1" s="1"/>
  <c r="J34" i="1"/>
  <c r="G45" i="1"/>
  <c r="I45" i="1" s="1"/>
  <c r="G50" i="1"/>
  <c r="I50" i="1" s="1"/>
  <c r="I34" i="1"/>
  <c r="M35" i="1"/>
  <c r="M39" i="1" s="1"/>
  <c r="AL35" i="1"/>
  <c r="AL37" i="1" s="1"/>
  <c r="K34" i="1"/>
  <c r="G52" i="1"/>
  <c r="I52" i="1" s="1"/>
  <c r="G66" i="1" s="1"/>
  <c r="J66" i="1" s="1"/>
  <c r="G47" i="1"/>
  <c r="I47" i="1" s="1"/>
  <c r="H34" i="1"/>
  <c r="G44" i="1"/>
  <c r="I44" i="1" s="1"/>
  <c r="G49" i="1"/>
  <c r="I49" i="1" s="1"/>
  <c r="G68" i="1" s="1"/>
  <c r="J68" i="1" s="1"/>
  <c r="W35" i="1"/>
  <c r="W39" i="1" s="1"/>
  <c r="R35" i="1"/>
  <c r="R39" i="1" s="1"/>
  <c r="AE34" i="1"/>
  <c r="AD34" i="1"/>
  <c r="AB34" i="1"/>
  <c r="AC34" i="1"/>
  <c r="S27" i="4"/>
  <c r="S26" i="4"/>
  <c r="Q26" i="4"/>
  <c r="O26" i="4"/>
  <c r="I26" i="4"/>
  <c r="E25" i="4"/>
  <c r="E24" i="4"/>
  <c r="E22" i="4"/>
  <c r="E21" i="4"/>
  <c r="E23" i="4"/>
  <c r="R37" i="1" l="1"/>
  <c r="G59" i="1"/>
  <c r="I59" i="1" s="1"/>
  <c r="AG39" i="1"/>
  <c r="G57" i="1"/>
  <c r="I57" i="1" s="1"/>
  <c r="W37" i="1"/>
  <c r="K49" i="1"/>
  <c r="M49" i="1" s="1"/>
  <c r="G67" i="1" s="1"/>
  <c r="J67" i="1" s="1"/>
  <c r="K44" i="1"/>
  <c r="M44" i="1" s="1"/>
  <c r="K47" i="1"/>
  <c r="M47" i="1" s="1"/>
  <c r="K52" i="1"/>
  <c r="M52" i="1" s="1"/>
  <c r="G65" i="1" s="1"/>
  <c r="J65" i="1" s="1"/>
  <c r="K46" i="1"/>
  <c r="M46" i="1" s="1"/>
  <c r="K51" i="1"/>
  <c r="M51" i="1" s="1"/>
  <c r="G63" i="1" s="1"/>
  <c r="J63" i="1" s="1"/>
  <c r="K45" i="1"/>
  <c r="M45" i="1" s="1"/>
  <c r="K50" i="1"/>
  <c r="M50" i="1" s="1"/>
  <c r="M37" i="1"/>
  <c r="H35" i="1"/>
  <c r="AL39" i="1"/>
  <c r="G55" i="1"/>
  <c r="G54" i="1"/>
  <c r="G58" i="1"/>
  <c r="I58" i="1" s="1"/>
  <c r="AB35" i="1"/>
  <c r="E20" i="4"/>
  <c r="K31" i="4"/>
  <c r="C19" i="4"/>
  <c r="F19" i="4"/>
  <c r="H19" i="4"/>
  <c r="J19" i="4"/>
  <c r="L19" i="4"/>
  <c r="N19" i="4"/>
  <c r="P19" i="4"/>
  <c r="R19" i="4"/>
  <c r="C20" i="4"/>
  <c r="F20" i="4"/>
  <c r="H20" i="4"/>
  <c r="J20" i="4"/>
  <c r="L20" i="4"/>
  <c r="N20" i="4"/>
  <c r="P20" i="4"/>
  <c r="R20" i="4"/>
  <c r="C21" i="4"/>
  <c r="F21" i="4"/>
  <c r="H21" i="4"/>
  <c r="J21" i="4"/>
  <c r="L21" i="4"/>
  <c r="N21" i="4"/>
  <c r="P21" i="4"/>
  <c r="R21" i="4"/>
  <c r="C22" i="4"/>
  <c r="F22" i="4"/>
  <c r="H22" i="4"/>
  <c r="J22" i="4"/>
  <c r="L22" i="4"/>
  <c r="N22" i="4"/>
  <c r="P22" i="4"/>
  <c r="R22" i="4"/>
  <c r="C23" i="4"/>
  <c r="F23" i="4"/>
  <c r="H23" i="4"/>
  <c r="J23" i="4"/>
  <c r="L23" i="4"/>
  <c r="N23" i="4"/>
  <c r="P23" i="4"/>
  <c r="R23" i="4"/>
  <c r="C24" i="4"/>
  <c r="F24" i="4"/>
  <c r="H24" i="4"/>
  <c r="J24" i="4"/>
  <c r="L24" i="4"/>
  <c r="N24" i="4"/>
  <c r="P24" i="4"/>
  <c r="R24" i="4"/>
  <c r="C25" i="4"/>
  <c r="F25" i="4"/>
  <c r="H25" i="4"/>
  <c r="J25" i="4"/>
  <c r="L25" i="4"/>
  <c r="N25" i="4"/>
  <c r="P25" i="4"/>
  <c r="R25" i="4"/>
  <c r="C26" i="4"/>
  <c r="F26" i="4"/>
  <c r="H26" i="4"/>
  <c r="J26" i="4"/>
  <c r="L26" i="4"/>
  <c r="N26" i="4"/>
  <c r="P26" i="4"/>
  <c r="R26" i="4"/>
  <c r="C27" i="4"/>
  <c r="C30" i="4" s="1"/>
  <c r="F27" i="4"/>
  <c r="H27" i="4"/>
  <c r="J27" i="4"/>
  <c r="L27" i="4"/>
  <c r="N27" i="4"/>
  <c r="P27" i="4"/>
  <c r="R27" i="4"/>
  <c r="C28" i="4"/>
  <c r="F28" i="4"/>
  <c r="H28" i="4"/>
  <c r="J28" i="4"/>
  <c r="L28" i="4"/>
  <c r="N28" i="4"/>
  <c r="P28" i="4"/>
  <c r="R28" i="4"/>
  <c r="H18" i="4"/>
  <c r="I18" i="4" s="1"/>
  <c r="J18" i="4"/>
  <c r="L18" i="4"/>
  <c r="N18" i="4"/>
  <c r="P18" i="4"/>
  <c r="R18" i="4"/>
  <c r="F18" i="4"/>
  <c r="H39" i="1" l="1"/>
  <c r="H37" i="1"/>
  <c r="AB37" i="1"/>
  <c r="AB39" i="1"/>
  <c r="G53" i="1" s="1"/>
  <c r="Q23" i="4"/>
  <c r="O28" i="4"/>
  <c r="M19" i="4"/>
  <c r="G24" i="4"/>
  <c r="M24" i="4"/>
  <c r="I25" i="4"/>
  <c r="G19" i="4"/>
  <c r="M23" i="4"/>
  <c r="K21" i="4"/>
  <c r="I21" i="4"/>
  <c r="Q21" i="4"/>
  <c r="O21" i="4"/>
  <c r="G21" i="4"/>
  <c r="S21" i="4"/>
  <c r="M21" i="4"/>
  <c r="S24" i="4"/>
  <c r="G23" i="4"/>
  <c r="Q19" i="4"/>
  <c r="K26" i="4"/>
  <c r="M26" i="4"/>
  <c r="G26" i="4"/>
  <c r="I24" i="4"/>
  <c r="Q24" i="4"/>
  <c r="O22" i="4"/>
  <c r="O20" i="4"/>
  <c r="I23" i="4"/>
  <c r="Q25" i="4"/>
  <c r="K24" i="4"/>
  <c r="S19" i="4"/>
  <c r="S22" i="4"/>
  <c r="I22" i="4"/>
  <c r="G22" i="4"/>
  <c r="M22" i="4"/>
  <c r="K22" i="4"/>
  <c r="Q22" i="4"/>
  <c r="M30" i="4"/>
  <c r="S30" i="4"/>
  <c r="G30" i="4"/>
  <c r="Q30" i="4"/>
  <c r="K30" i="4"/>
  <c r="O30" i="4"/>
  <c r="I30" i="4"/>
  <c r="I19" i="4"/>
  <c r="M25" i="4"/>
  <c r="S18" i="4"/>
  <c r="K18" i="4"/>
  <c r="O18" i="4"/>
  <c r="K28" i="4"/>
  <c r="Q28" i="4"/>
  <c r="K25" i="4"/>
  <c r="O19" i="4"/>
  <c r="S23" i="4"/>
  <c r="G18" i="4"/>
  <c r="S25" i="4"/>
  <c r="G25" i="4"/>
  <c r="K19" i="4"/>
  <c r="O24" i="4"/>
  <c r="G28" i="4"/>
  <c r="M28" i="4"/>
  <c r="S28" i="4"/>
  <c r="K23" i="4"/>
  <c r="O23" i="4"/>
  <c r="O25" i="4"/>
  <c r="Q18" i="4"/>
  <c r="M18" i="4"/>
  <c r="I28" i="4"/>
  <c r="K20" i="4"/>
  <c r="I20" i="4"/>
  <c r="Q20" i="4"/>
  <c r="G20" i="4"/>
  <c r="M20" i="4"/>
  <c r="S20" i="4"/>
  <c r="C29" i="4"/>
  <c r="G40" i="1" l="1"/>
  <c r="G42" i="1" s="1"/>
  <c r="O31" i="4"/>
  <c r="O27" i="4"/>
  <c r="G31" i="4"/>
  <c r="G27" i="4"/>
  <c r="M31" i="4"/>
  <c r="M27" i="4"/>
  <c r="I31" i="4"/>
  <c r="I27" i="4"/>
  <c r="Q31" i="4"/>
  <c r="Q27" i="4"/>
  <c r="S29" i="4"/>
  <c r="M29" i="4"/>
  <c r="G29" i="4"/>
  <c r="Q29" i="4"/>
  <c r="K29" i="4"/>
  <c r="K32" i="4" s="1"/>
  <c r="O29" i="4"/>
  <c r="I29" i="4"/>
  <c r="G32" i="4" l="1"/>
  <c r="I32" i="4"/>
  <c r="M32" i="4"/>
  <c r="Q32" i="4"/>
  <c r="O32" i="4"/>
  <c r="S31" i="4" l="1"/>
  <c r="S3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Repän Kaarel</author>
  </authors>
  <commentList>
    <comment ref="E19" authorId="0" shapeId="0" xr:uid="{832353B7-5811-4BB5-BB8D-A1A1B5B827D1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F19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F20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F21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"For STACIE-D the receiving Value is about 0,2Watt."</t>
        </r>
      </text>
    </comment>
    <comment ref="F22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STACIE-D has the maximum power dissipation as heat of 2,75 watts (with total power 3,75 W) [STACIE-D has a power dissipation of 2,75 Watt during TX @ 1 Watt HF power]</t>
        </r>
      </text>
    </comment>
    <comment ref="F23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STACIE-D has the maximum power dissipation as heat of 2,75 watts (with total power 3,75 W) [STACIE-D has a power dissipation of 2,75 Watt during TX @ 1 Watt HF power]</t>
        </r>
      </text>
    </comment>
    <comment ref="G2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L2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Q2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V2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F24" authorId="0" shapeId="0" xr:uid="{00000000-0006-0000-0000-00000E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"RX value depends on the Operation Mode of STACIE-S (only RX or mC active for collecting data, making pictures etc) (1W - 5 W)"</t>
        </r>
      </text>
    </comment>
    <comment ref="F25" authorId="0" shapeId="0" xr:uid="{00000000-0006-0000-0000-000010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"The TX value is following also the operation mode (only TX: 7 Watt"
E-mail Michael Taraba, 15.11.2018: "STACIE-S has a power dissipation of max 5Watt during TX @ 2 Watt HF power."</t>
        </r>
      </text>
    </comment>
    <comment ref="F26" authorId="0" shapeId="0" xr:uid="{00000000-0006-0000-0000-000011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"The TX value is following also the operation mode (only TX: 7 Watt, (for
more Operation up to 10 Watt)."
S-band 8 W power dissipation (mentioned in the general CLIMB meeting of July 2019)</t>
        </r>
      </text>
    </comment>
    <comment ref="F2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Min 0.82 W, avg in nadir pointing 1.13 W, 1 RW max torque 2.05 W (https://www.adcolemai.com/wp-content/uploads/2019/02/AMA-MAI-400-Datasheet.pdf).
CLIMB folder – AMA_ADACS_Systems.pdf: "The unit should be integrated into a system to be able to draw a maximum current of 1.7 amps for the IREHS system, or 2.1 amps for the star tracker system. However, this amperage would only occur for a fraction of the operation time under maximum wheel and magnetic torquer commanded torquer levels. The reactions wheels and magnetic torquers only draw a portion of maximum current per cycle, and generally are not synchronized. Actual peak power is 5.8W and 7.7W for the single tracker system."
</t>
        </r>
        <r>
          <rPr>
            <b/>
            <sz val="9"/>
            <color indexed="81"/>
            <rFont val="Tahoma"/>
            <family val="2"/>
          </rPr>
          <t xml:space="preserve">Giacomo Scomparin 21.01.2024
</t>
        </r>
        <r>
          <rPr>
            <sz val="9"/>
            <color indexed="81"/>
            <rFont val="Tahoma"/>
            <family val="2"/>
          </rPr>
          <t xml:space="preserve">According to CubeADCS for 2mNm maneuver, peak should be around 300mA at 12 V in our case,
whereas for Idle, max total current is 300 mA at 3.3V, 5V rail is used only for detumbling, excluding cubemag
</t>
        </r>
      </text>
    </comment>
    <comment ref="F3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ENP2017-002 (05/01): 
"Power budget
* Hot stand-by: 3.5 W
* Operation: 10 W – 4 W (depending on the Customer's settings)"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Repän Kaarel</author>
  </authors>
  <commentList>
    <comment ref="C18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C19" authorId="0" shapeId="0" xr:uid="{00000000-0006-0000-0100-000002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PEGASUS</t>
        </r>
      </text>
    </comment>
    <comment ref="C20" authorId="0" shapeId="0" xr:uid="{00000000-0006-0000-0100-000003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"For STACIE-D the receiving Value is about 0,2Watt."</t>
        </r>
      </text>
    </comment>
    <comment ref="E2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C21" authorId="0" shapeId="0" xr:uid="{00000000-0006-0000-0100-000005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STACIE-D has the maximum power dissipation as heat of 2,75 watts (with total power 3,75 W) [STACIE-D has a power dissipation of 2,75 Watt during TX @ 1 Watt HF power]</t>
        </r>
      </text>
    </comment>
    <comment ref="E2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J2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P2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STACIE-D has the maximum power dissipation as heat of 2,75 watts (with total power 3,75 W) [STACIE-D has a power dissipation of 2,75 Watt during TX @ 1 Watt HF power]</t>
        </r>
      </text>
    </comment>
    <comment ref="E22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F2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H2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J2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L2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N2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Cannot be on at the same time as Tx</t>
        </r>
      </text>
    </comment>
    <comment ref="P2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As PEGASUS</t>
        </r>
      </text>
    </comment>
    <comment ref="C23" authorId="0" shapeId="0" xr:uid="{00000000-0006-0000-0100-000011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"RX value depends on the Operation Mode of STACIE-S (only RX or mC active for collecting data, making pictures etc) (1W - 5 W)"</t>
        </r>
      </text>
    </comment>
    <comment ref="E23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P2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Rough estimation</t>
        </r>
      </text>
    </comment>
    <comment ref="C24" authorId="0" shapeId="0" xr:uid="{00000000-0006-0000-0100-000014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"The TX value is following also the operation mode (only TX: 7 Watt"
E-mail Michael Taraba, 15.11.2018: "STACIE-S has a power dissipation of max 5Watt during TX @ 2 Watt HF power."</t>
        </r>
      </text>
    </comment>
    <comment ref="E24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C25" authorId="0" shapeId="0" xr:uid="{00000000-0006-0000-0100-000016000000}">
      <text>
        <r>
          <rPr>
            <b/>
            <sz val="9"/>
            <color indexed="81"/>
            <rFont val="Segoe UI"/>
            <charset val="1"/>
          </rPr>
          <t>Repän Kaarel:</t>
        </r>
        <r>
          <rPr>
            <sz val="9"/>
            <color indexed="81"/>
            <rFont val="Segoe UI"/>
            <charset val="1"/>
          </rPr>
          <t xml:space="preserve">
E-mail Michael Taraba, 26.04.2019: "The TX value is following also the operation mode (only TX: 7 Watt, (for
more Operation up to 10 Watt)."
S-band 8 W power dissipation (mentioned in the general CLIMB meeting of July 2019)</t>
        </r>
      </text>
    </comment>
    <comment ref="E2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Estimated from the Tx efficiency</t>
        </r>
      </text>
    </comment>
    <comment ref="C2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Min 0.82 W, avg in nadir pointing 1.13 W, 1 RW max torque 2.05 W (https://www.adcolemai.com/wp-content/uploads/2019/02/AMA-MAI-400-Datasheet.pdf).
CLIMB folder – AMA_ADACS_Systems.pdf: "The unit should be integrated into a system to be able to draw a maximum current of 1.7 amps for the IREHS system, or 2.1 amps for the star tracker system. However, this amperage would only occur for a fraction of the operation time under maximum wheel and magnetic torquer commanded torquer levels. The reactions wheels and magnetic torquers only draw a portion of maximum current per cycle, and generally are not synchronized. Actual peak power is 5.8W and 7.7W for the single tracker system."</t>
        </r>
      </text>
    </comment>
    <comment ref="E26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Very rough estimation</t>
        </r>
      </text>
    </comment>
    <comment ref="I26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average nadir pointing power consumption</t>
        </r>
      </text>
    </comment>
    <comment ref="O26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average nadir pointing power consumption</t>
        </r>
      </text>
    </comment>
    <comment ref="Q26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average nadir pointing power consumption</t>
        </r>
      </text>
    </comment>
    <comment ref="S26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average nadir pointing power consumption</t>
        </r>
      </text>
    </comment>
    <comment ref="C2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Repän Kaarel:</t>
        </r>
        <r>
          <rPr>
            <sz val="9"/>
            <color indexed="81"/>
            <rFont val="Tahoma"/>
            <family val="2"/>
          </rPr>
          <t xml:space="preserve">
ENP2017-002 (05/01): 
"Power budget
* Hot stand-by: 3.5 W
* Operation: 10 W – 4 W (depending on the Customer's settings)"</t>
        </r>
      </text>
    </comment>
    <comment ref="G27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I27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M27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O2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Q2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"Power Budget
* Hot stand-by: 3.5 W"
"Hot Stand-By
In Standby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1.4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0 W"
Using the maximum values there would be a conflict with the hot stand-by power budget value. As such, the value is calculated from the heat fluxes.</t>
        </r>
      </text>
    </comment>
    <comment ref="S27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ENP2017-002 (05/01): 
"Normal Operation Mode (Continuous Thrust)
In Normal Operation Mode, the following maximum heat fluxes shall be considered on S/C level: –
* Q</t>
        </r>
        <r>
          <rPr>
            <vertAlign val="subscript"/>
            <sz val="9"/>
            <color indexed="81"/>
            <rFont val="Tahoma"/>
            <family val="2"/>
          </rPr>
          <t>HS</t>
        </r>
        <r>
          <rPr>
            <sz val="9"/>
            <color indexed="81"/>
            <rFont val="Tahoma"/>
            <charset val="1"/>
          </rPr>
          <t xml:space="preserve"> = 4 - 6 W
* Q</t>
        </r>
        <r>
          <rPr>
            <vertAlign val="subscript"/>
            <sz val="9"/>
            <color indexed="81"/>
            <rFont val="Tahoma"/>
            <family val="2"/>
          </rPr>
          <t>PCB</t>
        </r>
        <r>
          <rPr>
            <sz val="9"/>
            <color indexed="81"/>
            <rFont val="Tahoma"/>
            <charset val="1"/>
          </rPr>
          <t xml:space="preserve"> = &lt;1.5 W
* Q</t>
        </r>
        <r>
          <rPr>
            <vertAlign val="subscript"/>
            <sz val="9"/>
            <color indexed="81"/>
            <rFont val="Tahoma"/>
            <family val="2"/>
          </rPr>
          <t>EB</t>
        </r>
        <r>
          <rPr>
            <sz val="9"/>
            <color indexed="81"/>
            <rFont val="Tahoma"/>
            <charset val="1"/>
          </rPr>
          <t xml:space="preserve"> = 2 - 4 W
* Q</t>
        </r>
        <r>
          <rPr>
            <vertAlign val="subscript"/>
            <sz val="9"/>
            <color indexed="81"/>
            <rFont val="Tahoma"/>
            <family val="2"/>
          </rPr>
          <t>TP</t>
        </r>
        <r>
          <rPr>
            <sz val="9"/>
            <color indexed="81"/>
            <rFont val="Tahoma"/>
            <charset val="1"/>
          </rPr>
          <t xml:space="preserve"> = &lt; 2 W (TBC)"</t>
        </r>
      </text>
    </comment>
    <comment ref="C29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E-mail Thomas Riel, 15.11.2018: "As for the batteries: The power dissipation is highly temperature dependent and no simple answer is possible. But for the simulation you can assume P_d = 0.056*P_12V^2."</t>
        </r>
      </text>
    </comment>
    <comment ref="C30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Assumed same as discharging
E-mail Thomas Riel, 15.11.2018: "As for the batteries: The power dissipation is highly temperature dependent and no simple answer is possible. But for the simulation you can assume P_d = 0.056*P_12V^2."</t>
        </r>
      </text>
    </comment>
    <comment ref="C31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Repän Kaarel:</t>
        </r>
        <r>
          <rPr>
            <sz val="9"/>
            <color indexed="81"/>
            <rFont val="Tahoma"/>
            <charset val="1"/>
          </rPr>
          <t xml:space="preserve">
E-mail Thomas Riel, 15.11.2018: "Power dissipation of the 12V converters is approx. 11% of the power drawn from the 12V lines (P_12V)."</t>
        </r>
      </text>
    </comment>
  </commentList>
</comments>
</file>

<file path=xl/sharedStrings.xml><?xml version="1.0" encoding="utf-8"?>
<sst xmlns="http://schemas.openxmlformats.org/spreadsheetml/2006/main" count="249" uniqueCount="105">
  <si>
    <r>
      <rPr>
        <b/>
        <i/>
        <sz val="20"/>
        <color indexed="8"/>
        <rFont val="Calibri"/>
        <family val="2"/>
      </rPr>
      <t>CLIMB</t>
    </r>
    <r>
      <rPr>
        <b/>
        <sz val="20"/>
        <color indexed="8"/>
        <rFont val="Calibri"/>
        <family val="2"/>
      </rPr>
      <t xml:space="preserve"> Power Budget</t>
    </r>
  </si>
  <si>
    <t>Assumptions</t>
  </si>
  <si>
    <t>Altitude (km)</t>
  </si>
  <si>
    <t>Albedo (%)</t>
  </si>
  <si>
    <t>Attitude</t>
  </si>
  <si>
    <t>Orbit (minutes)</t>
  </si>
  <si>
    <t>Peak solar power (W)</t>
  </si>
  <si>
    <t>Avg Solar Power (W)</t>
  </si>
  <si>
    <t>Sun per Orbit (minutes)</t>
  </si>
  <si>
    <t>Average Duty Cycle by Mode (%)</t>
  </si>
  <si>
    <t>Loads</t>
  </si>
  <si>
    <t>Power Consumption (W@12V)</t>
  </si>
  <si>
    <t>Power Consumption (W@8V4)</t>
  </si>
  <si>
    <t>Power Consumption (W@3V3)</t>
  </si>
  <si>
    <t>Power Consumption (W@5V)</t>
  </si>
  <si>
    <t>De-tumbling mode</t>
  </si>
  <si>
    <t>De-tumbling mode (W)</t>
  </si>
  <si>
    <t>Science mode</t>
  </si>
  <si>
    <t>Science mode (W)</t>
  </si>
  <si>
    <t>Safe mode</t>
  </si>
  <si>
    <t>Safe mode (W)</t>
  </si>
  <si>
    <t>Recovery mode</t>
  </si>
  <si>
    <t>Recovery mode (W)</t>
  </si>
  <si>
    <t>Downlink mode</t>
  </si>
  <si>
    <t>Downlink mode (W)</t>
  </si>
  <si>
    <t>Cruise mode</t>
  </si>
  <si>
    <t>Cruise mode (W)</t>
  </si>
  <si>
    <t>Propulsion mode</t>
  </si>
  <si>
    <t>Propulsion mode (W)</t>
  </si>
  <si>
    <t>12V</t>
  </si>
  <si>
    <t>7V4</t>
  </si>
  <si>
    <t>3V3</t>
  </si>
  <si>
    <t>5V</t>
  </si>
  <si>
    <t>OBC</t>
  </si>
  <si>
    <t>PPU</t>
  </si>
  <si>
    <t>STACIE-D</t>
  </si>
  <si>
    <t>Rx</t>
  </si>
  <si>
    <t>Tx</t>
  </si>
  <si>
    <t>Beacon</t>
  </si>
  <si>
    <t>STACIE-S</t>
  </si>
  <si>
    <t>TRx</t>
  </si>
  <si>
    <t>ADCS</t>
  </si>
  <si>
    <t>Thruster</t>
  </si>
  <si>
    <t>Cold-standby</t>
  </si>
  <si>
    <t>Hot-standby</t>
  </si>
  <si>
    <t>Active</t>
  </si>
  <si>
    <t>Payload (Magnetometer, dosimeter)</t>
  </si>
  <si>
    <t>Sum loads (W)</t>
  </si>
  <si>
    <t>Efficiency (%)</t>
  </si>
  <si>
    <t>Power Consumed (W)</t>
  </si>
  <si>
    <t>Total Power Consumed (W)</t>
  </si>
  <si>
    <t>Power Generated (W) assuming orbit average</t>
  </si>
  <si>
    <t>Power Margin (%)</t>
  </si>
  <si>
    <t>Time of avg. Orbit (min)</t>
  </si>
  <si>
    <t>Energy during avg. Orbit (Wh)</t>
  </si>
  <si>
    <t>Total Energy per Orbit (Wh)</t>
  </si>
  <si>
    <t>Available Energy per Orbit (Wh)</t>
  </si>
  <si>
    <t>Energy Margin (%)</t>
  </si>
  <si>
    <t>Out level</t>
  </si>
  <si>
    <t>Bat. Level</t>
  </si>
  <si>
    <t>Avg. 12V load (W)</t>
  </si>
  <si>
    <t>W</t>
  </si>
  <si>
    <t>A</t>
  </si>
  <si>
    <t>Avg. 7V4 load (W)</t>
  </si>
  <si>
    <t>Avg. 3V3 load (W)</t>
  </si>
  <si>
    <t>Avg. 5V load (W)</t>
  </si>
  <si>
    <t>Max. 12V load (W)</t>
  </si>
  <si>
    <t>Max. 7V4 load (W)</t>
  </si>
  <si>
    <t>Max. 3V3 load (W)</t>
  </si>
  <si>
    <t>Max. 5V load (W)</t>
  </si>
  <si>
    <t>Worst Case Battery Draw (Wh)</t>
  </si>
  <si>
    <t>Wh</t>
  </si>
  <si>
    <t>Best Case Battery Draw (Wh)</t>
  </si>
  <si>
    <t>Peak Discharge Current (A)</t>
  </si>
  <si>
    <t>Peak Charge Current (A)</t>
  </si>
  <si>
    <t>Nominal Discharge Current (A)</t>
  </si>
  <si>
    <t>for 30 min</t>
  </si>
  <si>
    <t>Ah</t>
  </si>
  <si>
    <t>Nominal Peak Discharge Current (A)</t>
  </si>
  <si>
    <t>for 10 min</t>
  </si>
  <si>
    <t>Nominal Charge Current (A)</t>
  </si>
  <si>
    <t>for 50 min</t>
  </si>
  <si>
    <t>PSU -&gt; Bat</t>
  </si>
  <si>
    <t>V</t>
  </si>
  <si>
    <t>PSU -&gt; 3V3</t>
  </si>
  <si>
    <t>Si3865</t>
  </si>
  <si>
    <t>3V3 -&gt; OUT</t>
  </si>
  <si>
    <t>PSU -&gt; 5V</t>
  </si>
  <si>
    <t>5V -&gt; OUT</t>
  </si>
  <si>
    <t>Bat -&gt; 12V</t>
  </si>
  <si>
    <t>12V -&gt; OUT</t>
  </si>
  <si>
    <t>BTS 6143 D</t>
  </si>
  <si>
    <t>9V</t>
  </si>
  <si>
    <t>6V</t>
  </si>
  <si>
    <r>
      <rPr>
        <b/>
        <i/>
        <sz val="20"/>
        <color indexed="8"/>
        <rFont val="Calibri"/>
        <family val="2"/>
      </rPr>
      <t>CLIMB</t>
    </r>
    <r>
      <rPr>
        <b/>
        <sz val="20"/>
        <color indexed="8"/>
        <rFont val="Calibri"/>
        <family val="2"/>
      </rPr>
      <t xml:space="preserve"> Power Dissipation Budget</t>
    </r>
  </si>
  <si>
    <t>Power per solar cell (W)</t>
  </si>
  <si>
    <t>Any other assumptions</t>
  </si>
  <si>
    <t>Power Consumption (W)</t>
  </si>
  <si>
    <t>Number of Units ON</t>
  </si>
  <si>
    <t>x</t>
  </si>
  <si>
    <t>Battery unit</t>
  </si>
  <si>
    <t>Batteries dchar.</t>
  </si>
  <si>
    <t>Batteries charging</t>
  </si>
  <si>
    <t>Converters              (8--&gt; 12V)</t>
  </si>
  <si>
    <t>Heat dissipation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</si>
</sst>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i/>
      <sz val="20"/>
      <color indexed="8"/>
      <name val="Calibri"/>
      <family val="2"/>
    </font>
    <font>
      <i/>
      <sz val="11"/>
      <color indexed="10"/>
      <name val="Calibri"/>
      <family val="2"/>
    </font>
    <font>
      <i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62"/>
      <name val="Calibri"/>
      <family val="2"/>
    </font>
    <font>
      <sz val="11"/>
      <color rgb="FF1F497D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62"/>
      <name val="Calibri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2" fontId="0" fillId="4" borderId="4" xfId="0" applyNumberFormat="1" applyFill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9" borderId="4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 wrapText="1"/>
    </xf>
    <xf numFmtId="0" fontId="7" fillId="9" borderId="20" xfId="0" applyFont="1" applyFill="1" applyBorder="1" applyAlignment="1">
      <alignment horizontal="center" wrapText="1"/>
    </xf>
    <xf numFmtId="165" fontId="7" fillId="9" borderId="20" xfId="0" applyNumberFormat="1" applyFont="1" applyFill="1" applyBorder="1" applyAlignment="1">
      <alignment horizontal="center"/>
    </xf>
    <xf numFmtId="165" fontId="7" fillId="9" borderId="4" xfId="0" applyNumberFormat="1" applyFont="1" applyFill="1" applyBorder="1" applyAlignment="1">
      <alignment horizontal="center"/>
    </xf>
    <xf numFmtId="2" fontId="7" fillId="10" borderId="20" xfId="0" applyNumberFormat="1" applyFont="1" applyFill="1" applyBorder="1" applyAlignment="1">
      <alignment horizontal="center"/>
    </xf>
    <xf numFmtId="165" fontId="7" fillId="11" borderId="20" xfId="0" applyNumberFormat="1" applyFont="1" applyFill="1" applyBorder="1" applyAlignment="1">
      <alignment horizontal="center"/>
    </xf>
    <xf numFmtId="0" fontId="7" fillId="9" borderId="27" xfId="0" applyFon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 wrapText="1"/>
    </xf>
    <xf numFmtId="165" fontId="7" fillId="9" borderId="20" xfId="0" applyNumberFormat="1" applyFont="1" applyFill="1" applyBorder="1" applyAlignment="1">
      <alignment horizontal="center" wrapText="1"/>
    </xf>
    <xf numFmtId="2" fontId="7" fillId="9" borderId="4" xfId="0" applyNumberFormat="1" applyFont="1" applyFill="1" applyBorder="1" applyAlignment="1">
      <alignment horizontal="center"/>
    </xf>
    <xf numFmtId="2" fontId="7" fillId="12" borderId="20" xfId="0" applyNumberFormat="1" applyFont="1" applyFill="1" applyBorder="1" applyAlignment="1">
      <alignment horizontal="center"/>
    </xf>
    <xf numFmtId="2" fontId="7" fillId="12" borderId="20" xfId="0" applyNumberFormat="1" applyFont="1" applyFill="1" applyBorder="1" applyAlignment="1">
      <alignment horizontal="center" wrapText="1"/>
    </xf>
    <xf numFmtId="165" fontId="7" fillId="14" borderId="20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2" fontId="17" fillId="10" borderId="20" xfId="0" applyNumberFormat="1" applyFont="1" applyFill="1" applyBorder="1" applyAlignment="1">
      <alignment horizontal="center"/>
    </xf>
    <xf numFmtId="0" fontId="6" fillId="4" borderId="13" xfId="0" applyFont="1" applyFill="1" applyBorder="1" applyAlignment="1">
      <alignment horizontal="left" wrapText="1"/>
    </xf>
    <xf numFmtId="0" fontId="0" fillId="14" borderId="0" xfId="0" applyFill="1"/>
    <xf numFmtId="0" fontId="6" fillId="14" borderId="15" xfId="0" applyFont="1" applyFill="1" applyBorder="1"/>
    <xf numFmtId="0" fontId="6" fillId="14" borderId="13" xfId="0" applyFont="1" applyFill="1" applyBorder="1"/>
    <xf numFmtId="2" fontId="6" fillId="14" borderId="13" xfId="1" applyNumberFormat="1" applyFont="1" applyFill="1" applyBorder="1" applyAlignment="1"/>
    <xf numFmtId="0" fontId="0" fillId="15" borderId="0" xfId="0" applyFill="1"/>
    <xf numFmtId="2" fontId="6" fillId="15" borderId="13" xfId="1" applyNumberFormat="1" applyFont="1" applyFill="1" applyBorder="1" applyAlignment="1">
      <alignment horizontal="left"/>
    </xf>
    <xf numFmtId="0" fontId="6" fillId="15" borderId="15" xfId="0" applyFont="1" applyFill="1" applyBorder="1" applyAlignment="1">
      <alignment horizontal="left"/>
    </xf>
    <xf numFmtId="0" fontId="6" fillId="15" borderId="13" xfId="0" applyFont="1" applyFill="1" applyBorder="1" applyAlignment="1">
      <alignment horizontal="left"/>
    </xf>
    <xf numFmtId="9" fontId="6" fillId="15" borderId="13" xfId="1" applyFont="1" applyFill="1" applyBorder="1" applyAlignment="1">
      <alignment horizontal="left"/>
    </xf>
    <xf numFmtId="2" fontId="19" fillId="15" borderId="13" xfId="1" applyNumberFormat="1" applyFont="1" applyFill="1" applyBorder="1" applyAlignment="1">
      <alignment horizontal="left"/>
    </xf>
    <xf numFmtId="2" fontId="19" fillId="14" borderId="13" xfId="1" applyNumberFormat="1" applyFont="1" applyFill="1" applyBorder="1" applyAlignment="1"/>
    <xf numFmtId="9" fontId="19" fillId="15" borderId="15" xfId="1" applyFont="1" applyFill="1" applyBorder="1" applyAlignment="1">
      <alignment horizontal="left"/>
    </xf>
    <xf numFmtId="0" fontId="0" fillId="15" borderId="29" xfId="0" applyFill="1" applyBorder="1"/>
    <xf numFmtId="2" fontId="19" fillId="15" borderId="13" xfId="1" applyNumberFormat="1" applyFont="1" applyFill="1" applyBorder="1" applyAlignment="1">
      <alignment horizontal="right"/>
    </xf>
    <xf numFmtId="9" fontId="19" fillId="15" borderId="13" xfId="1" applyFont="1" applyFill="1" applyBorder="1" applyAlignment="1">
      <alignment horizontal="left"/>
    </xf>
    <xf numFmtId="2" fontId="19" fillId="15" borderId="15" xfId="1" applyNumberFormat="1" applyFont="1" applyFill="1" applyBorder="1" applyAlignment="1">
      <alignment horizontal="right"/>
    </xf>
    <xf numFmtId="2" fontId="19" fillId="14" borderId="15" xfId="1" applyNumberFormat="1" applyFont="1" applyFill="1" applyBorder="1" applyAlignment="1"/>
    <xf numFmtId="2" fontId="19" fillId="14" borderId="15" xfId="1" applyNumberFormat="1" applyFont="1" applyFill="1" applyBorder="1" applyAlignment="1">
      <alignment horizontal="right"/>
    </xf>
    <xf numFmtId="2" fontId="20" fillId="15" borderId="15" xfId="1" applyNumberFormat="1" applyFont="1" applyFill="1" applyBorder="1" applyAlignment="1">
      <alignment horizontal="right"/>
    </xf>
    <xf numFmtId="0" fontId="18" fillId="15" borderId="29" xfId="0" applyFont="1" applyFill="1" applyBorder="1"/>
    <xf numFmtId="2" fontId="20" fillId="15" borderId="13" xfId="1" applyNumberFormat="1" applyFont="1" applyFill="1" applyBorder="1" applyAlignment="1">
      <alignment horizontal="right"/>
    </xf>
    <xf numFmtId="2" fontId="20" fillId="15" borderId="13" xfId="1" applyNumberFormat="1" applyFont="1" applyFill="1" applyBorder="1" applyAlignment="1">
      <alignment horizontal="left"/>
    </xf>
    <xf numFmtId="2" fontId="21" fillId="15" borderId="15" xfId="1" applyNumberFormat="1" applyFont="1" applyFill="1" applyBorder="1" applyAlignment="1">
      <alignment horizontal="right"/>
    </xf>
    <xf numFmtId="0" fontId="22" fillId="15" borderId="29" xfId="0" applyFont="1" applyFill="1" applyBorder="1"/>
    <xf numFmtId="2" fontId="19" fillId="0" borderId="0" xfId="1" applyNumberFormat="1" applyFont="1" applyFill="1" applyBorder="1" applyAlignment="1"/>
    <xf numFmtId="43" fontId="0" fillId="0" borderId="0" xfId="2" applyFont="1"/>
    <xf numFmtId="9" fontId="0" fillId="0" borderId="0" xfId="0" applyNumberFormat="1"/>
    <xf numFmtId="2" fontId="0" fillId="0" borderId="0" xfId="0" applyNumberFormat="1"/>
    <xf numFmtId="43" fontId="23" fillId="0" borderId="0" xfId="0" applyNumberFormat="1" applyFont="1"/>
    <xf numFmtId="0" fontId="23" fillId="0" borderId="0" xfId="0" applyFont="1"/>
    <xf numFmtId="43" fontId="0" fillId="0" borderId="0" xfId="2" applyFont="1" applyFill="1"/>
    <xf numFmtId="10" fontId="0" fillId="0" borderId="0" xfId="1" applyNumberFormat="1" applyFont="1"/>
    <xf numFmtId="0" fontId="6" fillId="4" borderId="15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left" wrapText="1"/>
    </xf>
    <xf numFmtId="0" fontId="6" fillId="4" borderId="13" xfId="0" applyFont="1" applyFill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2" fontId="7" fillId="0" borderId="13" xfId="0" applyNumberFormat="1" applyFont="1" applyBorder="1" applyAlignment="1">
      <alignment horizontal="left" wrapText="1"/>
    </xf>
    <xf numFmtId="0" fontId="6" fillId="4" borderId="16" xfId="0" applyFont="1" applyFill="1" applyBorder="1" applyAlignment="1">
      <alignment horizontal="left" wrapText="1"/>
    </xf>
    <xf numFmtId="0" fontId="6" fillId="4" borderId="17" xfId="0" applyFont="1" applyFill="1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2" fontId="0" fillId="4" borderId="15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9" fontId="0" fillId="8" borderId="15" xfId="1" applyFont="1" applyFill="1" applyBorder="1" applyAlignment="1">
      <alignment horizontal="center"/>
    </xf>
    <xf numFmtId="9" fontId="0" fillId="8" borderId="13" xfId="1" applyFont="1" applyFill="1" applyBorder="1" applyAlignment="1">
      <alignment horizontal="center"/>
    </xf>
    <xf numFmtId="9" fontId="0" fillId="8" borderId="14" xfId="1" applyFont="1" applyFill="1" applyBorder="1" applyAlignment="1">
      <alignment horizontal="center"/>
    </xf>
    <xf numFmtId="9" fontId="6" fillId="4" borderId="15" xfId="1" applyFont="1" applyFill="1" applyBorder="1" applyAlignment="1">
      <alignment horizontal="left"/>
    </xf>
    <xf numFmtId="9" fontId="6" fillId="4" borderId="13" xfId="1" applyFont="1" applyFill="1" applyBorder="1" applyAlignment="1">
      <alignment horizontal="left"/>
    </xf>
    <xf numFmtId="0" fontId="6" fillId="15" borderId="15" xfId="0" applyFont="1" applyFill="1" applyBorder="1" applyAlignment="1">
      <alignment horizontal="left"/>
    </xf>
    <xf numFmtId="0" fontId="6" fillId="15" borderId="13" xfId="0" applyFont="1" applyFill="1" applyBorder="1" applyAlignment="1">
      <alignment horizontal="left"/>
    </xf>
    <xf numFmtId="2" fontId="6" fillId="4" borderId="15" xfId="0" applyNumberFormat="1" applyFont="1" applyFill="1" applyBorder="1" applyAlignment="1">
      <alignment horizontal="left"/>
    </xf>
    <xf numFmtId="2" fontId="6" fillId="4" borderId="13" xfId="0" applyNumberFormat="1" applyFont="1" applyFill="1" applyBorder="1" applyAlignment="1">
      <alignment horizontal="left"/>
    </xf>
    <xf numFmtId="0" fontId="6" fillId="14" borderId="15" xfId="0" applyFont="1" applyFill="1" applyBorder="1" applyAlignment="1">
      <alignment horizontal="left"/>
    </xf>
    <xf numFmtId="0" fontId="6" fillId="14" borderId="13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center" wrapText="1"/>
    </xf>
    <xf numFmtId="0" fontId="6" fillId="4" borderId="13" xfId="0" applyFont="1" applyFill="1" applyBorder="1" applyAlignment="1">
      <alignment horizontal="center" wrapText="1"/>
    </xf>
    <xf numFmtId="0" fontId="6" fillId="4" borderId="14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6" fillId="4" borderId="16" xfId="0" applyFont="1" applyFill="1" applyBorder="1" applyAlignment="1">
      <alignment horizontal="center" wrapText="1"/>
    </xf>
    <xf numFmtId="0" fontId="6" fillId="4" borderId="17" xfId="0" applyFont="1" applyFill="1" applyBorder="1" applyAlignment="1">
      <alignment horizontal="center" wrapText="1"/>
    </xf>
    <xf numFmtId="0" fontId="6" fillId="4" borderId="18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7" fillId="13" borderId="27" xfId="0" applyFont="1" applyFill="1" applyBorder="1" applyAlignment="1">
      <alignment horizontal="center" vertical="top"/>
    </xf>
    <xf numFmtId="0" fontId="0" fillId="13" borderId="28" xfId="0" applyFill="1" applyBorder="1" applyAlignment="1">
      <alignment horizontal="center" vertical="top"/>
    </xf>
    <xf numFmtId="0" fontId="0" fillId="13" borderId="20" xfId="0" applyFill="1" applyBorder="1" applyAlignment="1">
      <alignment horizontal="center" vertical="top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716280</xdr:colOff>
      <xdr:row>10</xdr:row>
      <xdr:rowOff>144780</xdr:rowOff>
    </xdr:from>
    <xdr:to>
      <xdr:col>51</xdr:col>
      <xdr:colOff>361139</xdr:colOff>
      <xdr:row>30</xdr:row>
      <xdr:rowOff>435675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39105" y="1925955"/>
          <a:ext cx="6672404" cy="4386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200025</xdr:colOff>
      <xdr:row>13</xdr:row>
      <xdr:rowOff>133350</xdr:rowOff>
    </xdr:from>
    <xdr:to>
      <xdr:col>29</xdr:col>
      <xdr:colOff>589739</xdr:colOff>
      <xdr:row>33</xdr:row>
      <xdr:rowOff>47055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97025" y="2476500"/>
          <a:ext cx="6485714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4"/>
  <sheetViews>
    <sheetView tabSelected="1" zoomScaleNormal="10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ColWidth="9.140625" defaultRowHeight="15" x14ac:dyDescent="0.25"/>
  <cols>
    <col min="1" max="1" width="20.5703125" customWidth="1"/>
    <col min="2" max="2" width="12.85546875" bestFit="1" customWidth="1"/>
    <col min="3" max="5" width="16.5703125" customWidth="1"/>
    <col min="6" max="6" width="17.5703125" customWidth="1"/>
    <col min="7" max="7" width="10" customWidth="1"/>
    <col min="8" max="8" width="8.5703125" customWidth="1"/>
    <col min="9" max="9" width="8.140625" customWidth="1"/>
    <col min="10" max="10" width="8.5703125" customWidth="1"/>
    <col min="11" max="11" width="6.5703125" bestFit="1" customWidth="1"/>
    <col min="12" max="21" width="10" customWidth="1"/>
    <col min="22" max="26" width="9.85546875" customWidth="1"/>
    <col min="27" max="31" width="11" customWidth="1"/>
    <col min="32" max="36" width="10.28515625" customWidth="1"/>
    <col min="37" max="41" width="10.7109375" customWidth="1"/>
  </cols>
  <sheetData>
    <row r="1" spans="1:41" x14ac:dyDescent="0.25">
      <c r="A1" s="66" t="s">
        <v>0</v>
      </c>
      <c r="B1" s="67"/>
      <c r="C1" s="67"/>
      <c r="D1" s="67"/>
      <c r="E1" s="67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</row>
    <row r="2" spans="1:41" x14ac:dyDescent="0.25">
      <c r="A2" s="69"/>
      <c r="B2" s="70"/>
      <c r="C2" s="70"/>
      <c r="D2" s="70"/>
      <c r="E2" s="70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</row>
    <row r="3" spans="1:41" ht="15.75" thickBot="1" x14ac:dyDescent="0.3">
      <c r="A3" s="72"/>
      <c r="B3" s="73"/>
      <c r="C3" s="73"/>
      <c r="D3" s="73"/>
      <c r="E3" s="73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</row>
    <row r="5" spans="1:41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3.5" customHeight="1" thickTop="1" x14ac:dyDescent="0.25">
      <c r="A6" s="75"/>
      <c r="B6" s="76"/>
      <c r="C6" s="76"/>
      <c r="D6" s="76"/>
      <c r="E6" s="76"/>
      <c r="F6" s="76"/>
      <c r="G6" s="77" t="s">
        <v>1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9"/>
    </row>
    <row r="7" spans="1:41" ht="13.5" customHeight="1" x14ac:dyDescent="0.25">
      <c r="A7" s="80" t="s">
        <v>2</v>
      </c>
      <c r="B7" s="81"/>
      <c r="C7" s="81"/>
      <c r="D7" s="81"/>
      <c r="E7" s="81"/>
      <c r="F7" s="81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</row>
    <row r="8" spans="1:41" ht="13.5" customHeight="1" x14ac:dyDescent="0.25">
      <c r="A8" s="80" t="s">
        <v>3</v>
      </c>
      <c r="B8" s="81"/>
      <c r="C8" s="81"/>
      <c r="D8" s="81"/>
      <c r="E8" s="81"/>
      <c r="F8" s="81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</row>
    <row r="9" spans="1:41" ht="13.5" customHeight="1" x14ac:dyDescent="0.25">
      <c r="A9" s="80" t="s">
        <v>4</v>
      </c>
      <c r="B9" s="81"/>
      <c r="C9" s="81"/>
      <c r="D9" s="81"/>
      <c r="E9" s="81"/>
      <c r="F9" s="81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</row>
    <row r="10" spans="1:41" ht="13.5" customHeight="1" x14ac:dyDescent="0.25">
      <c r="A10" s="80" t="s">
        <v>5</v>
      </c>
      <c r="B10" s="81"/>
      <c r="C10" s="81"/>
      <c r="D10" s="81"/>
      <c r="E10" s="81"/>
      <c r="F10" s="81"/>
      <c r="G10" s="82">
        <v>90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</row>
    <row r="11" spans="1:41" ht="13.5" customHeight="1" x14ac:dyDescent="0.25">
      <c r="A11" s="80" t="s">
        <v>6</v>
      </c>
      <c r="B11" s="81"/>
      <c r="C11" s="27"/>
      <c r="D11" s="27"/>
      <c r="E11" s="27"/>
      <c r="F11" s="27"/>
      <c r="G11" s="83">
        <f>(4*7+2*7*0.707)*85%</f>
        <v>32.213299999999997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ht="13.5" customHeight="1" x14ac:dyDescent="0.25">
      <c r="A12" s="80" t="s">
        <v>7</v>
      </c>
      <c r="B12" s="81"/>
      <c r="C12" s="81"/>
      <c r="D12" s="81"/>
      <c r="E12" s="81"/>
      <c r="F12" s="81"/>
      <c r="G12" s="83">
        <f>G11*G13/G10</f>
        <v>25.054788888888883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ht="13.5" customHeight="1" thickBot="1" x14ac:dyDescent="0.3">
      <c r="A13" s="84" t="s">
        <v>8</v>
      </c>
      <c r="B13" s="85"/>
      <c r="C13" s="85"/>
      <c r="D13" s="85"/>
      <c r="E13" s="85"/>
      <c r="F13" s="85"/>
      <c r="G13" s="82">
        <v>70</v>
      </c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</row>
    <row r="14" spans="1:41" ht="13.5" customHeight="1" thickTop="1" x14ac:dyDescent="0.25">
      <c r="A14" s="2"/>
      <c r="B14" s="2"/>
      <c r="C14" s="2"/>
      <c r="D14" s="2"/>
      <c r="E14" s="2"/>
      <c r="F14" s="2"/>
    </row>
    <row r="15" spans="1:41" ht="15.75" thickBot="1" x14ac:dyDescent="0.3"/>
    <row r="16" spans="1:41" ht="15.75" thickTop="1" x14ac:dyDescent="0.25">
      <c r="A16" s="86"/>
      <c r="B16" s="87"/>
      <c r="C16" s="87"/>
      <c r="D16" s="87"/>
      <c r="E16" s="87"/>
      <c r="F16" s="87"/>
      <c r="G16" s="88" t="s">
        <v>9</v>
      </c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</row>
    <row r="17" spans="1:50" ht="15" customHeight="1" x14ac:dyDescent="0.25">
      <c r="A17" s="90" t="s">
        <v>10</v>
      </c>
      <c r="B17" s="91"/>
      <c r="C17" s="64" t="s">
        <v>11</v>
      </c>
      <c r="D17" s="64" t="s">
        <v>12</v>
      </c>
      <c r="E17" s="64" t="s">
        <v>13</v>
      </c>
      <c r="F17" s="64" t="s">
        <v>14</v>
      </c>
      <c r="G17" s="62" t="s">
        <v>15</v>
      </c>
      <c r="H17" s="94" t="s">
        <v>16</v>
      </c>
      <c r="I17" s="95"/>
      <c r="J17" s="95"/>
      <c r="K17" s="96"/>
      <c r="L17" s="62" t="s">
        <v>17</v>
      </c>
      <c r="M17" s="94" t="s">
        <v>18</v>
      </c>
      <c r="N17" s="95"/>
      <c r="O17" s="95"/>
      <c r="P17" s="96"/>
      <c r="Q17" s="62" t="s">
        <v>19</v>
      </c>
      <c r="R17" s="94" t="s">
        <v>20</v>
      </c>
      <c r="S17" s="95"/>
      <c r="T17" s="95"/>
      <c r="U17" s="96"/>
      <c r="V17" s="62" t="s">
        <v>21</v>
      </c>
      <c r="W17" s="94" t="s">
        <v>22</v>
      </c>
      <c r="X17" s="95"/>
      <c r="Y17" s="95"/>
      <c r="Z17" s="96"/>
      <c r="AA17" s="62" t="s">
        <v>23</v>
      </c>
      <c r="AB17" s="94" t="s">
        <v>24</v>
      </c>
      <c r="AC17" s="95"/>
      <c r="AD17" s="95"/>
      <c r="AE17" s="96"/>
      <c r="AF17" s="62" t="s">
        <v>25</v>
      </c>
      <c r="AG17" s="94" t="s">
        <v>26</v>
      </c>
      <c r="AH17" s="95"/>
      <c r="AI17" s="95"/>
      <c r="AJ17" s="96"/>
      <c r="AK17" s="62" t="s">
        <v>27</v>
      </c>
      <c r="AL17" s="94" t="s">
        <v>28</v>
      </c>
      <c r="AM17" s="95"/>
      <c r="AN17" s="95"/>
      <c r="AO17" s="96"/>
    </row>
    <row r="18" spans="1:50" ht="51.75" customHeight="1" thickBot="1" x14ac:dyDescent="0.3">
      <c r="A18" s="92"/>
      <c r="B18" s="93"/>
      <c r="C18" s="65"/>
      <c r="D18" s="65"/>
      <c r="E18" s="65"/>
      <c r="F18" s="65"/>
      <c r="G18" s="63"/>
      <c r="H18" s="25" t="s">
        <v>29</v>
      </c>
      <c r="I18" s="25" t="s">
        <v>30</v>
      </c>
      <c r="J18" s="25" t="s">
        <v>31</v>
      </c>
      <c r="K18" s="25" t="s">
        <v>32</v>
      </c>
      <c r="L18" s="63"/>
      <c r="M18" s="25" t="s">
        <v>29</v>
      </c>
      <c r="N18" s="25" t="s">
        <v>30</v>
      </c>
      <c r="O18" s="25" t="s">
        <v>31</v>
      </c>
      <c r="P18" s="25" t="s">
        <v>32</v>
      </c>
      <c r="Q18" s="63"/>
      <c r="R18" s="25" t="s">
        <v>29</v>
      </c>
      <c r="S18" s="25" t="s">
        <v>30</v>
      </c>
      <c r="T18" s="25" t="s">
        <v>31</v>
      </c>
      <c r="U18" s="25" t="s">
        <v>32</v>
      </c>
      <c r="V18" s="63"/>
      <c r="W18" s="25" t="s">
        <v>29</v>
      </c>
      <c r="X18" s="25" t="s">
        <v>30</v>
      </c>
      <c r="Y18" s="25" t="s">
        <v>31</v>
      </c>
      <c r="Z18" s="25" t="s">
        <v>32</v>
      </c>
      <c r="AA18" s="63"/>
      <c r="AB18" s="25" t="s">
        <v>29</v>
      </c>
      <c r="AC18" s="25" t="s">
        <v>30</v>
      </c>
      <c r="AD18" s="25" t="s">
        <v>31</v>
      </c>
      <c r="AE18" s="25" t="s">
        <v>32</v>
      </c>
      <c r="AF18" s="63"/>
      <c r="AG18" s="25" t="s">
        <v>29</v>
      </c>
      <c r="AH18" s="25" t="s">
        <v>30</v>
      </c>
      <c r="AI18" s="25" t="s">
        <v>31</v>
      </c>
      <c r="AJ18" s="25" t="s">
        <v>32</v>
      </c>
      <c r="AK18" s="63"/>
      <c r="AL18" s="25" t="s">
        <v>29</v>
      </c>
      <c r="AM18" s="25" t="s">
        <v>30</v>
      </c>
      <c r="AN18" s="25" t="s">
        <v>31</v>
      </c>
      <c r="AO18" s="25" t="s">
        <v>32</v>
      </c>
    </row>
    <row r="19" spans="1:50" ht="15.75" thickTop="1" x14ac:dyDescent="0.25">
      <c r="A19" s="11" t="s">
        <v>33</v>
      </c>
      <c r="B19" s="11"/>
      <c r="C19" s="11">
        <v>0</v>
      </c>
      <c r="D19" s="11">
        <v>0</v>
      </c>
      <c r="E19" s="11">
        <f>3.3*0.1</f>
        <v>0.33</v>
      </c>
      <c r="F19" s="11">
        <v>0</v>
      </c>
      <c r="G19" s="12">
        <v>100</v>
      </c>
      <c r="H19" s="26">
        <f>$C19*G19/100</f>
        <v>0</v>
      </c>
      <c r="I19" s="26">
        <f>$D19*G19/100</f>
        <v>0</v>
      </c>
      <c r="J19" s="26">
        <f>$E19*G19/100</f>
        <v>0.33</v>
      </c>
      <c r="K19" s="26">
        <f>$F19*G19/100</f>
        <v>0</v>
      </c>
      <c r="L19" s="12">
        <v>100</v>
      </c>
      <c r="M19" s="26">
        <f>$C19*L19/100</f>
        <v>0</v>
      </c>
      <c r="N19" s="26">
        <f>$D19*L19/100</f>
        <v>0</v>
      </c>
      <c r="O19" s="26">
        <f>$E19*L19/100</f>
        <v>0.33</v>
      </c>
      <c r="P19" s="26">
        <f>$F19*L19/100</f>
        <v>0</v>
      </c>
      <c r="Q19" s="12">
        <v>20</v>
      </c>
      <c r="R19" s="26">
        <f>$C19*Q19/100</f>
        <v>0</v>
      </c>
      <c r="S19" s="26">
        <f>$D19*Q19/100</f>
        <v>0</v>
      </c>
      <c r="T19" s="26">
        <f>$E19*Q19/100</f>
        <v>6.6000000000000003E-2</v>
      </c>
      <c r="U19" s="26">
        <f>$F19*Q19/100</f>
        <v>0</v>
      </c>
      <c r="V19" s="12">
        <v>100</v>
      </c>
      <c r="W19" s="26">
        <f>$C19*V19/100</f>
        <v>0</v>
      </c>
      <c r="X19" s="26">
        <f>$D19*V19/100</f>
        <v>0</v>
      </c>
      <c r="Y19" s="26">
        <f>$E19*V19/100</f>
        <v>0.33</v>
      </c>
      <c r="Z19" s="26">
        <f>$F19*V19/100</f>
        <v>0</v>
      </c>
      <c r="AA19" s="12">
        <v>100</v>
      </c>
      <c r="AB19" s="26">
        <f>$C19*AA19/100</f>
        <v>0</v>
      </c>
      <c r="AC19" s="26">
        <f>$D19*AA19/100</f>
        <v>0</v>
      </c>
      <c r="AD19" s="26">
        <f>$E19*AA19/100</f>
        <v>0.33</v>
      </c>
      <c r="AE19" s="26">
        <f>$F19*AA19/100</f>
        <v>0</v>
      </c>
      <c r="AF19" s="12">
        <v>100</v>
      </c>
      <c r="AG19" s="26">
        <f>$C19*AF19/100</f>
        <v>0</v>
      </c>
      <c r="AH19" s="26">
        <f>$D19*AF19/100</f>
        <v>0</v>
      </c>
      <c r="AI19" s="26">
        <f>$E19*AF19/100</f>
        <v>0.33</v>
      </c>
      <c r="AJ19" s="26">
        <f>$F19*AF19/100</f>
        <v>0</v>
      </c>
      <c r="AK19" s="12">
        <v>100</v>
      </c>
      <c r="AL19" s="26">
        <f>$C19*AK19/100</f>
        <v>0</v>
      </c>
      <c r="AM19" s="26">
        <f>$D19*AK19/100</f>
        <v>0</v>
      </c>
      <c r="AN19" s="26">
        <f>$E19*AK19/100</f>
        <v>0.33</v>
      </c>
      <c r="AO19" s="26">
        <f>$F19*AK19/100</f>
        <v>0</v>
      </c>
    </row>
    <row r="20" spans="1:50" x14ac:dyDescent="0.25">
      <c r="A20" s="10" t="s">
        <v>34</v>
      </c>
      <c r="B20" s="10"/>
      <c r="C20" s="10">
        <v>0</v>
      </c>
      <c r="D20" s="10">
        <v>0.16500000000000001</v>
      </c>
      <c r="E20" s="10">
        <v>0</v>
      </c>
      <c r="F20" s="10">
        <v>0</v>
      </c>
      <c r="G20" s="13">
        <v>100</v>
      </c>
      <c r="H20" s="26">
        <f t="shared" ref="H20:H31" si="0">$C20*G20/100</f>
        <v>0</v>
      </c>
      <c r="I20" s="26">
        <f t="shared" ref="I20:I31" si="1">$D20*G20/100</f>
        <v>0.16500000000000001</v>
      </c>
      <c r="J20" s="26">
        <f t="shared" ref="J20:J31" si="2">$E20*G20/100</f>
        <v>0</v>
      </c>
      <c r="K20" s="26">
        <f t="shared" ref="K20:K31" si="3">$F20*G20/100</f>
        <v>0</v>
      </c>
      <c r="L20" s="13">
        <v>100</v>
      </c>
      <c r="M20" s="26">
        <f t="shared" ref="M20:M31" si="4">$C20*L20/100</f>
        <v>0</v>
      </c>
      <c r="N20" s="26">
        <f t="shared" ref="N20:N31" si="5">$D20*L20/100</f>
        <v>0.16500000000000001</v>
      </c>
      <c r="O20" s="26">
        <f t="shared" ref="O20:O31" si="6">$E20*L20/100</f>
        <v>0</v>
      </c>
      <c r="P20" s="26">
        <f t="shared" ref="P20:P31" si="7">$F20*L20/100</f>
        <v>0</v>
      </c>
      <c r="Q20" s="13">
        <v>100</v>
      </c>
      <c r="R20" s="26">
        <f t="shared" ref="R20:R31" si="8">$C20*Q20/100</f>
        <v>0</v>
      </c>
      <c r="S20" s="26">
        <f t="shared" ref="S20:S31" si="9">$D20*Q20/100</f>
        <v>0.16500000000000001</v>
      </c>
      <c r="T20" s="26">
        <f t="shared" ref="T20:T31" si="10">$E20*Q20/100</f>
        <v>0</v>
      </c>
      <c r="U20" s="26">
        <f t="shared" ref="U20:U31" si="11">$F20*Q20/100</f>
        <v>0</v>
      </c>
      <c r="V20" s="13">
        <v>100</v>
      </c>
      <c r="W20" s="26">
        <f t="shared" ref="W20:W31" si="12">$C20*V20/100</f>
        <v>0</v>
      </c>
      <c r="X20" s="26">
        <f t="shared" ref="X20:X31" si="13">$D20*V20/100</f>
        <v>0.16500000000000001</v>
      </c>
      <c r="Y20" s="26">
        <f t="shared" ref="Y20:Y31" si="14">$E20*V20/100</f>
        <v>0</v>
      </c>
      <c r="Z20" s="26">
        <f t="shared" ref="Z20:Z31" si="15">$F20*V20/100</f>
        <v>0</v>
      </c>
      <c r="AA20" s="13">
        <v>100</v>
      </c>
      <c r="AB20" s="26">
        <f t="shared" ref="AB20:AB31" si="16">$C20*AA20/100</f>
        <v>0</v>
      </c>
      <c r="AC20" s="26">
        <f t="shared" ref="AC20:AC31" si="17">$D20*AA20/100</f>
        <v>0.16500000000000001</v>
      </c>
      <c r="AD20" s="26">
        <f t="shared" ref="AD20:AD31" si="18">$E20*AA20/100</f>
        <v>0</v>
      </c>
      <c r="AE20" s="26">
        <f t="shared" ref="AE20:AE31" si="19">$F20*AA20/100</f>
        <v>0</v>
      </c>
      <c r="AF20" s="13">
        <v>100</v>
      </c>
      <c r="AG20" s="26">
        <f t="shared" ref="AG20:AG31" si="20">$C20*AF20/100</f>
        <v>0</v>
      </c>
      <c r="AH20" s="26">
        <f t="shared" ref="AH20:AH31" si="21">$D20*AF20/100</f>
        <v>0.16500000000000001</v>
      </c>
      <c r="AI20" s="26">
        <f t="shared" ref="AI20:AI31" si="22">$E20*AF20/100</f>
        <v>0</v>
      </c>
      <c r="AJ20" s="26">
        <f t="shared" ref="AJ20:AJ31" si="23">$F20*AF20/100</f>
        <v>0</v>
      </c>
      <c r="AK20" s="13">
        <v>100</v>
      </c>
      <c r="AL20" s="26">
        <f t="shared" ref="AL20:AL31" si="24">$C20*AK20/100</f>
        <v>0</v>
      </c>
      <c r="AM20" s="26">
        <f t="shared" ref="AM20:AM31" si="25">$D20*AK20/100</f>
        <v>0.16500000000000001</v>
      </c>
      <c r="AN20" s="26">
        <f t="shared" ref="AN20:AN31" si="26">$E20*AK20/100</f>
        <v>0</v>
      </c>
      <c r="AO20" s="26">
        <f t="shared" ref="AO20:AO31" si="27">$F20*AK20/100</f>
        <v>0</v>
      </c>
      <c r="AR20" s="8"/>
    </row>
    <row r="21" spans="1:50" x14ac:dyDescent="0.25">
      <c r="A21" s="10" t="s">
        <v>35</v>
      </c>
      <c r="B21" s="10" t="s">
        <v>36</v>
      </c>
      <c r="C21" s="10">
        <v>0</v>
      </c>
      <c r="D21" s="10">
        <v>0</v>
      </c>
      <c r="E21" s="10">
        <v>0</v>
      </c>
      <c r="F21" s="10">
        <v>0.2</v>
      </c>
      <c r="G21" s="13">
        <v>100</v>
      </c>
      <c r="H21" s="26">
        <f t="shared" si="0"/>
        <v>0</v>
      </c>
      <c r="I21" s="26">
        <f t="shared" si="1"/>
        <v>0</v>
      </c>
      <c r="J21" s="26">
        <f t="shared" si="2"/>
        <v>0</v>
      </c>
      <c r="K21" s="26">
        <f t="shared" si="3"/>
        <v>0.2</v>
      </c>
      <c r="L21" s="13">
        <v>100</v>
      </c>
      <c r="M21" s="26">
        <f t="shared" si="4"/>
        <v>0</v>
      </c>
      <c r="N21" s="26">
        <f t="shared" si="5"/>
        <v>0</v>
      </c>
      <c r="O21" s="26">
        <f t="shared" si="6"/>
        <v>0</v>
      </c>
      <c r="P21" s="26">
        <f t="shared" si="7"/>
        <v>0.2</v>
      </c>
      <c r="Q21" s="13">
        <v>100</v>
      </c>
      <c r="R21" s="26">
        <f t="shared" si="8"/>
        <v>0</v>
      </c>
      <c r="S21" s="26">
        <f t="shared" si="9"/>
        <v>0</v>
      </c>
      <c r="T21" s="26">
        <f t="shared" si="10"/>
        <v>0</v>
      </c>
      <c r="U21" s="26">
        <f t="shared" si="11"/>
        <v>0.2</v>
      </c>
      <c r="V21" s="13">
        <v>100</v>
      </c>
      <c r="W21" s="26">
        <f t="shared" si="12"/>
        <v>0</v>
      </c>
      <c r="X21" s="26">
        <f t="shared" si="13"/>
        <v>0</v>
      </c>
      <c r="Y21" s="26">
        <f t="shared" si="14"/>
        <v>0</v>
      </c>
      <c r="Z21" s="26">
        <f t="shared" si="15"/>
        <v>0.2</v>
      </c>
      <c r="AA21" s="13">
        <v>0</v>
      </c>
      <c r="AB21" s="26">
        <f t="shared" si="16"/>
        <v>0</v>
      </c>
      <c r="AC21" s="26">
        <f t="shared" si="17"/>
        <v>0</v>
      </c>
      <c r="AD21" s="26">
        <f t="shared" si="18"/>
        <v>0</v>
      </c>
      <c r="AE21" s="26">
        <f t="shared" si="19"/>
        <v>0</v>
      </c>
      <c r="AF21" s="13">
        <v>100</v>
      </c>
      <c r="AG21" s="26">
        <f t="shared" si="20"/>
        <v>0</v>
      </c>
      <c r="AH21" s="26">
        <f t="shared" si="21"/>
        <v>0</v>
      </c>
      <c r="AI21" s="26">
        <f t="shared" si="22"/>
        <v>0</v>
      </c>
      <c r="AJ21" s="26">
        <f t="shared" si="23"/>
        <v>0.2</v>
      </c>
      <c r="AK21" s="13">
        <v>100</v>
      </c>
      <c r="AL21" s="26">
        <f t="shared" si="24"/>
        <v>0</v>
      </c>
      <c r="AM21" s="26">
        <f t="shared" si="25"/>
        <v>0</v>
      </c>
      <c r="AN21" s="26">
        <f t="shared" si="26"/>
        <v>0</v>
      </c>
      <c r="AO21" s="26">
        <f t="shared" si="27"/>
        <v>0.2</v>
      </c>
      <c r="AR21" s="7"/>
      <c r="AX21" s="7"/>
    </row>
    <row r="22" spans="1:50" x14ac:dyDescent="0.25">
      <c r="A22" s="9"/>
      <c r="B22" s="9" t="s">
        <v>37</v>
      </c>
      <c r="C22" s="9">
        <v>0</v>
      </c>
      <c r="D22" s="9">
        <v>0</v>
      </c>
      <c r="E22" s="9">
        <v>0</v>
      </c>
      <c r="F22" s="9">
        <v>3.75</v>
      </c>
      <c r="G22" s="13">
        <v>0</v>
      </c>
      <c r="H22" s="26">
        <f t="shared" si="0"/>
        <v>0</v>
      </c>
      <c r="I22" s="26">
        <f t="shared" si="1"/>
        <v>0</v>
      </c>
      <c r="J22" s="26">
        <f t="shared" si="2"/>
        <v>0</v>
      </c>
      <c r="K22" s="26">
        <f t="shared" si="3"/>
        <v>0</v>
      </c>
      <c r="L22" s="13">
        <v>0</v>
      </c>
      <c r="M22" s="26">
        <f t="shared" si="4"/>
        <v>0</v>
      </c>
      <c r="N22" s="26">
        <f t="shared" si="5"/>
        <v>0</v>
      </c>
      <c r="O22" s="26">
        <f t="shared" si="6"/>
        <v>0</v>
      </c>
      <c r="P22" s="26">
        <f t="shared" si="7"/>
        <v>0</v>
      </c>
      <c r="Q22" s="13">
        <v>0</v>
      </c>
      <c r="R22" s="26">
        <f t="shared" si="8"/>
        <v>0</v>
      </c>
      <c r="S22" s="26">
        <f t="shared" si="9"/>
        <v>0</v>
      </c>
      <c r="T22" s="26">
        <f t="shared" si="10"/>
        <v>0</v>
      </c>
      <c r="U22" s="26">
        <f t="shared" si="11"/>
        <v>0</v>
      </c>
      <c r="V22" s="13">
        <v>0</v>
      </c>
      <c r="W22" s="26">
        <f t="shared" si="12"/>
        <v>0</v>
      </c>
      <c r="X22" s="26">
        <f t="shared" si="13"/>
        <v>0</v>
      </c>
      <c r="Y22" s="26">
        <f t="shared" si="14"/>
        <v>0</v>
      </c>
      <c r="Z22" s="26">
        <f t="shared" si="15"/>
        <v>0</v>
      </c>
      <c r="AA22" s="13">
        <v>0</v>
      </c>
      <c r="AB22" s="26">
        <f t="shared" si="16"/>
        <v>0</v>
      </c>
      <c r="AC22" s="26">
        <f t="shared" si="17"/>
        <v>0</v>
      </c>
      <c r="AD22" s="26">
        <f t="shared" si="18"/>
        <v>0</v>
      </c>
      <c r="AE22" s="26">
        <f t="shared" si="19"/>
        <v>0</v>
      </c>
      <c r="AF22" s="13">
        <v>0</v>
      </c>
      <c r="AG22" s="26">
        <f t="shared" si="20"/>
        <v>0</v>
      </c>
      <c r="AH22" s="26">
        <f t="shared" si="21"/>
        <v>0</v>
      </c>
      <c r="AI22" s="26">
        <f t="shared" si="22"/>
        <v>0</v>
      </c>
      <c r="AJ22" s="26">
        <f t="shared" si="23"/>
        <v>0</v>
      </c>
      <c r="AK22" s="13">
        <v>0</v>
      </c>
      <c r="AL22" s="26">
        <f t="shared" si="24"/>
        <v>0</v>
      </c>
      <c r="AM22" s="26">
        <f t="shared" si="25"/>
        <v>0</v>
      </c>
      <c r="AN22" s="26">
        <f t="shared" si="26"/>
        <v>0</v>
      </c>
      <c r="AO22" s="26">
        <f t="shared" si="27"/>
        <v>0</v>
      </c>
      <c r="AR22" s="7"/>
    </row>
    <row r="23" spans="1:50" x14ac:dyDescent="0.25">
      <c r="A23" s="9"/>
      <c r="B23" s="9" t="s">
        <v>38</v>
      </c>
      <c r="C23" s="9">
        <v>0</v>
      </c>
      <c r="D23" s="9">
        <v>0</v>
      </c>
      <c r="E23" s="9">
        <v>0</v>
      </c>
      <c r="F23" s="9">
        <v>3.75</v>
      </c>
      <c r="G23" s="13">
        <v>7</v>
      </c>
      <c r="H23" s="26">
        <f t="shared" si="0"/>
        <v>0</v>
      </c>
      <c r="I23" s="26">
        <f t="shared" si="1"/>
        <v>0</v>
      </c>
      <c r="J23" s="26">
        <f t="shared" si="2"/>
        <v>0</v>
      </c>
      <c r="K23" s="26">
        <f t="shared" si="3"/>
        <v>0.26250000000000001</v>
      </c>
      <c r="L23" s="13">
        <v>7</v>
      </c>
      <c r="M23" s="26">
        <f t="shared" si="4"/>
        <v>0</v>
      </c>
      <c r="N23" s="26">
        <f t="shared" si="5"/>
        <v>0</v>
      </c>
      <c r="O23" s="26">
        <f t="shared" si="6"/>
        <v>0</v>
      </c>
      <c r="P23" s="26">
        <f t="shared" si="7"/>
        <v>0.26250000000000001</v>
      </c>
      <c r="Q23" s="13">
        <v>7</v>
      </c>
      <c r="R23" s="26">
        <f t="shared" si="8"/>
        <v>0</v>
      </c>
      <c r="S23" s="26">
        <f t="shared" si="9"/>
        <v>0</v>
      </c>
      <c r="T23" s="26">
        <f t="shared" si="10"/>
        <v>0</v>
      </c>
      <c r="U23" s="26">
        <f t="shared" si="11"/>
        <v>0.26250000000000001</v>
      </c>
      <c r="V23" s="13">
        <v>7</v>
      </c>
      <c r="W23" s="26">
        <f t="shared" si="12"/>
        <v>0</v>
      </c>
      <c r="X23" s="26">
        <f t="shared" si="13"/>
        <v>0</v>
      </c>
      <c r="Y23" s="26">
        <f t="shared" si="14"/>
        <v>0</v>
      </c>
      <c r="Z23" s="26">
        <f t="shared" si="15"/>
        <v>0.26250000000000001</v>
      </c>
      <c r="AA23" s="13">
        <v>0</v>
      </c>
      <c r="AB23" s="26">
        <f t="shared" si="16"/>
        <v>0</v>
      </c>
      <c r="AC23" s="26">
        <f t="shared" si="17"/>
        <v>0</v>
      </c>
      <c r="AD23" s="26">
        <f t="shared" si="18"/>
        <v>0</v>
      </c>
      <c r="AE23" s="26">
        <f t="shared" si="19"/>
        <v>0</v>
      </c>
      <c r="AF23" s="13">
        <v>7</v>
      </c>
      <c r="AG23" s="26">
        <f t="shared" si="20"/>
        <v>0</v>
      </c>
      <c r="AH23" s="26">
        <f t="shared" si="21"/>
        <v>0</v>
      </c>
      <c r="AI23" s="26">
        <f t="shared" si="22"/>
        <v>0</v>
      </c>
      <c r="AJ23" s="26">
        <f t="shared" si="23"/>
        <v>0.26250000000000001</v>
      </c>
      <c r="AK23" s="13">
        <v>7</v>
      </c>
      <c r="AL23" s="26">
        <f t="shared" si="24"/>
        <v>0</v>
      </c>
      <c r="AM23" s="26">
        <f t="shared" si="25"/>
        <v>0</v>
      </c>
      <c r="AN23" s="26">
        <f t="shared" si="26"/>
        <v>0</v>
      </c>
      <c r="AO23" s="26">
        <f t="shared" si="27"/>
        <v>0.26250000000000001</v>
      </c>
      <c r="AR23" s="7"/>
    </row>
    <row r="24" spans="1:50" x14ac:dyDescent="0.25">
      <c r="A24" s="10" t="s">
        <v>39</v>
      </c>
      <c r="B24" s="10" t="s">
        <v>36</v>
      </c>
      <c r="C24" s="10">
        <v>0</v>
      </c>
      <c r="D24" s="10">
        <v>0</v>
      </c>
      <c r="E24" s="10">
        <v>0</v>
      </c>
      <c r="F24" s="10">
        <v>5</v>
      </c>
      <c r="G24" s="13">
        <v>0</v>
      </c>
      <c r="H24" s="26">
        <f t="shared" si="0"/>
        <v>0</v>
      </c>
      <c r="I24" s="26">
        <f t="shared" si="1"/>
        <v>0</v>
      </c>
      <c r="J24" s="26">
        <f t="shared" si="2"/>
        <v>0</v>
      </c>
      <c r="K24" s="26">
        <f t="shared" si="3"/>
        <v>0</v>
      </c>
      <c r="L24" s="13">
        <v>0</v>
      </c>
      <c r="M24" s="26">
        <f t="shared" si="4"/>
        <v>0</v>
      </c>
      <c r="N24" s="26">
        <f t="shared" si="5"/>
        <v>0</v>
      </c>
      <c r="O24" s="26">
        <f t="shared" si="6"/>
        <v>0</v>
      </c>
      <c r="P24" s="26">
        <f t="shared" si="7"/>
        <v>0</v>
      </c>
      <c r="Q24" s="13">
        <v>0</v>
      </c>
      <c r="R24" s="26">
        <f t="shared" si="8"/>
        <v>0</v>
      </c>
      <c r="S24" s="26">
        <f t="shared" si="9"/>
        <v>0</v>
      </c>
      <c r="T24" s="26">
        <f t="shared" si="10"/>
        <v>0</v>
      </c>
      <c r="U24" s="26">
        <f t="shared" si="11"/>
        <v>0</v>
      </c>
      <c r="V24" s="13">
        <v>0</v>
      </c>
      <c r="W24" s="26">
        <f t="shared" si="12"/>
        <v>0</v>
      </c>
      <c r="X24" s="26">
        <f t="shared" si="13"/>
        <v>0</v>
      </c>
      <c r="Y24" s="26">
        <f t="shared" si="14"/>
        <v>0</v>
      </c>
      <c r="Z24" s="26">
        <f t="shared" si="15"/>
        <v>0</v>
      </c>
      <c r="AA24" s="13">
        <v>0</v>
      </c>
      <c r="AB24" s="26">
        <f t="shared" si="16"/>
        <v>0</v>
      </c>
      <c r="AC24" s="26">
        <f t="shared" si="17"/>
        <v>0</v>
      </c>
      <c r="AD24" s="26">
        <f t="shared" si="18"/>
        <v>0</v>
      </c>
      <c r="AE24" s="26">
        <f t="shared" si="19"/>
        <v>0</v>
      </c>
      <c r="AF24" s="13">
        <v>0</v>
      </c>
      <c r="AG24" s="26">
        <f t="shared" si="20"/>
        <v>0</v>
      </c>
      <c r="AH24" s="26">
        <f t="shared" si="21"/>
        <v>0</v>
      </c>
      <c r="AI24" s="26">
        <f t="shared" si="22"/>
        <v>0</v>
      </c>
      <c r="AJ24" s="26">
        <f t="shared" si="23"/>
        <v>0</v>
      </c>
      <c r="AK24" s="13">
        <v>0</v>
      </c>
      <c r="AL24" s="26">
        <f t="shared" si="24"/>
        <v>0</v>
      </c>
      <c r="AM24" s="26">
        <f t="shared" si="25"/>
        <v>0</v>
      </c>
      <c r="AN24" s="26">
        <f t="shared" si="26"/>
        <v>0</v>
      </c>
      <c r="AO24" s="26">
        <f t="shared" si="27"/>
        <v>0</v>
      </c>
    </row>
    <row r="25" spans="1:50" x14ac:dyDescent="0.25">
      <c r="A25" s="9"/>
      <c r="B25" s="9" t="s">
        <v>37</v>
      </c>
      <c r="C25" s="9">
        <v>0</v>
      </c>
      <c r="D25" s="9">
        <v>0</v>
      </c>
      <c r="E25" s="10">
        <v>0</v>
      </c>
      <c r="F25" s="10">
        <v>7</v>
      </c>
      <c r="G25" s="13">
        <v>0</v>
      </c>
      <c r="H25" s="26">
        <f t="shared" si="0"/>
        <v>0</v>
      </c>
      <c r="I25" s="26">
        <f t="shared" si="1"/>
        <v>0</v>
      </c>
      <c r="J25" s="26">
        <f t="shared" si="2"/>
        <v>0</v>
      </c>
      <c r="K25" s="26">
        <f t="shared" si="3"/>
        <v>0</v>
      </c>
      <c r="L25" s="13">
        <v>0</v>
      </c>
      <c r="M25" s="26">
        <f t="shared" si="4"/>
        <v>0</v>
      </c>
      <c r="N25" s="26">
        <f t="shared" si="5"/>
        <v>0</v>
      </c>
      <c r="O25" s="26">
        <f t="shared" si="6"/>
        <v>0</v>
      </c>
      <c r="P25" s="26">
        <f t="shared" si="7"/>
        <v>0</v>
      </c>
      <c r="Q25" s="13">
        <v>0</v>
      </c>
      <c r="R25" s="26">
        <f t="shared" si="8"/>
        <v>0</v>
      </c>
      <c r="S25" s="26">
        <f t="shared" si="9"/>
        <v>0</v>
      </c>
      <c r="T25" s="26">
        <f t="shared" si="10"/>
        <v>0</v>
      </c>
      <c r="U25" s="26">
        <f t="shared" si="11"/>
        <v>0</v>
      </c>
      <c r="V25" s="13">
        <v>0</v>
      </c>
      <c r="W25" s="26">
        <f t="shared" si="12"/>
        <v>0</v>
      </c>
      <c r="X25" s="26">
        <f t="shared" si="13"/>
        <v>0</v>
      </c>
      <c r="Y25" s="26">
        <f t="shared" si="14"/>
        <v>0</v>
      </c>
      <c r="Z25" s="26">
        <f t="shared" si="15"/>
        <v>0</v>
      </c>
      <c r="AA25" s="13">
        <v>0</v>
      </c>
      <c r="AB25" s="26">
        <f t="shared" si="16"/>
        <v>0</v>
      </c>
      <c r="AC25" s="26">
        <f t="shared" si="17"/>
        <v>0</v>
      </c>
      <c r="AD25" s="26">
        <f t="shared" si="18"/>
        <v>0</v>
      </c>
      <c r="AE25" s="26">
        <f t="shared" si="19"/>
        <v>0</v>
      </c>
      <c r="AF25" s="13">
        <v>0</v>
      </c>
      <c r="AG25" s="26">
        <f t="shared" si="20"/>
        <v>0</v>
      </c>
      <c r="AH25" s="26">
        <f t="shared" si="21"/>
        <v>0</v>
      </c>
      <c r="AI25" s="26">
        <f t="shared" si="22"/>
        <v>0</v>
      </c>
      <c r="AJ25" s="26">
        <f t="shared" si="23"/>
        <v>0</v>
      </c>
      <c r="AK25" s="13">
        <v>0</v>
      </c>
      <c r="AL25" s="26">
        <f t="shared" si="24"/>
        <v>0</v>
      </c>
      <c r="AM25" s="26">
        <f t="shared" si="25"/>
        <v>0</v>
      </c>
      <c r="AN25" s="26">
        <f t="shared" si="26"/>
        <v>0</v>
      </c>
      <c r="AO25" s="26">
        <f t="shared" si="27"/>
        <v>0</v>
      </c>
    </row>
    <row r="26" spans="1:50" x14ac:dyDescent="0.25">
      <c r="A26" s="16"/>
      <c r="B26" s="9" t="s">
        <v>40</v>
      </c>
      <c r="C26" s="9">
        <v>0</v>
      </c>
      <c r="D26" s="9">
        <v>0</v>
      </c>
      <c r="E26" s="10">
        <v>0</v>
      </c>
      <c r="F26" s="10">
        <v>10</v>
      </c>
      <c r="G26" s="13">
        <v>0</v>
      </c>
      <c r="H26" s="26">
        <f t="shared" si="0"/>
        <v>0</v>
      </c>
      <c r="I26" s="26">
        <f t="shared" si="1"/>
        <v>0</v>
      </c>
      <c r="J26" s="26">
        <f t="shared" si="2"/>
        <v>0</v>
      </c>
      <c r="K26" s="26">
        <f t="shared" si="3"/>
        <v>0</v>
      </c>
      <c r="L26" s="13">
        <v>0</v>
      </c>
      <c r="M26" s="26">
        <f t="shared" si="4"/>
        <v>0</v>
      </c>
      <c r="N26" s="26">
        <f t="shared" si="5"/>
        <v>0</v>
      </c>
      <c r="O26" s="26">
        <f t="shared" si="6"/>
        <v>0</v>
      </c>
      <c r="P26" s="26">
        <f t="shared" si="7"/>
        <v>0</v>
      </c>
      <c r="Q26" s="13">
        <v>0</v>
      </c>
      <c r="R26" s="26">
        <f t="shared" si="8"/>
        <v>0</v>
      </c>
      <c r="S26" s="26">
        <f t="shared" si="9"/>
        <v>0</v>
      </c>
      <c r="T26" s="26">
        <f t="shared" si="10"/>
        <v>0</v>
      </c>
      <c r="U26" s="26">
        <f t="shared" si="11"/>
        <v>0</v>
      </c>
      <c r="V26" s="13">
        <v>0</v>
      </c>
      <c r="W26" s="26">
        <f t="shared" si="12"/>
        <v>0</v>
      </c>
      <c r="X26" s="26">
        <f t="shared" si="13"/>
        <v>0</v>
      </c>
      <c r="Y26" s="26">
        <f t="shared" si="14"/>
        <v>0</v>
      </c>
      <c r="Z26" s="26">
        <f t="shared" si="15"/>
        <v>0</v>
      </c>
      <c r="AA26" s="13">
        <v>100</v>
      </c>
      <c r="AB26" s="26">
        <f t="shared" si="16"/>
        <v>0</v>
      </c>
      <c r="AC26" s="26">
        <f t="shared" si="17"/>
        <v>0</v>
      </c>
      <c r="AD26" s="26">
        <f t="shared" si="18"/>
        <v>0</v>
      </c>
      <c r="AE26" s="26">
        <f t="shared" si="19"/>
        <v>10</v>
      </c>
      <c r="AF26" s="13">
        <v>0</v>
      </c>
      <c r="AG26" s="26">
        <f t="shared" si="20"/>
        <v>0</v>
      </c>
      <c r="AH26" s="26">
        <f t="shared" si="21"/>
        <v>0</v>
      </c>
      <c r="AI26" s="26">
        <f t="shared" si="22"/>
        <v>0</v>
      </c>
      <c r="AJ26" s="26">
        <f t="shared" si="23"/>
        <v>0</v>
      </c>
      <c r="AK26" s="13">
        <v>0</v>
      </c>
      <c r="AL26" s="26">
        <f t="shared" si="24"/>
        <v>0</v>
      </c>
      <c r="AM26" s="26">
        <f t="shared" si="25"/>
        <v>0</v>
      </c>
      <c r="AN26" s="26">
        <f t="shared" si="26"/>
        <v>0</v>
      </c>
      <c r="AO26" s="26">
        <f t="shared" si="27"/>
        <v>0</v>
      </c>
    </row>
    <row r="27" spans="1:50" x14ac:dyDescent="0.25">
      <c r="A27" s="9" t="s">
        <v>41</v>
      </c>
      <c r="B27" s="9"/>
      <c r="C27" s="9">
        <v>3.2</v>
      </c>
      <c r="D27" s="9">
        <v>0</v>
      </c>
      <c r="E27" s="9">
        <v>0.87</v>
      </c>
      <c r="F27" s="9">
        <v>0</v>
      </c>
      <c r="G27" s="13">
        <v>100</v>
      </c>
      <c r="H27" s="26">
        <v>0</v>
      </c>
      <c r="I27" s="26">
        <f t="shared" si="1"/>
        <v>0</v>
      </c>
      <c r="J27" s="26">
        <f t="shared" si="2"/>
        <v>0.87</v>
      </c>
      <c r="K27" s="26">
        <f t="shared" si="3"/>
        <v>0</v>
      </c>
      <c r="L27" s="13">
        <v>50</v>
      </c>
      <c r="M27" s="26">
        <f t="shared" si="4"/>
        <v>1.6</v>
      </c>
      <c r="N27" s="26">
        <f t="shared" si="5"/>
        <v>0</v>
      </c>
      <c r="O27" s="26">
        <f t="shared" si="6"/>
        <v>0.435</v>
      </c>
      <c r="P27" s="26">
        <f t="shared" si="7"/>
        <v>0</v>
      </c>
      <c r="Q27" s="13">
        <v>0</v>
      </c>
      <c r="R27" s="26">
        <f t="shared" si="8"/>
        <v>0</v>
      </c>
      <c r="S27" s="26">
        <f t="shared" si="9"/>
        <v>0</v>
      </c>
      <c r="T27" s="26">
        <f t="shared" si="10"/>
        <v>0</v>
      </c>
      <c r="U27" s="26">
        <f t="shared" si="11"/>
        <v>0</v>
      </c>
      <c r="V27" s="13">
        <v>100</v>
      </c>
      <c r="W27" s="26">
        <f t="shared" si="12"/>
        <v>3.2</v>
      </c>
      <c r="X27" s="26">
        <f t="shared" si="13"/>
        <v>0</v>
      </c>
      <c r="Y27" s="26">
        <f t="shared" si="14"/>
        <v>0.87</v>
      </c>
      <c r="Z27" s="26">
        <f t="shared" si="15"/>
        <v>0</v>
      </c>
      <c r="AA27" s="13">
        <v>100</v>
      </c>
      <c r="AB27" s="26">
        <f t="shared" si="16"/>
        <v>3.2</v>
      </c>
      <c r="AC27" s="26">
        <f t="shared" si="17"/>
        <v>0</v>
      </c>
      <c r="AD27" s="26">
        <f t="shared" si="18"/>
        <v>0.87</v>
      </c>
      <c r="AE27" s="26">
        <f t="shared" si="19"/>
        <v>0</v>
      </c>
      <c r="AF27" s="13">
        <v>100</v>
      </c>
      <c r="AG27" s="26">
        <v>0</v>
      </c>
      <c r="AH27" s="26">
        <f t="shared" si="21"/>
        <v>0</v>
      </c>
      <c r="AI27" s="26">
        <f t="shared" si="22"/>
        <v>0.87</v>
      </c>
      <c r="AJ27" s="26">
        <f t="shared" si="23"/>
        <v>0</v>
      </c>
      <c r="AK27" s="13">
        <v>100</v>
      </c>
      <c r="AL27" s="26">
        <f t="shared" si="24"/>
        <v>3.2</v>
      </c>
      <c r="AM27" s="26">
        <f t="shared" si="25"/>
        <v>0</v>
      </c>
      <c r="AN27" s="26">
        <f t="shared" si="26"/>
        <v>0.87</v>
      </c>
      <c r="AO27" s="26">
        <f t="shared" si="27"/>
        <v>0</v>
      </c>
    </row>
    <row r="28" spans="1:50" x14ac:dyDescent="0.25">
      <c r="A28" s="9" t="s">
        <v>42</v>
      </c>
      <c r="B28" s="9" t="s">
        <v>43</v>
      </c>
      <c r="C28" s="9">
        <v>1</v>
      </c>
      <c r="D28" s="9">
        <v>0</v>
      </c>
      <c r="E28" s="9">
        <v>0</v>
      </c>
      <c r="F28" s="9">
        <v>0</v>
      </c>
      <c r="G28" s="13">
        <v>0</v>
      </c>
      <c r="H28" s="26">
        <f t="shared" si="0"/>
        <v>0</v>
      </c>
      <c r="I28" s="26">
        <f t="shared" si="1"/>
        <v>0</v>
      </c>
      <c r="J28" s="26">
        <f t="shared" si="2"/>
        <v>0</v>
      </c>
      <c r="K28" s="26">
        <f t="shared" si="3"/>
        <v>0</v>
      </c>
      <c r="L28" s="13">
        <v>0</v>
      </c>
      <c r="M28" s="26">
        <f t="shared" si="4"/>
        <v>0</v>
      </c>
      <c r="N28" s="26">
        <f t="shared" si="5"/>
        <v>0</v>
      </c>
      <c r="O28" s="26">
        <f t="shared" si="6"/>
        <v>0</v>
      </c>
      <c r="P28" s="26">
        <f t="shared" si="7"/>
        <v>0</v>
      </c>
      <c r="Q28" s="13">
        <v>0</v>
      </c>
      <c r="R28" s="26">
        <f t="shared" si="8"/>
        <v>0</v>
      </c>
      <c r="S28" s="26">
        <f t="shared" si="9"/>
        <v>0</v>
      </c>
      <c r="T28" s="26">
        <f t="shared" si="10"/>
        <v>0</v>
      </c>
      <c r="U28" s="26">
        <f t="shared" si="11"/>
        <v>0</v>
      </c>
      <c r="V28" s="13">
        <v>0</v>
      </c>
      <c r="W28" s="26">
        <f t="shared" si="12"/>
        <v>0</v>
      </c>
      <c r="X28" s="26">
        <f t="shared" si="13"/>
        <v>0</v>
      </c>
      <c r="Y28" s="26">
        <f t="shared" si="14"/>
        <v>0</v>
      </c>
      <c r="Z28" s="26">
        <f t="shared" si="15"/>
        <v>0</v>
      </c>
      <c r="AA28" s="13">
        <v>0</v>
      </c>
      <c r="AB28" s="26">
        <f t="shared" si="16"/>
        <v>0</v>
      </c>
      <c r="AC28" s="26">
        <f t="shared" si="17"/>
        <v>0</v>
      </c>
      <c r="AD28" s="26">
        <f t="shared" si="18"/>
        <v>0</v>
      </c>
      <c r="AE28" s="26">
        <f t="shared" si="19"/>
        <v>0</v>
      </c>
      <c r="AF28" s="13">
        <v>0</v>
      </c>
      <c r="AG28" s="26">
        <f t="shared" si="20"/>
        <v>0</v>
      </c>
      <c r="AH28" s="26">
        <f t="shared" si="21"/>
        <v>0</v>
      </c>
      <c r="AI28" s="26">
        <f t="shared" si="22"/>
        <v>0</v>
      </c>
      <c r="AJ28" s="26">
        <f t="shared" si="23"/>
        <v>0</v>
      </c>
      <c r="AK28" s="13">
        <v>0</v>
      </c>
      <c r="AL28" s="26">
        <f t="shared" si="24"/>
        <v>0</v>
      </c>
      <c r="AM28" s="26">
        <f t="shared" si="25"/>
        <v>0</v>
      </c>
      <c r="AN28" s="26">
        <f t="shared" si="26"/>
        <v>0</v>
      </c>
      <c r="AO28" s="26">
        <f t="shared" si="27"/>
        <v>0</v>
      </c>
    </row>
    <row r="29" spans="1:50" x14ac:dyDescent="0.25">
      <c r="A29" s="9"/>
      <c r="B29" s="9" t="s">
        <v>44</v>
      </c>
      <c r="C29" s="9">
        <v>4.5</v>
      </c>
      <c r="D29" s="9">
        <v>0</v>
      </c>
      <c r="E29" s="9">
        <v>0</v>
      </c>
      <c r="F29" s="9">
        <v>0</v>
      </c>
      <c r="G29" s="13">
        <v>0</v>
      </c>
      <c r="H29" s="26">
        <f t="shared" si="0"/>
        <v>0</v>
      </c>
      <c r="I29" s="26">
        <f t="shared" si="1"/>
        <v>0</v>
      </c>
      <c r="J29" s="26">
        <f t="shared" si="2"/>
        <v>0</v>
      </c>
      <c r="K29" s="26">
        <f t="shared" si="3"/>
        <v>0</v>
      </c>
      <c r="L29" s="13">
        <v>100</v>
      </c>
      <c r="M29" s="26">
        <f t="shared" si="4"/>
        <v>4.5</v>
      </c>
      <c r="N29" s="26">
        <f t="shared" si="5"/>
        <v>0</v>
      </c>
      <c r="O29" s="26">
        <f t="shared" si="6"/>
        <v>0</v>
      </c>
      <c r="P29" s="26">
        <f t="shared" si="7"/>
        <v>0</v>
      </c>
      <c r="Q29" s="13">
        <v>0</v>
      </c>
      <c r="R29" s="26">
        <f t="shared" si="8"/>
        <v>0</v>
      </c>
      <c r="S29" s="26">
        <f t="shared" si="9"/>
        <v>0</v>
      </c>
      <c r="T29" s="26">
        <f t="shared" si="10"/>
        <v>0</v>
      </c>
      <c r="U29" s="26">
        <f t="shared" si="11"/>
        <v>0</v>
      </c>
      <c r="V29" s="13">
        <v>0</v>
      </c>
      <c r="W29" s="26">
        <f t="shared" si="12"/>
        <v>0</v>
      </c>
      <c r="X29" s="26">
        <f t="shared" si="13"/>
        <v>0</v>
      </c>
      <c r="Y29" s="26">
        <f t="shared" si="14"/>
        <v>0</v>
      </c>
      <c r="Z29" s="26">
        <f t="shared" si="15"/>
        <v>0</v>
      </c>
      <c r="AA29" s="13">
        <v>100</v>
      </c>
      <c r="AB29" s="26">
        <f t="shared" si="16"/>
        <v>4.5</v>
      </c>
      <c r="AC29" s="26">
        <f t="shared" si="17"/>
        <v>0</v>
      </c>
      <c r="AD29" s="26">
        <f t="shared" si="18"/>
        <v>0</v>
      </c>
      <c r="AE29" s="26">
        <f t="shared" si="19"/>
        <v>0</v>
      </c>
      <c r="AF29" s="13">
        <v>100</v>
      </c>
      <c r="AG29" s="26">
        <f t="shared" si="20"/>
        <v>4.5</v>
      </c>
      <c r="AH29" s="26">
        <f t="shared" si="21"/>
        <v>0</v>
      </c>
      <c r="AI29" s="26">
        <f t="shared" si="22"/>
        <v>0</v>
      </c>
      <c r="AJ29" s="26">
        <f t="shared" si="23"/>
        <v>0</v>
      </c>
      <c r="AK29" s="13">
        <v>0</v>
      </c>
      <c r="AL29" s="26">
        <f t="shared" si="24"/>
        <v>0</v>
      </c>
      <c r="AM29" s="26">
        <f t="shared" si="25"/>
        <v>0</v>
      </c>
      <c r="AN29" s="26">
        <f t="shared" si="26"/>
        <v>0</v>
      </c>
      <c r="AO29" s="26">
        <f t="shared" si="27"/>
        <v>0</v>
      </c>
    </row>
    <row r="30" spans="1:50" x14ac:dyDescent="0.25">
      <c r="A30" s="9"/>
      <c r="B30" s="9" t="s">
        <v>45</v>
      </c>
      <c r="C30" s="9">
        <v>45</v>
      </c>
      <c r="D30" s="9">
        <v>0</v>
      </c>
      <c r="E30" s="9">
        <v>0</v>
      </c>
      <c r="F30" s="9">
        <v>0</v>
      </c>
      <c r="G30" s="13">
        <v>0</v>
      </c>
      <c r="H30" s="26">
        <f t="shared" si="0"/>
        <v>0</v>
      </c>
      <c r="I30" s="26">
        <f t="shared" si="1"/>
        <v>0</v>
      </c>
      <c r="J30" s="26">
        <f t="shared" si="2"/>
        <v>0</v>
      </c>
      <c r="K30" s="26">
        <f t="shared" si="3"/>
        <v>0</v>
      </c>
      <c r="L30" s="13">
        <v>0</v>
      </c>
      <c r="M30" s="26">
        <f t="shared" si="4"/>
        <v>0</v>
      </c>
      <c r="N30" s="26">
        <f t="shared" si="5"/>
        <v>0</v>
      </c>
      <c r="O30" s="26">
        <f t="shared" si="6"/>
        <v>0</v>
      </c>
      <c r="P30" s="26">
        <f t="shared" si="7"/>
        <v>0</v>
      </c>
      <c r="Q30" s="13">
        <v>0</v>
      </c>
      <c r="R30" s="26">
        <f t="shared" si="8"/>
        <v>0</v>
      </c>
      <c r="S30" s="26">
        <f t="shared" si="9"/>
        <v>0</v>
      </c>
      <c r="T30" s="26">
        <f t="shared" si="10"/>
        <v>0</v>
      </c>
      <c r="U30" s="26">
        <f t="shared" si="11"/>
        <v>0</v>
      </c>
      <c r="V30" s="13">
        <v>0</v>
      </c>
      <c r="W30" s="26">
        <f t="shared" si="12"/>
        <v>0</v>
      </c>
      <c r="X30" s="26">
        <f t="shared" si="13"/>
        <v>0</v>
      </c>
      <c r="Y30" s="26">
        <f t="shared" si="14"/>
        <v>0</v>
      </c>
      <c r="Z30" s="26">
        <f t="shared" si="15"/>
        <v>0</v>
      </c>
      <c r="AA30" s="13">
        <v>0</v>
      </c>
      <c r="AB30" s="26">
        <f t="shared" si="16"/>
        <v>0</v>
      </c>
      <c r="AC30" s="26">
        <f t="shared" si="17"/>
        <v>0</v>
      </c>
      <c r="AD30" s="26">
        <f t="shared" si="18"/>
        <v>0</v>
      </c>
      <c r="AE30" s="26">
        <f t="shared" si="19"/>
        <v>0</v>
      </c>
      <c r="AF30" s="13">
        <v>0</v>
      </c>
      <c r="AG30" s="26">
        <f t="shared" si="20"/>
        <v>0</v>
      </c>
      <c r="AH30" s="26">
        <f t="shared" si="21"/>
        <v>0</v>
      </c>
      <c r="AI30" s="26">
        <f t="shared" si="22"/>
        <v>0</v>
      </c>
      <c r="AJ30" s="26">
        <f t="shared" si="23"/>
        <v>0</v>
      </c>
      <c r="AK30" s="13">
        <v>100</v>
      </c>
      <c r="AL30" s="26">
        <f t="shared" si="24"/>
        <v>45</v>
      </c>
      <c r="AM30" s="26">
        <f t="shared" si="25"/>
        <v>0</v>
      </c>
      <c r="AN30" s="26">
        <f t="shared" si="26"/>
        <v>0</v>
      </c>
      <c r="AO30" s="26">
        <f t="shared" si="27"/>
        <v>0</v>
      </c>
    </row>
    <row r="31" spans="1:50" ht="45" x14ac:dyDescent="0.25">
      <c r="A31" s="10" t="s">
        <v>46</v>
      </c>
      <c r="B31" s="9"/>
      <c r="C31" s="9">
        <v>0</v>
      </c>
      <c r="D31" s="9">
        <v>0</v>
      </c>
      <c r="E31" s="9">
        <v>0</v>
      </c>
      <c r="F31" s="9">
        <v>1</v>
      </c>
      <c r="G31" s="13">
        <v>0</v>
      </c>
      <c r="H31" s="26">
        <f t="shared" si="0"/>
        <v>0</v>
      </c>
      <c r="I31" s="26">
        <f t="shared" si="1"/>
        <v>0</v>
      </c>
      <c r="J31" s="26">
        <f t="shared" si="2"/>
        <v>0</v>
      </c>
      <c r="K31" s="26">
        <f t="shared" si="3"/>
        <v>0</v>
      </c>
      <c r="L31" s="13">
        <v>100</v>
      </c>
      <c r="M31" s="26">
        <f t="shared" si="4"/>
        <v>0</v>
      </c>
      <c r="N31" s="26">
        <f t="shared" si="5"/>
        <v>0</v>
      </c>
      <c r="O31" s="26">
        <f t="shared" si="6"/>
        <v>0</v>
      </c>
      <c r="P31" s="26">
        <f t="shared" si="7"/>
        <v>1</v>
      </c>
      <c r="Q31" s="13">
        <v>0</v>
      </c>
      <c r="R31" s="26">
        <f t="shared" si="8"/>
        <v>0</v>
      </c>
      <c r="S31" s="26">
        <f t="shared" si="9"/>
        <v>0</v>
      </c>
      <c r="T31" s="26">
        <f t="shared" si="10"/>
        <v>0</v>
      </c>
      <c r="U31" s="26">
        <f t="shared" si="11"/>
        <v>0</v>
      </c>
      <c r="V31" s="13">
        <v>0</v>
      </c>
      <c r="W31" s="26">
        <f t="shared" si="12"/>
        <v>0</v>
      </c>
      <c r="X31" s="26">
        <f t="shared" si="13"/>
        <v>0</v>
      </c>
      <c r="Y31" s="26">
        <f t="shared" si="14"/>
        <v>0</v>
      </c>
      <c r="Z31" s="26">
        <f t="shared" si="15"/>
        <v>0</v>
      </c>
      <c r="AA31" s="13">
        <v>100</v>
      </c>
      <c r="AB31" s="26">
        <f t="shared" si="16"/>
        <v>0</v>
      </c>
      <c r="AC31" s="26">
        <f t="shared" si="17"/>
        <v>0</v>
      </c>
      <c r="AD31" s="26">
        <f t="shared" si="18"/>
        <v>0</v>
      </c>
      <c r="AE31" s="26">
        <f t="shared" si="19"/>
        <v>1</v>
      </c>
      <c r="AF31" s="13">
        <v>100</v>
      </c>
      <c r="AG31" s="26">
        <f t="shared" si="20"/>
        <v>0</v>
      </c>
      <c r="AH31" s="26">
        <f t="shared" si="21"/>
        <v>0</v>
      </c>
      <c r="AI31" s="26">
        <f t="shared" si="22"/>
        <v>0</v>
      </c>
      <c r="AJ31" s="26">
        <f t="shared" si="23"/>
        <v>1</v>
      </c>
      <c r="AK31" s="13">
        <v>0</v>
      </c>
      <c r="AL31" s="26">
        <f t="shared" si="24"/>
        <v>0</v>
      </c>
      <c r="AM31" s="26">
        <f t="shared" si="25"/>
        <v>0</v>
      </c>
      <c r="AN31" s="26">
        <f t="shared" si="26"/>
        <v>0</v>
      </c>
      <c r="AO31" s="26">
        <f t="shared" si="27"/>
        <v>0</v>
      </c>
    </row>
    <row r="32" spans="1:50" x14ac:dyDescent="0.25">
      <c r="A32" s="60" t="s">
        <v>47</v>
      </c>
      <c r="B32" s="61"/>
      <c r="C32" s="61"/>
      <c r="D32" s="61"/>
      <c r="E32" s="61"/>
      <c r="F32" s="61"/>
      <c r="G32" s="6"/>
      <c r="H32" s="4">
        <f>SUM(H19:H31)</f>
        <v>0</v>
      </c>
      <c r="I32" s="4">
        <f>SUM(I19:I31)</f>
        <v>0.16500000000000001</v>
      </c>
      <c r="J32" s="4">
        <f>SUM(J19:J31)</f>
        <v>1.2</v>
      </c>
      <c r="K32" s="4">
        <f>SUM(K19:K31)</f>
        <v>0.46250000000000002</v>
      </c>
      <c r="L32" s="4"/>
      <c r="M32" s="4">
        <f>SUM(M19:M31)</f>
        <v>6.1</v>
      </c>
      <c r="N32" s="4">
        <f>SUM(N19:N31)</f>
        <v>0.16500000000000001</v>
      </c>
      <c r="O32" s="4">
        <f>SUM(O19:O31)</f>
        <v>0.76500000000000001</v>
      </c>
      <c r="P32" s="4">
        <f>SUM(P19:P31)</f>
        <v>1.4624999999999999</v>
      </c>
      <c r="Q32" s="4"/>
      <c r="R32" s="4">
        <f>SUM(R19:R31)</f>
        <v>0</v>
      </c>
      <c r="S32" s="4">
        <f>SUM(S19:S31)</f>
        <v>0.16500000000000001</v>
      </c>
      <c r="T32" s="4">
        <f>SUM(T19:T31)</f>
        <v>6.6000000000000003E-2</v>
      </c>
      <c r="U32" s="4">
        <f>SUM(U19:U31)</f>
        <v>0.46250000000000002</v>
      </c>
      <c r="V32" s="4"/>
      <c r="W32" s="4">
        <f>SUM(W19:W31)</f>
        <v>3.2</v>
      </c>
      <c r="X32" s="4">
        <f>SUM(X19:X31)</f>
        <v>0.16500000000000001</v>
      </c>
      <c r="Y32" s="4">
        <f>SUM(Y19:Y31)</f>
        <v>1.2</v>
      </c>
      <c r="Z32" s="4">
        <f>SUM(Z19:Z31)</f>
        <v>0.46250000000000002</v>
      </c>
      <c r="AA32" s="4"/>
      <c r="AB32" s="4">
        <f>SUM(AB19:AB31)</f>
        <v>7.7</v>
      </c>
      <c r="AC32" s="4">
        <f>SUM(AC19:AC31)</f>
        <v>0.16500000000000001</v>
      </c>
      <c r="AD32" s="4">
        <f>SUM(AD19:AD31)</f>
        <v>1.2</v>
      </c>
      <c r="AE32" s="4">
        <f>SUM(AE19:AE31)</f>
        <v>11</v>
      </c>
      <c r="AF32" s="4"/>
      <c r="AG32" s="4">
        <f>SUM(AG19:AG31)</f>
        <v>4.5</v>
      </c>
      <c r="AH32" s="4">
        <f>SUM(AH19:AH31)</f>
        <v>0.16500000000000001</v>
      </c>
      <c r="AI32" s="4">
        <f>SUM(AI19:AI31)</f>
        <v>1.2</v>
      </c>
      <c r="AJ32" s="4">
        <f>SUM(AJ19:AJ31)</f>
        <v>1.4624999999999999</v>
      </c>
      <c r="AK32" s="4"/>
      <c r="AL32" s="4">
        <f>SUM(AL19:AL31)</f>
        <v>48.2</v>
      </c>
      <c r="AM32" s="4">
        <f>SUM(AM19:AM31)</f>
        <v>0.16500000000000001</v>
      </c>
      <c r="AN32" s="4">
        <f>SUM(AN19:AN31)</f>
        <v>1.2</v>
      </c>
      <c r="AO32" s="4">
        <f>SUM(AO19:AO31)</f>
        <v>0.46250000000000002</v>
      </c>
    </row>
    <row r="33" spans="1:41" x14ac:dyDescent="0.25">
      <c r="A33" s="60" t="s">
        <v>48</v>
      </c>
      <c r="B33" s="61"/>
      <c r="C33" s="61"/>
      <c r="D33" s="61"/>
      <c r="E33" s="61"/>
      <c r="F33" s="61"/>
      <c r="G33" s="6"/>
      <c r="H33" s="4">
        <v>80</v>
      </c>
      <c r="I33" s="4">
        <v>90</v>
      </c>
      <c r="J33" s="4">
        <v>60</v>
      </c>
      <c r="K33" s="4">
        <v>80</v>
      </c>
      <c r="L33" s="4"/>
      <c r="M33" s="4">
        <v>80</v>
      </c>
      <c r="N33" s="4">
        <v>90</v>
      </c>
      <c r="O33" s="4">
        <v>60</v>
      </c>
      <c r="P33" s="4">
        <v>80</v>
      </c>
      <c r="Q33" s="4"/>
      <c r="R33" s="4">
        <v>80</v>
      </c>
      <c r="S33" s="4">
        <v>90</v>
      </c>
      <c r="T33" s="4">
        <v>60</v>
      </c>
      <c r="U33" s="4">
        <v>80</v>
      </c>
      <c r="V33" s="4"/>
      <c r="W33" s="4">
        <v>80</v>
      </c>
      <c r="X33" s="4">
        <v>90</v>
      </c>
      <c r="Y33" s="4">
        <v>60</v>
      </c>
      <c r="Z33" s="4">
        <v>80</v>
      </c>
      <c r="AA33" s="4"/>
      <c r="AB33" s="4">
        <v>80</v>
      </c>
      <c r="AC33" s="4">
        <v>90</v>
      </c>
      <c r="AD33" s="4">
        <v>60</v>
      </c>
      <c r="AE33" s="4">
        <v>80</v>
      </c>
      <c r="AF33" s="4"/>
      <c r="AG33" s="4">
        <v>80</v>
      </c>
      <c r="AH33" s="4">
        <v>90</v>
      </c>
      <c r="AI33" s="4">
        <v>60</v>
      </c>
      <c r="AJ33" s="4">
        <v>80</v>
      </c>
      <c r="AK33" s="4"/>
      <c r="AL33" s="4">
        <v>80</v>
      </c>
      <c r="AM33" s="4">
        <v>90</v>
      </c>
      <c r="AN33" s="4">
        <v>60</v>
      </c>
      <c r="AO33" s="4">
        <v>80</v>
      </c>
    </row>
    <row r="34" spans="1:41" x14ac:dyDescent="0.25">
      <c r="A34" s="60" t="s">
        <v>49</v>
      </c>
      <c r="B34" s="61"/>
      <c r="C34" s="61"/>
      <c r="D34" s="61"/>
      <c r="E34" s="61"/>
      <c r="F34" s="61"/>
      <c r="G34" s="6"/>
      <c r="H34" s="4">
        <f>H32/H33*100</f>
        <v>0</v>
      </c>
      <c r="I34" s="4">
        <f>I32/I33*100</f>
        <v>0.18333333333333335</v>
      </c>
      <c r="J34" s="4">
        <f>J32/J33*100</f>
        <v>2</v>
      </c>
      <c r="K34" s="4">
        <f>K32/K33*100</f>
        <v>0.578125</v>
      </c>
      <c r="L34" s="4"/>
      <c r="M34" s="4">
        <f>M32/M33*100</f>
        <v>7.625</v>
      </c>
      <c r="N34" s="4">
        <f>N32/N33*100</f>
        <v>0.18333333333333335</v>
      </c>
      <c r="O34" s="4">
        <f>O32/O33*100</f>
        <v>1.2750000000000001</v>
      </c>
      <c r="P34" s="4">
        <f>P32/P33*100</f>
        <v>1.828125</v>
      </c>
      <c r="Q34" s="4"/>
      <c r="R34" s="4">
        <f>R32/R33*100</f>
        <v>0</v>
      </c>
      <c r="S34" s="4">
        <f>S32/S33*100</f>
        <v>0.18333333333333335</v>
      </c>
      <c r="T34" s="4">
        <f>T32/T33*100</f>
        <v>0.11</v>
      </c>
      <c r="U34" s="4">
        <f>U32/U33*100</f>
        <v>0.578125</v>
      </c>
      <c r="V34" s="4"/>
      <c r="W34" s="4">
        <f>W32/W33*100</f>
        <v>4</v>
      </c>
      <c r="X34" s="4">
        <f>X32/X33*100</f>
        <v>0.18333333333333335</v>
      </c>
      <c r="Y34" s="4">
        <f>Y32/Y33*100</f>
        <v>2</v>
      </c>
      <c r="Z34" s="4">
        <f>Z32/Z33*100</f>
        <v>0.578125</v>
      </c>
      <c r="AA34" s="4"/>
      <c r="AB34" s="4">
        <f>AB32/AB33*100</f>
        <v>9.625</v>
      </c>
      <c r="AC34" s="4">
        <f>AC32/AC33*100</f>
        <v>0.18333333333333335</v>
      </c>
      <c r="AD34" s="4">
        <f>AD32/AD33*100</f>
        <v>2</v>
      </c>
      <c r="AE34" s="4">
        <f>AE32/AE33*100</f>
        <v>13.750000000000002</v>
      </c>
      <c r="AF34" s="4"/>
      <c r="AG34" s="4">
        <f>AG32/AG33*100</f>
        <v>5.625</v>
      </c>
      <c r="AH34" s="4">
        <f>AH32/AH33*100</f>
        <v>0.18333333333333335</v>
      </c>
      <c r="AI34" s="4">
        <f>AI32/AI33*100</f>
        <v>2</v>
      </c>
      <c r="AJ34" s="4">
        <f>AJ32/AJ33*100</f>
        <v>1.828125</v>
      </c>
      <c r="AK34" s="4"/>
      <c r="AL34" s="4">
        <f>AL32/AL33*100</f>
        <v>60.25</v>
      </c>
      <c r="AM34" s="4">
        <f>AM32/AM33*100</f>
        <v>0.18333333333333335</v>
      </c>
      <c r="AN34" s="4">
        <f>AN32/AN33*100</f>
        <v>2</v>
      </c>
      <c r="AO34" s="4">
        <f>AO32/AO33*100</f>
        <v>0.578125</v>
      </c>
    </row>
    <row r="35" spans="1:41" x14ac:dyDescent="0.25">
      <c r="A35" s="60" t="s">
        <v>50</v>
      </c>
      <c r="B35" s="61"/>
      <c r="C35" s="61"/>
      <c r="D35" s="61"/>
      <c r="E35" s="61"/>
      <c r="F35" s="61"/>
      <c r="G35" s="6"/>
      <c r="H35" s="97">
        <f>SUM(H34:K34)</f>
        <v>2.7614583333333336</v>
      </c>
      <c r="I35" s="98"/>
      <c r="J35" s="98"/>
      <c r="K35" s="99"/>
      <c r="L35" s="4"/>
      <c r="M35" s="97">
        <f>SUM(M34:P34)</f>
        <v>10.911458333333334</v>
      </c>
      <c r="N35" s="98"/>
      <c r="O35" s="98"/>
      <c r="P35" s="99"/>
      <c r="Q35" s="4"/>
      <c r="R35" s="97">
        <f>SUM(R34:U34)</f>
        <v>0.87145833333333333</v>
      </c>
      <c r="S35" s="98"/>
      <c r="T35" s="98"/>
      <c r="U35" s="99"/>
      <c r="V35" s="4"/>
      <c r="W35" s="97">
        <f>SUM(W34:Z34)</f>
        <v>6.7614583333333336</v>
      </c>
      <c r="X35" s="98"/>
      <c r="Y35" s="98"/>
      <c r="Z35" s="99"/>
      <c r="AA35" s="4"/>
      <c r="AB35" s="97">
        <f>SUM(AB34:AE34)</f>
        <v>25.558333333333337</v>
      </c>
      <c r="AC35" s="98"/>
      <c r="AD35" s="98"/>
      <c r="AE35" s="99"/>
      <c r="AF35" s="4"/>
      <c r="AG35" s="97">
        <f>SUM(AG34:AJ34)</f>
        <v>9.6364583333333336</v>
      </c>
      <c r="AH35" s="98"/>
      <c r="AI35" s="98"/>
      <c r="AJ35" s="99"/>
      <c r="AK35" s="4"/>
      <c r="AL35" s="97">
        <f>SUM(AL34:AO34)</f>
        <v>63.01145833333333</v>
      </c>
      <c r="AM35" s="98"/>
      <c r="AN35" s="98"/>
      <c r="AO35" s="99"/>
    </row>
    <row r="36" spans="1:41" x14ac:dyDescent="0.25">
      <c r="A36" s="60" t="s">
        <v>51</v>
      </c>
      <c r="B36" s="61"/>
      <c r="C36" s="61"/>
      <c r="D36" s="61"/>
      <c r="E36" s="61"/>
      <c r="F36" s="61"/>
      <c r="G36" s="6"/>
      <c r="H36" s="100">
        <f>$G12</f>
        <v>25.054788888888883</v>
      </c>
      <c r="I36" s="101"/>
      <c r="J36" s="101"/>
      <c r="K36" s="102"/>
      <c r="L36" s="4"/>
      <c r="M36" s="100">
        <f>$G12</f>
        <v>25.054788888888883</v>
      </c>
      <c r="N36" s="101"/>
      <c r="O36" s="101"/>
      <c r="P36" s="102"/>
      <c r="Q36" s="4"/>
      <c r="R36" s="100">
        <f>$G12</f>
        <v>25.054788888888883</v>
      </c>
      <c r="S36" s="101"/>
      <c r="T36" s="101"/>
      <c r="U36" s="102"/>
      <c r="V36" s="4"/>
      <c r="W36" s="100">
        <f>$G12</f>
        <v>25.054788888888883</v>
      </c>
      <c r="X36" s="101"/>
      <c r="Y36" s="101"/>
      <c r="Z36" s="102"/>
      <c r="AA36" s="4"/>
      <c r="AB36" s="100">
        <f>$G12</f>
        <v>25.054788888888883</v>
      </c>
      <c r="AC36" s="101"/>
      <c r="AD36" s="101"/>
      <c r="AE36" s="102"/>
      <c r="AF36" s="4"/>
      <c r="AG36" s="100">
        <f>$G12</f>
        <v>25.054788888888883</v>
      </c>
      <c r="AH36" s="101"/>
      <c r="AI36" s="101"/>
      <c r="AJ36" s="102"/>
      <c r="AK36" s="4"/>
      <c r="AL36" s="100">
        <f>$G12</f>
        <v>25.054788888888883</v>
      </c>
      <c r="AM36" s="101"/>
      <c r="AN36" s="101"/>
      <c r="AO36" s="102"/>
    </row>
    <row r="37" spans="1:41" x14ac:dyDescent="0.25">
      <c r="A37" s="60" t="s">
        <v>52</v>
      </c>
      <c r="B37" s="61"/>
      <c r="C37" s="61"/>
      <c r="D37" s="61"/>
      <c r="E37" s="61"/>
      <c r="F37" s="61"/>
      <c r="G37" s="5"/>
      <c r="H37" s="103">
        <f>((H36-H35)/H35)</f>
        <v>8.0730280397334315</v>
      </c>
      <c r="I37" s="104"/>
      <c r="J37" s="104"/>
      <c r="K37" s="105"/>
      <c r="L37" s="17"/>
      <c r="M37" s="103">
        <f>((M36-M35)/M35)</f>
        <v>1.2961906762132054</v>
      </c>
      <c r="N37" s="104"/>
      <c r="O37" s="104"/>
      <c r="P37" s="105"/>
      <c r="Q37" s="17"/>
      <c r="R37" s="103">
        <f>((R36-R35)/R35)</f>
        <v>27.750415172523699</v>
      </c>
      <c r="S37" s="104"/>
      <c r="T37" s="104"/>
      <c r="U37" s="105"/>
      <c r="V37" s="17"/>
      <c r="W37" s="103">
        <f>((W36-W35)/W35)</f>
        <v>2.7055303240384112</v>
      </c>
      <c r="X37" s="104"/>
      <c r="Y37" s="104"/>
      <c r="Z37" s="105"/>
      <c r="AA37" s="17"/>
      <c r="AB37" s="103">
        <f>((AB36-AB35)/AB35)</f>
        <v>-1.970177154657141E-2</v>
      </c>
      <c r="AC37" s="104"/>
      <c r="AD37" s="104"/>
      <c r="AE37" s="105"/>
      <c r="AF37" s="17"/>
      <c r="AG37" s="103">
        <f>((AG36-AG35)/AG35)</f>
        <v>1.5999997117428739</v>
      </c>
      <c r="AH37" s="104"/>
      <c r="AI37" s="104"/>
      <c r="AJ37" s="105"/>
      <c r="AK37" s="17"/>
      <c r="AL37" s="103">
        <f>((AL36-AL35)/AL35)</f>
        <v>-0.60237725722283753</v>
      </c>
      <c r="AM37" s="104"/>
      <c r="AN37" s="104"/>
      <c r="AO37" s="105"/>
    </row>
    <row r="38" spans="1:41" x14ac:dyDescent="0.25">
      <c r="A38" s="60" t="s">
        <v>53</v>
      </c>
      <c r="B38" s="61"/>
      <c r="C38" s="61"/>
      <c r="D38" s="61"/>
      <c r="E38" s="61"/>
      <c r="F38" s="61"/>
      <c r="G38" s="6"/>
      <c r="H38" s="100">
        <v>0</v>
      </c>
      <c r="I38" s="101"/>
      <c r="J38" s="101"/>
      <c r="K38" s="102"/>
      <c r="L38" s="4"/>
      <c r="M38" s="100">
        <v>0</v>
      </c>
      <c r="N38" s="101"/>
      <c r="O38" s="101"/>
      <c r="P38" s="102"/>
      <c r="Q38" s="4"/>
      <c r="R38" s="100">
        <v>0</v>
      </c>
      <c r="S38" s="101"/>
      <c r="T38" s="101"/>
      <c r="U38" s="102"/>
      <c r="V38" s="4"/>
      <c r="W38" s="100">
        <v>0</v>
      </c>
      <c r="X38" s="101"/>
      <c r="Y38" s="101"/>
      <c r="Z38" s="102"/>
      <c r="AA38" s="4"/>
      <c r="AB38" s="100">
        <v>1</v>
      </c>
      <c r="AC38" s="101"/>
      <c r="AD38" s="101"/>
      <c r="AE38" s="102"/>
      <c r="AF38" s="4"/>
      <c r="AG38" s="100">
        <f>G10-AL38-AB38-W38-R38-M38-H38</f>
        <v>74</v>
      </c>
      <c r="AH38" s="101"/>
      <c r="AI38" s="101"/>
      <c r="AJ38" s="102"/>
      <c r="AK38" s="4"/>
      <c r="AL38" s="100">
        <v>15</v>
      </c>
      <c r="AM38" s="101"/>
      <c r="AN38" s="101"/>
      <c r="AO38" s="102"/>
    </row>
    <row r="39" spans="1:41" x14ac:dyDescent="0.25">
      <c r="A39" s="60" t="s">
        <v>54</v>
      </c>
      <c r="B39" s="61"/>
      <c r="C39" s="61"/>
      <c r="D39" s="61"/>
      <c r="E39" s="61"/>
      <c r="F39" s="61"/>
      <c r="G39" s="6"/>
      <c r="H39" s="100">
        <f>H35*H38/60</f>
        <v>0</v>
      </c>
      <c r="I39" s="101"/>
      <c r="J39" s="101"/>
      <c r="K39" s="102"/>
      <c r="L39" s="4"/>
      <c r="M39" s="100">
        <f>M35*M38/60</f>
        <v>0</v>
      </c>
      <c r="N39" s="101"/>
      <c r="O39" s="101"/>
      <c r="P39" s="102"/>
      <c r="Q39" s="4"/>
      <c r="R39" s="100">
        <f>R35*R38/60</f>
        <v>0</v>
      </c>
      <c r="S39" s="101"/>
      <c r="T39" s="101"/>
      <c r="U39" s="102"/>
      <c r="V39" s="4"/>
      <c r="W39" s="100">
        <f>W35*W38/60</f>
        <v>0</v>
      </c>
      <c r="X39" s="101"/>
      <c r="Y39" s="101"/>
      <c r="Z39" s="102"/>
      <c r="AA39" s="4"/>
      <c r="AB39" s="100">
        <f>AB35*AB38/60</f>
        <v>0.42597222222222231</v>
      </c>
      <c r="AC39" s="101"/>
      <c r="AD39" s="101"/>
      <c r="AE39" s="102"/>
      <c r="AF39" s="4"/>
      <c r="AG39" s="100">
        <f>AG35*AG38/60</f>
        <v>11.884965277777779</v>
      </c>
      <c r="AH39" s="101"/>
      <c r="AI39" s="101"/>
      <c r="AJ39" s="102"/>
      <c r="AK39" s="4"/>
      <c r="AL39" s="100">
        <f>AL35*AL38/60</f>
        <v>15.752864583333333</v>
      </c>
      <c r="AM39" s="101"/>
      <c r="AN39" s="101"/>
      <c r="AO39" s="102"/>
    </row>
    <row r="40" spans="1:41" x14ac:dyDescent="0.25">
      <c r="A40" s="60" t="s">
        <v>55</v>
      </c>
      <c r="B40" s="61"/>
      <c r="C40" s="61"/>
      <c r="D40" s="61"/>
      <c r="E40" s="61"/>
      <c r="F40" s="61"/>
      <c r="G40" s="110">
        <f>H39+M39+R39+W39+AB39+AG39+AL39</f>
        <v>28.063802083333336</v>
      </c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</row>
    <row r="41" spans="1:41" x14ac:dyDescent="0.25">
      <c r="A41" s="60" t="s">
        <v>56</v>
      </c>
      <c r="B41" s="61"/>
      <c r="C41" s="61"/>
      <c r="D41" s="61"/>
      <c r="E41" s="61"/>
      <c r="F41" s="61"/>
      <c r="G41" s="110">
        <f>G12*G10/60</f>
        <v>37.582183333333326</v>
      </c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</row>
    <row r="42" spans="1:41" x14ac:dyDescent="0.25">
      <c r="A42" s="60" t="s">
        <v>57</v>
      </c>
      <c r="B42" s="61"/>
      <c r="C42" s="61"/>
      <c r="D42" s="61"/>
      <c r="E42" s="61"/>
      <c r="F42" s="61"/>
      <c r="G42" s="106">
        <f>(G41-G40)/G41</f>
        <v>0.25326844812546351</v>
      </c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</row>
    <row r="43" spans="1:41" s="32" customFormat="1" x14ac:dyDescent="0.25">
      <c r="A43" s="34"/>
      <c r="B43" s="35"/>
      <c r="C43" s="35"/>
      <c r="D43" s="35"/>
      <c r="E43" s="35"/>
      <c r="F43" s="35"/>
      <c r="G43" s="39"/>
      <c r="H43" s="40"/>
      <c r="I43" s="41" t="s">
        <v>58</v>
      </c>
      <c r="J43" s="42"/>
      <c r="K43" s="39"/>
      <c r="L43" s="42"/>
      <c r="M43" s="37" t="s">
        <v>59</v>
      </c>
      <c r="N43" s="42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1:41" s="32" customFormat="1" x14ac:dyDescent="0.25">
      <c r="A44" s="108" t="s">
        <v>60</v>
      </c>
      <c r="B44" s="109"/>
      <c r="C44" s="109"/>
      <c r="D44" s="109"/>
      <c r="E44" s="109"/>
      <c r="F44" s="109"/>
      <c r="G44" s="43">
        <f>(H32*H38+M32*M38+R32*R38+W32*W38+AB32*AB38+AG32*AG38+AL32*AL38)/G10</f>
        <v>11.818888888888889</v>
      </c>
      <c r="H44" s="40" t="s">
        <v>61</v>
      </c>
      <c r="I44" s="41">
        <f>G44/12</f>
        <v>0.98490740740740745</v>
      </c>
      <c r="J44" s="37" t="s">
        <v>62</v>
      </c>
      <c r="K44" s="43">
        <f>(H34*H38+M34*M38+R34*R38+W34*W38+AB34*AB38+AG34*AG38+AL34*AL38)/G10</f>
        <v>14.77361111111111</v>
      </c>
      <c r="L44" s="37" t="s">
        <v>61</v>
      </c>
      <c r="M44" s="41">
        <f>K44/(2*3.7)</f>
        <v>1.9964339339339336</v>
      </c>
      <c r="N44" s="37" t="s">
        <v>62</v>
      </c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1:41" s="32" customFormat="1" x14ac:dyDescent="0.25">
      <c r="A45" s="108" t="s">
        <v>63</v>
      </c>
      <c r="B45" s="109"/>
      <c r="C45" s="109"/>
      <c r="D45" s="109"/>
      <c r="E45" s="109"/>
      <c r="F45" s="109"/>
      <c r="G45" s="43">
        <f>(I32*H38+N32*M38+S32*R38+X32*W38+AC32*AB38+AH32*AG38+AM32*AL38)/G10</f>
        <v>0.16500000000000001</v>
      </c>
      <c r="H45" s="40" t="s">
        <v>61</v>
      </c>
      <c r="I45" s="41">
        <f>G45/(7.4)</f>
        <v>2.2297297297297299E-2</v>
      </c>
      <c r="J45" s="37" t="s">
        <v>62</v>
      </c>
      <c r="K45" s="43">
        <f>(I34*H38+N34*M38+S34*R38+X34*W38+AC34*AB38+AH34*AG38+AM34*AL38)/G10</f>
        <v>0.18333333333333332</v>
      </c>
      <c r="L45" s="37" t="s">
        <v>61</v>
      </c>
      <c r="M45" s="41">
        <f>K45/(2*3.7)</f>
        <v>2.4774774774774772E-2</v>
      </c>
      <c r="N45" s="37" t="s">
        <v>62</v>
      </c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</row>
    <row r="46" spans="1:41" s="32" customFormat="1" x14ac:dyDescent="0.25">
      <c r="A46" s="108" t="s">
        <v>64</v>
      </c>
      <c r="B46" s="109"/>
      <c r="C46" s="109"/>
      <c r="D46" s="109"/>
      <c r="E46" s="109"/>
      <c r="F46" s="109"/>
      <c r="G46" s="43">
        <f>(J32*H38+O32*M38+T32*R38+Y32*W38+AD32*AB38+AI32*AG38+AN32*AL38)/G10</f>
        <v>1.2</v>
      </c>
      <c r="H46" s="40" t="s">
        <v>61</v>
      </c>
      <c r="I46" s="41">
        <f>G46/3.3</f>
        <v>0.36363636363636365</v>
      </c>
      <c r="J46" s="37" t="s">
        <v>62</v>
      </c>
      <c r="K46" s="43">
        <f>(J34*H38+O34*M38+T34*R38+Y34*W38+AD34*AB38+AI34*AG38+AN34*AL38)/G10</f>
        <v>2</v>
      </c>
      <c r="L46" s="37" t="s">
        <v>61</v>
      </c>
      <c r="M46" s="41">
        <f>K46/(2*3.7)</f>
        <v>0.27027027027027023</v>
      </c>
      <c r="N46" s="37" t="s">
        <v>62</v>
      </c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</row>
    <row r="47" spans="1:41" s="32" customFormat="1" x14ac:dyDescent="0.25">
      <c r="A47" s="108" t="s">
        <v>65</v>
      </c>
      <c r="B47" s="109"/>
      <c r="C47" s="109"/>
      <c r="D47" s="109"/>
      <c r="E47" s="109"/>
      <c r="F47" s="109"/>
      <c r="G47" s="46">
        <f>(K32*H38+P32*M38+U32*R38+Z32*W38+AE32*AB38+AJ32*AG38+AO32*AL38)/G10</f>
        <v>1.4018055555555555</v>
      </c>
      <c r="H47" s="47" t="s">
        <v>61</v>
      </c>
      <c r="I47" s="41">
        <f>G47/5</f>
        <v>0.28036111111111112</v>
      </c>
      <c r="J47" s="37" t="s">
        <v>62</v>
      </c>
      <c r="K47" s="43">
        <f>(K34*H38+P34*M38+U34*R38+Z34*W38+AE34*AB38+AJ34*AG38+AO34*AL38)/G10</f>
        <v>1.7522569444444445</v>
      </c>
      <c r="L47" s="37" t="s">
        <v>61</v>
      </c>
      <c r="M47" s="41">
        <f>K47/(2*3.7)</f>
        <v>0.23679147897897898</v>
      </c>
      <c r="N47" s="37" t="s">
        <v>62</v>
      </c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</row>
    <row r="48" spans="1:41" s="32" customFormat="1" x14ac:dyDescent="0.25">
      <c r="A48" s="34"/>
      <c r="B48" s="35"/>
      <c r="C48" s="35"/>
      <c r="D48" s="35"/>
      <c r="E48" s="35"/>
      <c r="F48" s="35"/>
      <c r="G48" s="43"/>
      <c r="H48" s="40"/>
      <c r="I48" s="41" t="s">
        <v>58</v>
      </c>
      <c r="J48" s="37"/>
      <c r="K48" s="43"/>
      <c r="L48" s="37"/>
      <c r="M48" s="37" t="s">
        <v>59</v>
      </c>
      <c r="N48" s="37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1:41" s="32" customFormat="1" x14ac:dyDescent="0.25">
      <c r="A49" s="108" t="s">
        <v>66</v>
      </c>
      <c r="B49" s="109"/>
      <c r="C49" s="109"/>
      <c r="D49" s="109"/>
      <c r="E49" s="109"/>
      <c r="F49" s="109"/>
      <c r="G49" s="43">
        <f>MAX(H32,M32,R32,W32,AB32,AG32,AL32)</f>
        <v>48.2</v>
      </c>
      <c r="H49" s="40" t="s">
        <v>61</v>
      </c>
      <c r="I49" s="41">
        <f>G49/12</f>
        <v>4.0166666666666666</v>
      </c>
      <c r="J49" s="37" t="s">
        <v>62</v>
      </c>
      <c r="K49" s="43">
        <f>MAX(H34,M34,R34,W34,AB34,AG34,AL34)</f>
        <v>60.25</v>
      </c>
      <c r="L49" s="37" t="s">
        <v>61</v>
      </c>
      <c r="M49" s="41">
        <f>K49/(2*3.7)</f>
        <v>8.1418918918918912</v>
      </c>
      <c r="N49" s="37" t="s">
        <v>62</v>
      </c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</row>
    <row r="50" spans="1:41" s="32" customFormat="1" x14ac:dyDescent="0.25">
      <c r="A50" s="108" t="s">
        <v>67</v>
      </c>
      <c r="B50" s="109"/>
      <c r="C50" s="109"/>
      <c r="D50" s="109"/>
      <c r="E50" s="109"/>
      <c r="F50" s="109"/>
      <c r="G50" s="43">
        <f>MAX(I32,N32,S32,X32,AC32,AH32,AM32)</f>
        <v>0.16500000000000001</v>
      </c>
      <c r="H50" s="40" t="s">
        <v>61</v>
      </c>
      <c r="I50" s="41">
        <f>G50/(7.4)</f>
        <v>2.2297297297297299E-2</v>
      </c>
      <c r="J50" s="37" t="s">
        <v>62</v>
      </c>
      <c r="K50" s="43">
        <f>MAX(I34,N34,S34,X34,AC34,AH34,AM34)</f>
        <v>0.18333333333333335</v>
      </c>
      <c r="L50" s="37" t="s">
        <v>61</v>
      </c>
      <c r="M50" s="41">
        <f>K50/(2*3.7)</f>
        <v>2.4774774774774775E-2</v>
      </c>
      <c r="N50" s="37" t="s">
        <v>62</v>
      </c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</row>
    <row r="51" spans="1:41" s="32" customFormat="1" x14ac:dyDescent="0.25">
      <c r="A51" s="108" t="s">
        <v>68</v>
      </c>
      <c r="B51" s="109"/>
      <c r="C51" s="109"/>
      <c r="D51" s="109"/>
      <c r="E51" s="109"/>
      <c r="F51" s="109"/>
      <c r="G51" s="50">
        <f>MAX(J32,O32,T32,Y32,AD32,AI32,AN32)</f>
        <v>1.2</v>
      </c>
      <c r="H51" s="51" t="s">
        <v>61</v>
      </c>
      <c r="I51" s="48">
        <f>G51/3.3</f>
        <v>0.36363636363636365</v>
      </c>
      <c r="J51" s="49" t="s">
        <v>62</v>
      </c>
      <c r="K51" s="43">
        <f>MAX(J34,O34,T34,Y34,AD34,AI34,AN34)</f>
        <v>2</v>
      </c>
      <c r="L51" s="37" t="s">
        <v>61</v>
      </c>
      <c r="M51" s="48">
        <f>K51/(2*3.7)</f>
        <v>0.27027027027027023</v>
      </c>
      <c r="N51" s="49" t="s">
        <v>62</v>
      </c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</row>
    <row r="52" spans="1:41" s="32" customFormat="1" x14ac:dyDescent="0.25">
      <c r="A52" s="108" t="s">
        <v>69</v>
      </c>
      <c r="B52" s="109"/>
      <c r="C52" s="109"/>
      <c r="D52" s="109"/>
      <c r="E52" s="109"/>
      <c r="F52" s="109"/>
      <c r="G52" s="46">
        <f>MAX(K32,P32,U32,Z32,AE32,AJ32,AO32)</f>
        <v>11</v>
      </c>
      <c r="H52" s="47" t="s">
        <v>61</v>
      </c>
      <c r="I52" s="48">
        <f>G52/5</f>
        <v>2.2000000000000002</v>
      </c>
      <c r="J52" s="49" t="s">
        <v>62</v>
      </c>
      <c r="K52" s="43">
        <f>MAX(K34,P34,U34,Z34,AE34,AJ34,AO34)</f>
        <v>13.750000000000002</v>
      </c>
      <c r="L52" s="37" t="s">
        <v>61</v>
      </c>
      <c r="M52" s="48">
        <f>K52/(2*3.7)</f>
        <v>1.8581081081081083</v>
      </c>
      <c r="N52" s="49" t="s">
        <v>62</v>
      </c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</row>
    <row r="53" spans="1:41" s="28" customFormat="1" x14ac:dyDescent="0.25">
      <c r="A53" s="112" t="s">
        <v>70</v>
      </c>
      <c r="B53" s="113"/>
      <c r="C53" s="113"/>
      <c r="D53" s="113"/>
      <c r="E53" s="113"/>
      <c r="F53" s="113"/>
      <c r="G53" s="44">
        <f>AL39+AB39+AG39/AG38*(G13-AL38-AB38)</f>
        <v>24.851649305555554</v>
      </c>
      <c r="H53" s="38" t="s">
        <v>71</v>
      </c>
      <c r="I53" s="38"/>
      <c r="J53" s="38"/>
      <c r="K53" s="38"/>
      <c r="L53" s="38"/>
      <c r="M53" s="38"/>
      <c r="N53" s="38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s="28" customFormat="1" x14ac:dyDescent="0.25">
      <c r="A54" s="112" t="s">
        <v>72</v>
      </c>
      <c r="B54" s="113"/>
      <c r="C54" s="113"/>
      <c r="D54" s="113"/>
      <c r="E54" s="113"/>
      <c r="F54" s="113"/>
      <c r="G54" s="44">
        <f>MAX((AL35-AL36)*AL38/60+(AG35-AG36)*(G13-AL38)/60,AG35*G13/60,)</f>
        <v>11.242534722222222</v>
      </c>
      <c r="H54" s="38" t="s">
        <v>71</v>
      </c>
      <c r="I54" s="38"/>
      <c r="J54" s="38"/>
      <c r="K54" s="38"/>
      <c r="L54" s="38"/>
      <c r="M54" s="38"/>
      <c r="N54" s="38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s="28" customFormat="1" x14ac:dyDescent="0.25">
      <c r="A55" s="112" t="s">
        <v>73</v>
      </c>
      <c r="B55" s="113"/>
      <c r="C55" s="113"/>
      <c r="D55" s="113"/>
      <c r="E55" s="113"/>
      <c r="F55" s="113"/>
      <c r="G55" s="44">
        <f>AL35/(2*3.7)</f>
        <v>8.5150619369369362</v>
      </c>
      <c r="H55" s="38" t="s">
        <v>62</v>
      </c>
      <c r="I55" s="38"/>
      <c r="J55" s="38"/>
      <c r="K55" s="38"/>
      <c r="L55" s="38"/>
      <c r="M55" s="38"/>
      <c r="N55" s="38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s="28" customFormat="1" x14ac:dyDescent="0.25">
      <c r="A56" s="112" t="s">
        <v>74</v>
      </c>
      <c r="B56" s="113"/>
      <c r="C56" s="113"/>
      <c r="D56" s="113"/>
      <c r="E56" s="113"/>
      <c r="F56" s="113"/>
      <c r="G56" s="44">
        <f>(G11)/(2*3.7)</f>
        <v>4.3531486486486477</v>
      </c>
      <c r="H56" s="38" t="s">
        <v>62</v>
      </c>
      <c r="I56" s="38"/>
      <c r="J56" s="38"/>
      <c r="K56" s="38"/>
      <c r="L56" s="38"/>
      <c r="M56" s="38"/>
      <c r="N56" s="38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s="28" customFormat="1" x14ac:dyDescent="0.25">
      <c r="A57" s="29" t="s">
        <v>75</v>
      </c>
      <c r="B57" s="30"/>
      <c r="C57" s="30" t="s">
        <v>76</v>
      </c>
      <c r="D57" s="30"/>
      <c r="E57" s="30"/>
      <c r="F57" s="30"/>
      <c r="G57" s="45">
        <f>(AG35)/(2*3.7)</f>
        <v>1.302224099099099</v>
      </c>
      <c r="H57" s="38" t="s">
        <v>62</v>
      </c>
      <c r="I57" s="38">
        <f>30/60*-G57</f>
        <v>-0.65111204954954949</v>
      </c>
      <c r="J57" s="38" t="s">
        <v>77</v>
      </c>
      <c r="K57" s="38"/>
      <c r="L57" s="38"/>
      <c r="M57" s="38"/>
      <c r="N57" s="38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s="28" customFormat="1" x14ac:dyDescent="0.25">
      <c r="A58" s="29" t="s">
        <v>78</v>
      </c>
      <c r="B58" s="30"/>
      <c r="C58" s="30" t="s">
        <v>79</v>
      </c>
      <c r="D58" s="30"/>
      <c r="E58" s="30"/>
      <c r="F58" s="30"/>
      <c r="G58" s="45">
        <f>(AL35-G11)/(2*3.7)</f>
        <v>4.1619132882882877</v>
      </c>
      <c r="H58" s="38" t="s">
        <v>62</v>
      </c>
      <c r="I58" s="38">
        <f>10/60*-G58</f>
        <v>-0.69365221471471461</v>
      </c>
      <c r="J58" s="38" t="s">
        <v>77</v>
      </c>
      <c r="K58" s="38"/>
      <c r="L58" s="38"/>
      <c r="M58" s="38"/>
      <c r="N58" s="38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s="28" customFormat="1" x14ac:dyDescent="0.25">
      <c r="A59" s="29" t="s">
        <v>80</v>
      </c>
      <c r="B59" s="30"/>
      <c r="C59" s="30" t="s">
        <v>81</v>
      </c>
      <c r="D59" s="30"/>
      <c r="E59" s="30"/>
      <c r="F59" s="30"/>
      <c r="G59" s="45">
        <f>(G11-AG35)/(2*3.7)</f>
        <v>3.0509245495495487</v>
      </c>
      <c r="H59" s="38" t="s">
        <v>62</v>
      </c>
      <c r="I59" s="38">
        <f>50/60*G59</f>
        <v>2.542437124624624</v>
      </c>
      <c r="J59" s="38" t="s">
        <v>77</v>
      </c>
      <c r="K59" s="38"/>
      <c r="L59" s="38"/>
      <c r="M59" s="38"/>
      <c r="N59" s="38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2" spans="1:41" x14ac:dyDescent="0.25">
      <c r="F62" t="s">
        <v>82</v>
      </c>
      <c r="G62" s="53">
        <f>G56</f>
        <v>4.3531486486486477</v>
      </c>
      <c r="H62" t="s">
        <v>62</v>
      </c>
      <c r="I62" s="54">
        <v>2</v>
      </c>
      <c r="J62" s="56">
        <f>G62*I62</f>
        <v>8.7062972972972954</v>
      </c>
      <c r="K62" s="57" t="s">
        <v>62</v>
      </c>
      <c r="L62" s="53">
        <f>(2*3.7)</f>
        <v>7.4</v>
      </c>
      <c r="M62" s="52" t="s">
        <v>83</v>
      </c>
      <c r="N62" s="54">
        <v>1.5</v>
      </c>
      <c r="O62" s="56">
        <f>L62*N62</f>
        <v>11.100000000000001</v>
      </c>
      <c r="P62" s="57" t="s">
        <v>83</v>
      </c>
    </row>
    <row r="63" spans="1:41" x14ac:dyDescent="0.25">
      <c r="F63" t="s">
        <v>84</v>
      </c>
      <c r="G63" s="53">
        <f>M51</f>
        <v>0.27027027027027023</v>
      </c>
      <c r="H63" t="s">
        <v>62</v>
      </c>
      <c r="I63" s="54">
        <v>2</v>
      </c>
      <c r="J63" s="56">
        <f t="shared" ref="J63" si="28">G63*I63</f>
        <v>0.54054054054054046</v>
      </c>
      <c r="K63" s="57" t="s">
        <v>62</v>
      </c>
      <c r="L63" s="53">
        <f>(2*3.7)</f>
        <v>7.4</v>
      </c>
      <c r="M63" t="s">
        <v>83</v>
      </c>
      <c r="N63" s="54">
        <v>1.5</v>
      </c>
      <c r="O63" s="56">
        <f t="shared" ref="O63" si="29">L63*N63</f>
        <v>11.100000000000001</v>
      </c>
      <c r="P63" s="57" t="s">
        <v>83</v>
      </c>
      <c r="Q63" t="s">
        <v>85</v>
      </c>
    </row>
    <row r="64" spans="1:41" x14ac:dyDescent="0.25">
      <c r="F64" t="s">
        <v>86</v>
      </c>
      <c r="G64" s="53">
        <f>I51</f>
        <v>0.36363636363636365</v>
      </c>
      <c r="H64" t="s">
        <v>62</v>
      </c>
      <c r="I64" s="54">
        <v>2</v>
      </c>
      <c r="J64" s="56">
        <f t="shared" ref="J64" si="30">G64*I64</f>
        <v>0.72727272727272729</v>
      </c>
      <c r="K64" s="57" t="s">
        <v>62</v>
      </c>
      <c r="L64" s="53">
        <v>3.3</v>
      </c>
      <c r="M64" t="s">
        <v>83</v>
      </c>
      <c r="N64" s="54">
        <v>1.5</v>
      </c>
      <c r="O64" s="56">
        <f t="shared" ref="O64:O66" si="31">L64*N64</f>
        <v>4.9499999999999993</v>
      </c>
      <c r="P64" s="57" t="s">
        <v>83</v>
      </c>
      <c r="Q64" t="s">
        <v>85</v>
      </c>
    </row>
    <row r="65" spans="6:18" x14ac:dyDescent="0.25">
      <c r="F65" t="s">
        <v>87</v>
      </c>
      <c r="G65" s="58">
        <f>M52</f>
        <v>1.8581081081081083</v>
      </c>
      <c r="H65" t="s">
        <v>62</v>
      </c>
      <c r="I65" s="54">
        <v>2</v>
      </c>
      <c r="J65" s="56">
        <f>G65*I65</f>
        <v>3.7162162162162167</v>
      </c>
      <c r="K65" s="57" t="s">
        <v>62</v>
      </c>
      <c r="L65" s="58">
        <f>(2*3.7)</f>
        <v>7.4</v>
      </c>
      <c r="M65" t="s">
        <v>83</v>
      </c>
      <c r="N65" s="54">
        <v>1.5</v>
      </c>
      <c r="O65" s="56">
        <f t="shared" ref="O65" si="32">L65*N65</f>
        <v>11.100000000000001</v>
      </c>
      <c r="P65" s="57" t="s">
        <v>83</v>
      </c>
    </row>
    <row r="66" spans="6:18" x14ac:dyDescent="0.25">
      <c r="F66" t="s">
        <v>88</v>
      </c>
      <c r="G66" s="53">
        <f>I52</f>
        <v>2.2000000000000002</v>
      </c>
      <c r="H66" t="s">
        <v>62</v>
      </c>
      <c r="I66" s="54">
        <v>2</v>
      </c>
      <c r="J66" s="56">
        <f>G66*I66</f>
        <v>4.4000000000000004</v>
      </c>
      <c r="K66" s="57" t="s">
        <v>62</v>
      </c>
      <c r="L66" s="53">
        <v>5</v>
      </c>
      <c r="M66" t="s">
        <v>83</v>
      </c>
      <c r="N66" s="54">
        <v>1.5</v>
      </c>
      <c r="O66" s="56">
        <f t="shared" si="31"/>
        <v>7.5</v>
      </c>
      <c r="P66" s="57" t="s">
        <v>83</v>
      </c>
    </row>
    <row r="67" spans="6:18" x14ac:dyDescent="0.25">
      <c r="F67" t="s">
        <v>89</v>
      </c>
      <c r="G67" s="55">
        <f>M49</f>
        <v>8.1418918918918912</v>
      </c>
      <c r="H67" t="s">
        <v>62</v>
      </c>
      <c r="I67" s="54">
        <v>2</v>
      </c>
      <c r="J67" s="56">
        <f>G67*I67</f>
        <v>16.283783783783782</v>
      </c>
      <c r="K67" s="57" t="s">
        <v>62</v>
      </c>
      <c r="L67" s="53">
        <f>(2*3.7)</f>
        <v>7.4</v>
      </c>
      <c r="M67" t="s">
        <v>83</v>
      </c>
      <c r="N67" s="54">
        <v>1.5</v>
      </c>
      <c r="O67" s="56">
        <f t="shared" ref="O67" si="33">L67*N67</f>
        <v>11.100000000000001</v>
      </c>
      <c r="P67" s="57" t="s">
        <v>83</v>
      </c>
    </row>
    <row r="68" spans="6:18" x14ac:dyDescent="0.25">
      <c r="F68" t="s">
        <v>90</v>
      </c>
      <c r="G68" s="55">
        <f>I49</f>
        <v>4.0166666666666666</v>
      </c>
      <c r="H68" t="s">
        <v>62</v>
      </c>
      <c r="I68" s="54">
        <v>2</v>
      </c>
      <c r="J68" s="56">
        <f>G68*I68</f>
        <v>8.0333333333333332</v>
      </c>
      <c r="K68" s="57" t="s">
        <v>62</v>
      </c>
      <c r="L68" s="53">
        <f>12</f>
        <v>12</v>
      </c>
      <c r="M68" t="s">
        <v>83</v>
      </c>
      <c r="N68" s="54">
        <v>1.5</v>
      </c>
      <c r="O68" s="56">
        <f t="shared" ref="O68" si="34">L68*N68</f>
        <v>18</v>
      </c>
      <c r="P68" s="57" t="s">
        <v>83</v>
      </c>
    </row>
    <row r="70" spans="6:18" x14ac:dyDescent="0.25">
      <c r="R70" t="s">
        <v>91</v>
      </c>
    </row>
    <row r="72" spans="6:18" x14ac:dyDescent="0.25">
      <c r="G72" t="s">
        <v>29</v>
      </c>
      <c r="H72">
        <v>27.22</v>
      </c>
      <c r="I72" s="59">
        <f>H72/H$74</f>
        <v>0.96696269982238015</v>
      </c>
    </row>
    <row r="73" spans="6:18" x14ac:dyDescent="0.25">
      <c r="G73" t="s">
        <v>92</v>
      </c>
      <c r="H73">
        <v>27.39</v>
      </c>
      <c r="I73" s="59">
        <f>H73/H$74</f>
        <v>0.97300177619893435</v>
      </c>
    </row>
    <row r="74" spans="6:18" x14ac:dyDescent="0.25">
      <c r="G74" t="s">
        <v>93</v>
      </c>
      <c r="H74">
        <v>28.15</v>
      </c>
      <c r="I74" s="59">
        <f>H74/H$74</f>
        <v>1</v>
      </c>
    </row>
  </sheetData>
  <mergeCells count="99">
    <mergeCell ref="A11:B11"/>
    <mergeCell ref="G11:AO11"/>
    <mergeCell ref="A55:F55"/>
    <mergeCell ref="A56:F56"/>
    <mergeCell ref="A52:F52"/>
    <mergeCell ref="A53:F53"/>
    <mergeCell ref="A54:F54"/>
    <mergeCell ref="A49:F49"/>
    <mergeCell ref="A50:F50"/>
    <mergeCell ref="A51:F51"/>
    <mergeCell ref="A45:F45"/>
    <mergeCell ref="A46:F46"/>
    <mergeCell ref="A47:F47"/>
    <mergeCell ref="A41:F41"/>
    <mergeCell ref="G41:AO41"/>
    <mergeCell ref="A42:F42"/>
    <mergeCell ref="A44:F44"/>
    <mergeCell ref="AG39:AJ39"/>
    <mergeCell ref="AL39:AO39"/>
    <mergeCell ref="G40:AO40"/>
    <mergeCell ref="A40:F40"/>
    <mergeCell ref="A39:F39"/>
    <mergeCell ref="H39:K39"/>
    <mergeCell ref="M39:P39"/>
    <mergeCell ref="R39:U39"/>
    <mergeCell ref="W39:Z39"/>
    <mergeCell ref="A36:F36"/>
    <mergeCell ref="A37:F37"/>
    <mergeCell ref="AB39:AE39"/>
    <mergeCell ref="AB38:AE38"/>
    <mergeCell ref="G42:AO42"/>
    <mergeCell ref="AG38:AJ38"/>
    <mergeCell ref="AL38:AO38"/>
    <mergeCell ref="AB36:AE36"/>
    <mergeCell ref="AB37:AE37"/>
    <mergeCell ref="A38:F38"/>
    <mergeCell ref="H38:K38"/>
    <mergeCell ref="M38:P38"/>
    <mergeCell ref="R38:U38"/>
    <mergeCell ref="W38:Z38"/>
    <mergeCell ref="M36:P36"/>
    <mergeCell ref="M37:P37"/>
    <mergeCell ref="R36:U36"/>
    <mergeCell ref="R37:U37"/>
    <mergeCell ref="H36:K36"/>
    <mergeCell ref="H37:K37"/>
    <mergeCell ref="W36:Z36"/>
    <mergeCell ref="W37:Z37"/>
    <mergeCell ref="AL36:AO36"/>
    <mergeCell ref="AL37:AO37"/>
    <mergeCell ref="AG17:AJ17"/>
    <mergeCell ref="AL17:AO17"/>
    <mergeCell ref="AK17:AK18"/>
    <mergeCell ref="AG35:AJ35"/>
    <mergeCell ref="AG36:AJ36"/>
    <mergeCell ref="AG37:AJ37"/>
    <mergeCell ref="A34:F34"/>
    <mergeCell ref="H35:K35"/>
    <mergeCell ref="R35:U35"/>
    <mergeCell ref="AB35:AE35"/>
    <mergeCell ref="AL35:AO35"/>
    <mergeCell ref="A35:F35"/>
    <mergeCell ref="M35:P35"/>
    <mergeCell ref="W35:Z35"/>
    <mergeCell ref="H17:K17"/>
    <mergeCell ref="M17:P17"/>
    <mergeCell ref="R17:U17"/>
    <mergeCell ref="W17:Z17"/>
    <mergeCell ref="AB17:AE17"/>
    <mergeCell ref="Q17:Q18"/>
    <mergeCell ref="V17:V18"/>
    <mergeCell ref="G8:AO8"/>
    <mergeCell ref="A9:F9"/>
    <mergeCell ref="G9:AO9"/>
    <mergeCell ref="A10:F10"/>
    <mergeCell ref="G10:AO10"/>
    <mergeCell ref="AF17:AF18"/>
    <mergeCell ref="L17:L18"/>
    <mergeCell ref="AA17:AA18"/>
    <mergeCell ref="A1:AO3"/>
    <mergeCell ref="A6:F6"/>
    <mergeCell ref="G6:AO6"/>
    <mergeCell ref="A7:F7"/>
    <mergeCell ref="G7:AO7"/>
    <mergeCell ref="A12:F12"/>
    <mergeCell ref="G12:AO12"/>
    <mergeCell ref="A13:F13"/>
    <mergeCell ref="G13:AO13"/>
    <mergeCell ref="A16:F16"/>
    <mergeCell ref="G16:AO16"/>
    <mergeCell ref="A17:B18"/>
    <mergeCell ref="A8:F8"/>
    <mergeCell ref="A32:F32"/>
    <mergeCell ref="A33:F33"/>
    <mergeCell ref="G17:G18"/>
    <mergeCell ref="E17:E18"/>
    <mergeCell ref="D17:D18"/>
    <mergeCell ref="C17:C18"/>
    <mergeCell ref="F17:F1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2"/>
  <sheetViews>
    <sheetView zoomScaleNormal="100" workbookViewId="0">
      <pane ySplit="5" topLeftCell="A6" activePane="bottomLeft" state="frozen"/>
      <selection pane="bottomLeft" activeCell="C19" sqref="C19"/>
    </sheetView>
  </sheetViews>
  <sheetFormatPr defaultColWidth="9.140625" defaultRowHeight="15" x14ac:dyDescent="0.25"/>
  <cols>
    <col min="1" max="2" width="16.5703125" customWidth="1"/>
    <col min="3" max="3" width="17.5703125" customWidth="1"/>
    <col min="4" max="4" width="17" customWidth="1"/>
    <col min="5" max="11" width="10" customWidth="1"/>
    <col min="12" max="13" width="9.85546875" customWidth="1"/>
    <col min="14" max="15" width="11" customWidth="1"/>
    <col min="16" max="17" width="10.28515625" customWidth="1"/>
    <col min="18" max="19" width="10.7109375" customWidth="1"/>
  </cols>
  <sheetData>
    <row r="1" spans="1:19" x14ac:dyDescent="0.25">
      <c r="A1" s="66" t="s">
        <v>94</v>
      </c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x14ac:dyDescent="0.25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ht="15.75" thickBot="1" x14ac:dyDescent="0.3">
      <c r="A3" s="72"/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5" spans="1:19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3.5" customHeight="1" thickTop="1" x14ac:dyDescent="0.25">
      <c r="A6" s="75"/>
      <c r="B6" s="76"/>
      <c r="C6" s="76"/>
      <c r="D6" s="118"/>
      <c r="E6" s="77" t="s">
        <v>1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9"/>
    </row>
    <row r="7" spans="1:19" ht="13.5" customHeight="1" x14ac:dyDescent="0.25">
      <c r="A7" s="114" t="s">
        <v>2</v>
      </c>
      <c r="B7" s="115"/>
      <c r="C7" s="115"/>
      <c r="D7" s="116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</row>
    <row r="8" spans="1:19" ht="13.5" customHeight="1" x14ac:dyDescent="0.25">
      <c r="A8" s="114" t="s">
        <v>3</v>
      </c>
      <c r="B8" s="115"/>
      <c r="C8" s="115"/>
      <c r="D8" s="116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</row>
    <row r="9" spans="1:19" ht="13.5" customHeight="1" x14ac:dyDescent="0.25">
      <c r="A9" s="114" t="s">
        <v>4</v>
      </c>
      <c r="B9" s="115"/>
      <c r="C9" s="115"/>
      <c r="D9" s="116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</row>
    <row r="10" spans="1:19" ht="13.5" customHeight="1" x14ac:dyDescent="0.25">
      <c r="A10" s="114" t="s">
        <v>5</v>
      </c>
      <c r="B10" s="115"/>
      <c r="C10" s="115"/>
      <c r="D10" s="116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</row>
    <row r="11" spans="1:19" ht="13.5" customHeight="1" x14ac:dyDescent="0.25">
      <c r="A11" s="114" t="s">
        <v>95</v>
      </c>
      <c r="B11" s="115"/>
      <c r="C11" s="115"/>
      <c r="D11" s="116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</row>
    <row r="12" spans="1:19" ht="13.5" customHeight="1" thickBot="1" x14ac:dyDescent="0.3">
      <c r="A12" s="119" t="s">
        <v>96</v>
      </c>
      <c r="B12" s="120"/>
      <c r="C12" s="120"/>
      <c r="D12" s="121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</row>
    <row r="13" spans="1:19" ht="13.5" customHeight="1" thickTop="1" x14ac:dyDescent="0.25">
      <c r="A13" s="2"/>
      <c r="B13" s="2"/>
      <c r="C13" s="2"/>
      <c r="D13" s="3"/>
    </row>
    <row r="14" spans="1:19" ht="15.75" thickBot="1" x14ac:dyDescent="0.3"/>
    <row r="15" spans="1:19" ht="15.75" thickTop="1" x14ac:dyDescent="0.25">
      <c r="A15" s="86"/>
      <c r="B15" s="87"/>
      <c r="C15" s="87"/>
      <c r="D15" s="87"/>
      <c r="E15" s="124"/>
      <c r="F15" s="88" t="s">
        <v>9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</row>
    <row r="16" spans="1:19" ht="15" customHeight="1" x14ac:dyDescent="0.25">
      <c r="A16" s="90" t="s">
        <v>10</v>
      </c>
      <c r="B16" s="91"/>
      <c r="C16" s="64" t="s">
        <v>97</v>
      </c>
      <c r="D16" s="122" t="s">
        <v>98</v>
      </c>
      <c r="E16" s="62" t="s">
        <v>48</v>
      </c>
      <c r="F16" s="62" t="s">
        <v>15</v>
      </c>
      <c r="G16" s="62" t="s">
        <v>16</v>
      </c>
      <c r="H16" s="62" t="s">
        <v>17</v>
      </c>
      <c r="I16" s="62" t="s">
        <v>18</v>
      </c>
      <c r="J16" s="62" t="s">
        <v>19</v>
      </c>
      <c r="K16" s="62" t="s">
        <v>20</v>
      </c>
      <c r="L16" s="62" t="s">
        <v>21</v>
      </c>
      <c r="M16" s="62" t="s">
        <v>22</v>
      </c>
      <c r="N16" s="62" t="s">
        <v>23</v>
      </c>
      <c r="O16" s="62" t="s">
        <v>24</v>
      </c>
      <c r="P16" s="62" t="s">
        <v>25</v>
      </c>
      <c r="Q16" s="62" t="s">
        <v>26</v>
      </c>
      <c r="R16" s="62" t="s">
        <v>27</v>
      </c>
      <c r="S16" s="62" t="s">
        <v>28</v>
      </c>
    </row>
    <row r="17" spans="1:28" ht="33.75" customHeight="1" thickBot="1" x14ac:dyDescent="0.3">
      <c r="A17" s="92"/>
      <c r="B17" s="93"/>
      <c r="C17" s="65"/>
      <c r="D17" s="12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1:28" ht="15.75" thickTop="1" x14ac:dyDescent="0.25">
      <c r="A18" s="11" t="s">
        <v>33</v>
      </c>
      <c r="B18" s="11"/>
      <c r="C18" s="11">
        <f>'Power Budget CLIMB'!F19</f>
        <v>0</v>
      </c>
      <c r="D18" s="11" t="s">
        <v>99</v>
      </c>
      <c r="E18" s="15">
        <v>0</v>
      </c>
      <c r="F18" s="20">
        <f>'Power Budget CLIMB'!G19</f>
        <v>100</v>
      </c>
      <c r="G18" s="14">
        <f>(1-$E18/100)*$C18*F18/100</f>
        <v>0</v>
      </c>
      <c r="H18" s="20">
        <f>'Power Budget CLIMB'!L19</f>
        <v>100</v>
      </c>
      <c r="I18" s="14">
        <f>(1-$E18/100)*$C18*H18/100</f>
        <v>0</v>
      </c>
      <c r="J18" s="20">
        <f>'Power Budget CLIMB'!Q19</f>
        <v>20</v>
      </c>
      <c r="K18" s="14">
        <f>(1-$E18/100)*$C18*J18/100</f>
        <v>0</v>
      </c>
      <c r="L18" s="20">
        <f>'Power Budget CLIMB'!V19</f>
        <v>100</v>
      </c>
      <c r="M18" s="14">
        <f>(1-$E18/100)*$C18*L18/100</f>
        <v>0</v>
      </c>
      <c r="N18" s="20">
        <f>'Power Budget CLIMB'!AA19</f>
        <v>100</v>
      </c>
      <c r="O18" s="14">
        <f>(1-$E18/100)*$C18*N18/100</f>
        <v>0</v>
      </c>
      <c r="P18" s="20">
        <f>'Power Budget CLIMB'!AF19</f>
        <v>100</v>
      </c>
      <c r="Q18" s="14">
        <f>(1-$E18/100)*$C18*P18/100</f>
        <v>0</v>
      </c>
      <c r="R18" s="20">
        <f>'Power Budget CLIMB'!AK19</f>
        <v>100</v>
      </c>
      <c r="S18" s="14">
        <f>(1-$E18/100)*$C18*R18/100</f>
        <v>0</v>
      </c>
    </row>
    <row r="19" spans="1:28" x14ac:dyDescent="0.25">
      <c r="A19" s="10" t="s">
        <v>34</v>
      </c>
      <c r="B19" s="10"/>
      <c r="C19" s="11">
        <f>'Power Budget CLIMB'!F20</f>
        <v>0</v>
      </c>
      <c r="D19" s="11" t="s">
        <v>99</v>
      </c>
      <c r="E19" s="15">
        <v>0</v>
      </c>
      <c r="F19" s="20">
        <f>'Power Budget CLIMB'!G20</f>
        <v>100</v>
      </c>
      <c r="G19" s="14">
        <f t="shared" ref="G19:S26" si="0">(1-$E19/100)*$C19*F19/100</f>
        <v>0</v>
      </c>
      <c r="H19" s="20">
        <f>'Power Budget CLIMB'!L20</f>
        <v>100</v>
      </c>
      <c r="I19" s="14">
        <f t="shared" ref="I19:I25" si="1">(1-$E19/100)*$C19*H19/100</f>
        <v>0</v>
      </c>
      <c r="J19" s="20">
        <f>'Power Budget CLIMB'!Q20</f>
        <v>100</v>
      </c>
      <c r="K19" s="14">
        <f t="shared" ref="K19:K26" si="2">(1-$E19/100)*$C19*J19/100</f>
        <v>0</v>
      </c>
      <c r="L19" s="20">
        <f>'Power Budget CLIMB'!V20</f>
        <v>100</v>
      </c>
      <c r="M19" s="14">
        <f t="shared" ref="M19" si="3">(1-$E19/100)*$C19*L19/100</f>
        <v>0</v>
      </c>
      <c r="N19" s="20">
        <f>'Power Budget CLIMB'!AA20</f>
        <v>100</v>
      </c>
      <c r="O19" s="14">
        <f t="shared" ref="O19" si="4">(1-$E19/100)*$C19*N19/100</f>
        <v>0</v>
      </c>
      <c r="P19" s="20">
        <f>'Power Budget CLIMB'!AF20</f>
        <v>100</v>
      </c>
      <c r="Q19" s="14">
        <f t="shared" ref="Q19" si="5">(1-$E19/100)*$C19*P19/100</f>
        <v>0</v>
      </c>
      <c r="R19" s="20">
        <f>'Power Budget CLIMB'!AK20</f>
        <v>100</v>
      </c>
      <c r="S19" s="14">
        <f t="shared" ref="S19" si="6">(1-$E19/100)*$C19*R19/100</f>
        <v>0</v>
      </c>
      <c r="V19" s="8"/>
    </row>
    <row r="20" spans="1:28" x14ac:dyDescent="0.25">
      <c r="A20" s="10" t="s">
        <v>35</v>
      </c>
      <c r="B20" s="10" t="s">
        <v>36</v>
      </c>
      <c r="C20" s="11">
        <f>'Power Budget CLIMB'!F21</f>
        <v>0.2</v>
      </c>
      <c r="D20" s="11" t="s">
        <v>99</v>
      </c>
      <c r="E20" s="15">
        <f>(3.75-2.75)/3.75*100</f>
        <v>26.666666666666668</v>
      </c>
      <c r="F20" s="20">
        <f>'Power Budget CLIMB'!G21</f>
        <v>100</v>
      </c>
      <c r="G20" s="14">
        <f t="shared" si="0"/>
        <v>0.1466666666666667</v>
      </c>
      <c r="H20" s="20">
        <f>'Power Budget CLIMB'!L21</f>
        <v>100</v>
      </c>
      <c r="I20" s="14">
        <f t="shared" si="1"/>
        <v>0.1466666666666667</v>
      </c>
      <c r="J20" s="20">
        <f>'Power Budget CLIMB'!Q21</f>
        <v>100</v>
      </c>
      <c r="K20" s="14">
        <f t="shared" si="2"/>
        <v>0.1466666666666667</v>
      </c>
      <c r="L20" s="20">
        <f>'Power Budget CLIMB'!V21</f>
        <v>100</v>
      </c>
      <c r="M20" s="14">
        <f t="shared" ref="M20" si="7">(1-$E20/100)*$C20*L20/100</f>
        <v>0.1466666666666667</v>
      </c>
      <c r="N20" s="20">
        <f>'Power Budget CLIMB'!AA21</f>
        <v>0</v>
      </c>
      <c r="O20" s="14">
        <f t="shared" ref="O20" si="8">(1-$E20/100)*$C20*N20/100</f>
        <v>0</v>
      </c>
      <c r="P20" s="20">
        <f>'Power Budget CLIMB'!AF21</f>
        <v>100</v>
      </c>
      <c r="Q20" s="14">
        <f t="shared" ref="Q20" si="9">(1-$E20/100)*$C20*P20/100</f>
        <v>0.1466666666666667</v>
      </c>
      <c r="R20" s="20">
        <f>'Power Budget CLIMB'!AK21</f>
        <v>100</v>
      </c>
      <c r="S20" s="14">
        <f t="shared" ref="S20" si="10">(1-$E20/100)*$C20*R20/100</f>
        <v>0.1466666666666667</v>
      </c>
      <c r="V20" s="7"/>
      <c r="AB20" s="7"/>
    </row>
    <row r="21" spans="1:28" x14ac:dyDescent="0.25">
      <c r="A21" s="9"/>
      <c r="B21" s="9" t="s">
        <v>37</v>
      </c>
      <c r="C21" s="11">
        <f>'Power Budget CLIMB'!F22</f>
        <v>3.75</v>
      </c>
      <c r="D21" s="11" t="s">
        <v>99</v>
      </c>
      <c r="E21" s="15">
        <f>(3.75-2.75)/3.75*100</f>
        <v>26.666666666666668</v>
      </c>
      <c r="F21" s="20">
        <f>'Power Budget CLIMB'!G22</f>
        <v>0</v>
      </c>
      <c r="G21" s="14">
        <f t="shared" si="0"/>
        <v>0</v>
      </c>
      <c r="H21" s="20">
        <f>'Power Budget CLIMB'!L22</f>
        <v>0</v>
      </c>
      <c r="I21" s="14">
        <f t="shared" si="0"/>
        <v>0</v>
      </c>
      <c r="J21" s="20">
        <f>'Power Budget CLIMB'!Q22</f>
        <v>0</v>
      </c>
      <c r="K21" s="14">
        <f t="shared" si="0"/>
        <v>0</v>
      </c>
      <c r="L21" s="20">
        <f>'Power Budget CLIMB'!V22</f>
        <v>0</v>
      </c>
      <c r="M21" s="14">
        <f t="shared" si="0"/>
        <v>0</v>
      </c>
      <c r="N21" s="20">
        <f>'Power Budget CLIMB'!AA22</f>
        <v>0</v>
      </c>
      <c r="O21" s="14">
        <f t="shared" si="0"/>
        <v>0</v>
      </c>
      <c r="P21" s="20">
        <f>'Power Budget CLIMB'!AF22</f>
        <v>0</v>
      </c>
      <c r="Q21" s="14">
        <f t="shared" si="0"/>
        <v>0</v>
      </c>
      <c r="R21" s="20">
        <f>'Power Budget CLIMB'!AK22</f>
        <v>0</v>
      </c>
      <c r="S21" s="14">
        <f t="shared" si="0"/>
        <v>0</v>
      </c>
      <c r="V21" s="7"/>
    </row>
    <row r="22" spans="1:28" x14ac:dyDescent="0.25">
      <c r="A22" s="9"/>
      <c r="B22" s="9" t="s">
        <v>38</v>
      </c>
      <c r="C22" s="11">
        <f>'Power Budget CLIMB'!F23</f>
        <v>3.75</v>
      </c>
      <c r="D22" s="11" t="s">
        <v>99</v>
      </c>
      <c r="E22" s="15">
        <f>(3.75-2.75)/3.75*100</f>
        <v>26.666666666666668</v>
      </c>
      <c r="F22" s="20">
        <f>'Power Budget CLIMB'!G23</f>
        <v>7</v>
      </c>
      <c r="G22" s="14">
        <f t="shared" si="0"/>
        <v>0.1925</v>
      </c>
      <c r="H22" s="20">
        <f>'Power Budget CLIMB'!L23</f>
        <v>7</v>
      </c>
      <c r="I22" s="14">
        <f t="shared" si="0"/>
        <v>0.1925</v>
      </c>
      <c r="J22" s="20">
        <f>'Power Budget CLIMB'!Q23</f>
        <v>7</v>
      </c>
      <c r="K22" s="14">
        <f t="shared" si="0"/>
        <v>0.1925</v>
      </c>
      <c r="L22" s="20">
        <f>'Power Budget CLIMB'!V23</f>
        <v>7</v>
      </c>
      <c r="M22" s="14">
        <f t="shared" si="0"/>
        <v>0.1925</v>
      </c>
      <c r="N22" s="20">
        <f>'Power Budget CLIMB'!AA23</f>
        <v>0</v>
      </c>
      <c r="O22" s="14">
        <f t="shared" si="0"/>
        <v>0</v>
      </c>
      <c r="P22" s="20">
        <f>'Power Budget CLIMB'!AF23</f>
        <v>7</v>
      </c>
      <c r="Q22" s="14">
        <f t="shared" si="0"/>
        <v>0.1925</v>
      </c>
      <c r="R22" s="20">
        <f>'Power Budget CLIMB'!AK23</f>
        <v>7</v>
      </c>
      <c r="S22" s="14">
        <f t="shared" si="0"/>
        <v>0.1925</v>
      </c>
      <c r="V22" s="7"/>
    </row>
    <row r="23" spans="1:28" x14ac:dyDescent="0.25">
      <c r="A23" s="10" t="s">
        <v>39</v>
      </c>
      <c r="B23" s="10" t="s">
        <v>36</v>
      </c>
      <c r="C23" s="11">
        <f>'Power Budget CLIMB'!F24</f>
        <v>5</v>
      </c>
      <c r="D23" s="11" t="s">
        <v>99</v>
      </c>
      <c r="E23" s="15">
        <f>2/7*100</f>
        <v>28.571428571428569</v>
      </c>
      <c r="F23" s="20">
        <f>'Power Budget CLIMB'!G24</f>
        <v>0</v>
      </c>
      <c r="G23" s="14">
        <f t="shared" si="0"/>
        <v>0</v>
      </c>
      <c r="H23" s="20">
        <f>'Power Budget CLIMB'!L24</f>
        <v>0</v>
      </c>
      <c r="I23" s="14">
        <f t="shared" si="1"/>
        <v>0</v>
      </c>
      <c r="J23" s="20">
        <f>'Power Budget CLIMB'!Q24</f>
        <v>0</v>
      </c>
      <c r="K23" s="14">
        <f t="shared" si="2"/>
        <v>0</v>
      </c>
      <c r="L23" s="20">
        <f>'Power Budget CLIMB'!V24</f>
        <v>0</v>
      </c>
      <c r="M23" s="14">
        <f t="shared" ref="M23" si="11">(1-$E23/100)*$C23*L23/100</f>
        <v>0</v>
      </c>
      <c r="N23" s="20">
        <f>'Power Budget CLIMB'!AA24</f>
        <v>0</v>
      </c>
      <c r="O23" s="14">
        <f t="shared" ref="O23" si="12">(1-$E23/100)*$C23*N23/100</f>
        <v>0</v>
      </c>
      <c r="P23" s="20">
        <f>'Power Budget CLIMB'!AF24</f>
        <v>0</v>
      </c>
      <c r="Q23" s="14">
        <f t="shared" ref="Q23" si="13">(1-$E23/100)*$C23*P23/100</f>
        <v>0</v>
      </c>
      <c r="R23" s="20">
        <f>'Power Budget CLIMB'!AK24</f>
        <v>0</v>
      </c>
      <c r="S23" s="14">
        <f t="shared" ref="S23" si="14">(1-$E23/100)*$C23*R23/100</f>
        <v>0</v>
      </c>
    </row>
    <row r="24" spans="1:28" x14ac:dyDescent="0.25">
      <c r="A24" s="9"/>
      <c r="B24" s="9" t="s">
        <v>37</v>
      </c>
      <c r="C24" s="11">
        <f>'Power Budget CLIMB'!F25</f>
        <v>7</v>
      </c>
      <c r="D24" s="11" t="s">
        <v>99</v>
      </c>
      <c r="E24" s="15">
        <f>2/7*100</f>
        <v>28.571428571428569</v>
      </c>
      <c r="F24" s="20">
        <f>'Power Budget CLIMB'!G25</f>
        <v>0</v>
      </c>
      <c r="G24" s="14">
        <f t="shared" si="0"/>
        <v>0</v>
      </c>
      <c r="H24" s="20">
        <f>'Power Budget CLIMB'!L25</f>
        <v>0</v>
      </c>
      <c r="I24" s="14">
        <f t="shared" si="1"/>
        <v>0</v>
      </c>
      <c r="J24" s="20">
        <f>'Power Budget CLIMB'!Q25</f>
        <v>0</v>
      </c>
      <c r="K24" s="14">
        <f t="shared" si="2"/>
        <v>0</v>
      </c>
      <c r="L24" s="20">
        <f>'Power Budget CLIMB'!V25</f>
        <v>0</v>
      </c>
      <c r="M24" s="14">
        <f t="shared" ref="M24" si="15">(1-$E24/100)*$C24*L24/100</f>
        <v>0</v>
      </c>
      <c r="N24" s="20">
        <f>'Power Budget CLIMB'!AA25</f>
        <v>0</v>
      </c>
      <c r="O24" s="14">
        <f t="shared" ref="O24" si="16">(1-$E24/100)*$C24*N24/100</f>
        <v>0</v>
      </c>
      <c r="P24" s="20">
        <f>'Power Budget CLIMB'!AF25</f>
        <v>0</v>
      </c>
      <c r="Q24" s="14">
        <f t="shared" ref="Q24" si="17">(1-$E24/100)*$C24*P24/100</f>
        <v>0</v>
      </c>
      <c r="R24" s="20">
        <f>'Power Budget CLIMB'!AK25</f>
        <v>0</v>
      </c>
      <c r="S24" s="14">
        <f t="shared" ref="S24" si="18">(1-$E24/100)*$C24*R24/100</f>
        <v>0</v>
      </c>
    </row>
    <row r="25" spans="1:28" x14ac:dyDescent="0.25">
      <c r="A25" s="16"/>
      <c r="B25" s="9" t="s">
        <v>40</v>
      </c>
      <c r="C25" s="11">
        <f>'Power Budget CLIMB'!F26</f>
        <v>10</v>
      </c>
      <c r="D25" s="11" t="s">
        <v>99</v>
      </c>
      <c r="E25" s="15">
        <f>2/7*100</f>
        <v>28.571428571428569</v>
      </c>
      <c r="F25" s="20">
        <f>'Power Budget CLIMB'!G26</f>
        <v>0</v>
      </c>
      <c r="G25" s="14">
        <f t="shared" si="0"/>
        <v>0</v>
      </c>
      <c r="H25" s="20">
        <f>'Power Budget CLIMB'!L26</f>
        <v>0</v>
      </c>
      <c r="I25" s="14">
        <f t="shared" si="1"/>
        <v>0</v>
      </c>
      <c r="J25" s="20">
        <f>'Power Budget CLIMB'!Q26</f>
        <v>0</v>
      </c>
      <c r="K25" s="14">
        <f t="shared" si="2"/>
        <v>0</v>
      </c>
      <c r="L25" s="20">
        <f>'Power Budget CLIMB'!V26</f>
        <v>0</v>
      </c>
      <c r="M25" s="14">
        <f t="shared" ref="M25" si="19">(1-$E25/100)*$C25*L25/100</f>
        <v>0</v>
      </c>
      <c r="N25" s="20">
        <f>'Power Budget CLIMB'!AA26</f>
        <v>100</v>
      </c>
      <c r="O25" s="14">
        <f t="shared" ref="O25" si="20">(1-$E25/100)*$C25*N25/100</f>
        <v>7.1428571428571432</v>
      </c>
      <c r="P25" s="20">
        <f>'Power Budget CLIMB'!AF26</f>
        <v>0</v>
      </c>
      <c r="Q25" s="14">
        <f t="shared" ref="Q25" si="21">(1-$E25/100)*$C25*P25/100</f>
        <v>0</v>
      </c>
      <c r="R25" s="20">
        <f>'Power Budget CLIMB'!AK26</f>
        <v>0</v>
      </c>
      <c r="S25" s="14">
        <f t="shared" ref="S25" si="22">(1-$E25/100)*$C25*R25/100</f>
        <v>0</v>
      </c>
    </row>
    <row r="26" spans="1:28" x14ac:dyDescent="0.25">
      <c r="A26" s="9" t="s">
        <v>41</v>
      </c>
      <c r="B26" s="9"/>
      <c r="C26" s="11">
        <f>'Power Budget CLIMB'!F27</f>
        <v>0</v>
      </c>
      <c r="D26" s="11" t="s">
        <v>99</v>
      </c>
      <c r="E26" s="15">
        <v>70</v>
      </c>
      <c r="F26" s="20">
        <f>'Power Budget CLIMB'!G27</f>
        <v>100</v>
      </c>
      <c r="G26" s="14">
        <f t="shared" si="0"/>
        <v>0</v>
      </c>
      <c r="H26" s="20">
        <f>'Power Budget CLIMB'!L27</f>
        <v>50</v>
      </c>
      <c r="I26" s="23">
        <f>1.13</f>
        <v>1.1299999999999999</v>
      </c>
      <c r="J26" s="20">
        <f>'Power Budget CLIMB'!Q27</f>
        <v>0</v>
      </c>
      <c r="K26" s="14">
        <f t="shared" si="2"/>
        <v>0</v>
      </c>
      <c r="L26" s="20">
        <f>'Power Budget CLIMB'!V27</f>
        <v>100</v>
      </c>
      <c r="M26" s="14">
        <f t="shared" si="0"/>
        <v>0</v>
      </c>
      <c r="N26" s="20">
        <f>'Power Budget CLIMB'!AA27</f>
        <v>100</v>
      </c>
      <c r="O26" s="23">
        <f>1.13</f>
        <v>1.1299999999999999</v>
      </c>
      <c r="P26" s="20">
        <f>'Power Budget CLIMB'!AF27</f>
        <v>100</v>
      </c>
      <c r="Q26" s="23">
        <f>1.13</f>
        <v>1.1299999999999999</v>
      </c>
      <c r="R26" s="20">
        <f>'Power Budget CLIMB'!AK27</f>
        <v>100</v>
      </c>
      <c r="S26" s="23">
        <f>1.13</f>
        <v>1.1299999999999999</v>
      </c>
    </row>
    <row r="27" spans="1:28" x14ac:dyDescent="0.25">
      <c r="A27" s="9" t="s">
        <v>42</v>
      </c>
      <c r="B27" s="9"/>
      <c r="C27" s="11">
        <f>'Power Budget CLIMB'!F30</f>
        <v>0</v>
      </c>
      <c r="D27" s="11" t="s">
        <v>99</v>
      </c>
      <c r="E27" s="15" t="s">
        <v>99</v>
      </c>
      <c r="F27" s="20">
        <f>'Power Budget CLIMB'!G30</f>
        <v>0</v>
      </c>
      <c r="G27" s="23">
        <f>'Power Budget CLIMB'!K30</f>
        <v>0</v>
      </c>
      <c r="H27" s="20">
        <f>'Power Budget CLIMB'!L30</f>
        <v>0</v>
      </c>
      <c r="I27" s="23">
        <f>'Power Budget CLIMB'!P30</f>
        <v>0</v>
      </c>
      <c r="J27" s="20">
        <f>'Power Budget CLIMB'!Q30</f>
        <v>0</v>
      </c>
      <c r="K27" s="22">
        <v>0</v>
      </c>
      <c r="L27" s="20">
        <f>'Power Budget CLIMB'!V30</f>
        <v>0</v>
      </c>
      <c r="M27" s="23">
        <f>'Power Budget CLIMB'!Z30</f>
        <v>0</v>
      </c>
      <c r="N27" s="20">
        <f>'Power Budget CLIMB'!AA30</f>
        <v>0</v>
      </c>
      <c r="O27" s="23">
        <f>'Power Budget CLIMB'!AE30</f>
        <v>0</v>
      </c>
      <c r="P27" s="20">
        <f>'Power Budget CLIMB'!AF30</f>
        <v>0</v>
      </c>
      <c r="Q27" s="23">
        <f>'Power Budget CLIMB'!AJ30</f>
        <v>0</v>
      </c>
      <c r="R27" s="20">
        <f>'Power Budget CLIMB'!AK30</f>
        <v>100</v>
      </c>
      <c r="S27" s="23">
        <f>6+1.5+4+2</f>
        <v>13.5</v>
      </c>
    </row>
    <row r="28" spans="1:28" ht="45" x14ac:dyDescent="0.25">
      <c r="A28" s="10" t="s">
        <v>46</v>
      </c>
      <c r="B28" s="9"/>
      <c r="C28" s="11">
        <f>'Power Budget CLIMB'!F31</f>
        <v>1</v>
      </c>
      <c r="D28" s="11" t="s">
        <v>99</v>
      </c>
      <c r="E28" s="15">
        <v>0</v>
      </c>
      <c r="F28" s="20">
        <f>'Power Budget CLIMB'!G31</f>
        <v>0</v>
      </c>
      <c r="G28" s="14">
        <f t="shared" ref="G28:I30" si="23">(1-$E28/100)*$C28*F28/100</f>
        <v>0</v>
      </c>
      <c r="H28" s="20">
        <f>'Power Budget CLIMB'!L31</f>
        <v>100</v>
      </c>
      <c r="I28" s="14">
        <f t="shared" si="23"/>
        <v>1</v>
      </c>
      <c r="J28" s="20">
        <f>'Power Budget CLIMB'!Q31</f>
        <v>0</v>
      </c>
      <c r="K28" s="14">
        <f t="shared" ref="K28" si="24">(1-$E28/100)*$C28*J28/100</f>
        <v>0</v>
      </c>
      <c r="L28" s="20">
        <f>'Power Budget CLIMB'!V31</f>
        <v>0</v>
      </c>
      <c r="M28" s="14">
        <f t="shared" ref="M28" si="25">(1-$E28/100)*$C28*L28/100</f>
        <v>0</v>
      </c>
      <c r="N28" s="20">
        <f>'Power Budget CLIMB'!AA31</f>
        <v>100</v>
      </c>
      <c r="O28" s="14">
        <f t="shared" ref="O28" si="26">(1-$E28/100)*$C28*N28/100</f>
        <v>1</v>
      </c>
      <c r="P28" s="20">
        <f>'Power Budget CLIMB'!AF31</f>
        <v>100</v>
      </c>
      <c r="Q28" s="14">
        <f t="shared" ref="Q28" si="27">(1-$E28/100)*$C28*P28/100</f>
        <v>1</v>
      </c>
      <c r="R28" s="20">
        <f>'Power Budget CLIMB'!AK31</f>
        <v>0</v>
      </c>
      <c r="S28" s="14">
        <f t="shared" ref="S28" si="28">(1-$E28/100)*$C28*R28/100</f>
        <v>0</v>
      </c>
    </row>
    <row r="29" spans="1:28" x14ac:dyDescent="0.25">
      <c r="A29" s="128" t="s">
        <v>100</v>
      </c>
      <c r="B29" s="18" t="s">
        <v>101</v>
      </c>
      <c r="C29" s="18">
        <f xml:space="preserve"> 0.0012*$C$27^2</f>
        <v>0</v>
      </c>
      <c r="D29" s="18" t="s">
        <v>99</v>
      </c>
      <c r="E29" s="24">
        <v>0</v>
      </c>
      <c r="F29" s="12">
        <v>0</v>
      </c>
      <c r="G29" s="14">
        <f t="shared" si="23"/>
        <v>0</v>
      </c>
      <c r="H29" s="21">
        <v>0</v>
      </c>
      <c r="I29" s="14">
        <f t="shared" si="23"/>
        <v>0</v>
      </c>
      <c r="J29" s="21">
        <v>0</v>
      </c>
      <c r="K29" s="14">
        <f t="shared" ref="K29" si="29">(1-$E29/100)*$C29*J29/100</f>
        <v>0</v>
      </c>
      <c r="L29" s="21">
        <v>0</v>
      </c>
      <c r="M29" s="14">
        <f t="shared" ref="M29" si="30">(1-$E29/100)*$C29*L29/100</f>
        <v>0</v>
      </c>
      <c r="N29" s="21">
        <v>0</v>
      </c>
      <c r="O29" s="14">
        <f t="shared" ref="O29" si="31">(1-$E29/100)*$C29*N29/100</f>
        <v>0</v>
      </c>
      <c r="P29" s="21">
        <v>0</v>
      </c>
      <c r="Q29" s="14">
        <f t="shared" ref="Q29" si="32">(1-$E29/100)*$C29*P29/100</f>
        <v>0</v>
      </c>
      <c r="R29" s="21">
        <v>100</v>
      </c>
      <c r="S29" s="14">
        <f t="shared" ref="S29" si="33">(1-$E29/100)*$C29*R29/100</f>
        <v>0</v>
      </c>
    </row>
    <row r="30" spans="1:28" x14ac:dyDescent="0.25">
      <c r="A30" s="129"/>
      <c r="B30" s="18" t="s">
        <v>102</v>
      </c>
      <c r="C30" s="18">
        <f xml:space="preserve"> 0.0012*$C$27^2</f>
        <v>0</v>
      </c>
      <c r="D30" s="18" t="s">
        <v>99</v>
      </c>
      <c r="E30" s="24">
        <v>0</v>
      </c>
      <c r="F30" s="12">
        <v>100</v>
      </c>
      <c r="G30" s="14">
        <f t="shared" si="23"/>
        <v>0</v>
      </c>
      <c r="H30" s="21">
        <v>100</v>
      </c>
      <c r="I30" s="14">
        <f t="shared" si="23"/>
        <v>0</v>
      </c>
      <c r="J30" s="21">
        <v>100</v>
      </c>
      <c r="K30" s="14">
        <f t="shared" ref="K30" si="34">(1-$E30/100)*$C30*J30/100</f>
        <v>0</v>
      </c>
      <c r="L30" s="21">
        <v>100</v>
      </c>
      <c r="M30" s="14">
        <f t="shared" ref="M30" si="35">(1-$E30/100)*$C30*L30/100</f>
        <v>0</v>
      </c>
      <c r="N30" s="21">
        <v>100</v>
      </c>
      <c r="O30" s="14">
        <f t="shared" ref="O30" si="36">(1-$E30/100)*$C30*N30/100</f>
        <v>0</v>
      </c>
      <c r="P30" s="21">
        <v>100</v>
      </c>
      <c r="Q30" s="14">
        <f t="shared" ref="Q30" si="37">(1-$E30/100)*$C30*P30/100</f>
        <v>0</v>
      </c>
      <c r="R30" s="21">
        <v>0</v>
      </c>
      <c r="S30" s="14">
        <f t="shared" ref="S30" si="38">(1-$E30/100)*$C30*R30/100</f>
        <v>0</v>
      </c>
    </row>
    <row r="31" spans="1:28" ht="30" x14ac:dyDescent="0.25">
      <c r="A31" s="130"/>
      <c r="B31" s="19" t="s">
        <v>103</v>
      </c>
      <c r="C31" s="18"/>
      <c r="D31" s="18" t="s">
        <v>99</v>
      </c>
      <c r="E31" s="24"/>
      <c r="F31" s="12"/>
      <c r="G31" s="14">
        <f>0.11*'Power Budget CLIMB'!K30</f>
        <v>0</v>
      </c>
      <c r="H31" s="21"/>
      <c r="I31" s="14">
        <f>0.11*'Power Budget CLIMB'!P30</f>
        <v>0</v>
      </c>
      <c r="J31" s="21"/>
      <c r="K31" s="14">
        <f>0.11*'Power Budget CLIMB'!U30</f>
        <v>0</v>
      </c>
      <c r="L31" s="21"/>
      <c r="M31" s="14">
        <f>0.11*'Power Budget CLIMB'!Z30</f>
        <v>0</v>
      </c>
      <c r="N31" s="21"/>
      <c r="O31" s="14">
        <f>0.11*'Power Budget CLIMB'!AE30</f>
        <v>0</v>
      </c>
      <c r="P31" s="21"/>
      <c r="Q31" s="14">
        <f>0.11*'Power Budget CLIMB'!AJ30</f>
        <v>0</v>
      </c>
      <c r="R31" s="21"/>
      <c r="S31" s="14">
        <f>0.11*'Power Budget CLIMB'!AO30</f>
        <v>0</v>
      </c>
    </row>
    <row r="32" spans="1:28" x14ac:dyDescent="0.25">
      <c r="A32" s="125" t="s">
        <v>104</v>
      </c>
      <c r="B32" s="126"/>
      <c r="C32" s="126"/>
      <c r="D32" s="127"/>
      <c r="E32" s="6"/>
      <c r="F32" s="6"/>
      <c r="G32" s="4">
        <f>SUM(G18:G31)</f>
        <v>0.33916666666666673</v>
      </c>
      <c r="H32" s="4"/>
      <c r="I32" s="4">
        <f>SUM(I18:I31)</f>
        <v>2.4691666666666667</v>
      </c>
      <c r="J32" s="4"/>
      <c r="K32" s="4">
        <f>SUM(K18:K31)</f>
        <v>0.33916666666666673</v>
      </c>
      <c r="L32" s="4"/>
      <c r="M32" s="4">
        <f>SUM(M18:M31)</f>
        <v>0.33916666666666673</v>
      </c>
      <c r="N32" s="4"/>
      <c r="O32" s="4">
        <f>SUM(O18:O31)</f>
        <v>9.2728571428571431</v>
      </c>
      <c r="P32" s="4"/>
      <c r="Q32" s="4">
        <f>SUM(Q18:Q31)</f>
        <v>2.4691666666666667</v>
      </c>
      <c r="R32" s="4"/>
      <c r="S32" s="4">
        <f>SUM(S18:S31)</f>
        <v>14.969166666666666</v>
      </c>
    </row>
  </sheetData>
  <mergeCells count="37">
    <mergeCell ref="N16:N17"/>
    <mergeCell ref="A32:D32"/>
    <mergeCell ref="I16:I17"/>
    <mergeCell ref="J16:J17"/>
    <mergeCell ref="K16:K17"/>
    <mergeCell ref="L16:L17"/>
    <mergeCell ref="A29:A31"/>
    <mergeCell ref="E16:E17"/>
    <mergeCell ref="A12:D12"/>
    <mergeCell ref="E12:S12"/>
    <mergeCell ref="A16:B17"/>
    <mergeCell ref="C16:C17"/>
    <mergeCell ref="D16:D17"/>
    <mergeCell ref="F16:F17"/>
    <mergeCell ref="G16:G17"/>
    <mergeCell ref="H16:H17"/>
    <mergeCell ref="A15:E15"/>
    <mergeCell ref="F15:S15"/>
    <mergeCell ref="O16:O17"/>
    <mergeCell ref="P16:P17"/>
    <mergeCell ref="Q16:Q17"/>
    <mergeCell ref="R16:R17"/>
    <mergeCell ref="S16:S17"/>
    <mergeCell ref="M16:M17"/>
    <mergeCell ref="A9:D9"/>
    <mergeCell ref="E9:S9"/>
    <mergeCell ref="A10:D10"/>
    <mergeCell ref="E10:S10"/>
    <mergeCell ref="A11:D11"/>
    <mergeCell ref="E11:S11"/>
    <mergeCell ref="A8:D8"/>
    <mergeCell ref="E8:S8"/>
    <mergeCell ref="A1:S3"/>
    <mergeCell ref="A6:D6"/>
    <mergeCell ref="E6:S6"/>
    <mergeCell ref="A7:D7"/>
    <mergeCell ref="E7:S7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0BC7125C17A041AF53CE069C055698" ma:contentTypeVersion="12" ma:contentTypeDescription="Ein neues Dokument erstellen." ma:contentTypeScope="" ma:versionID="2d646c2e55b89e598413576496501fb7">
  <xsd:schema xmlns:xsd="http://www.w3.org/2001/XMLSchema" xmlns:xs="http://www.w3.org/2001/XMLSchema" xmlns:p="http://schemas.microsoft.com/office/2006/metadata/properties" xmlns:ns2="4da24441-6a9d-44c2-997c-79dec29bf34c" xmlns:ns3="d302f05c-b61d-404b-b09a-cc11c2fa01b1" targetNamespace="http://schemas.microsoft.com/office/2006/metadata/properties" ma:root="true" ma:fieldsID="e1c13e53166f39e5bd9cf8c472a720c8" ns2:_="" ns3:_="">
    <xsd:import namespace="4da24441-6a9d-44c2-997c-79dec29bf34c"/>
    <xsd:import namespace="d302f05c-b61d-404b-b09a-cc11c2fa01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24441-6a9d-44c2-997c-79dec29bf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74950881-927e-4638-afff-11959eadfc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2f05c-b61d-404b-b09a-cc11c2fa01b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1b33729-1431-4ad7-be71-4e368be817f0}" ma:internalName="TaxCatchAll" ma:showField="CatchAllData" ma:web="d302f05c-b61d-404b-b09a-cc11c2fa01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02f05c-b61d-404b-b09a-cc11c2fa01b1" xsi:nil="true"/>
    <lcf76f155ced4ddcb4097134ff3c332f xmlns="4da24441-6a9d-44c2-997c-79dec29bf34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3439BA-9400-4C36-B377-290C9F581BB4}"/>
</file>

<file path=customXml/itemProps2.xml><?xml version="1.0" encoding="utf-8"?>
<ds:datastoreItem xmlns:ds="http://schemas.openxmlformats.org/officeDocument/2006/customXml" ds:itemID="{C6457F45-6285-4B6F-A061-6B4DCB5C9770}">
  <ds:schemaRefs>
    <ds:schemaRef ds:uri="http://www.w3.org/XML/1998/namespace"/>
    <ds:schemaRef ds:uri="http://schemas.microsoft.com/office/2006/metadata/properties"/>
    <ds:schemaRef ds:uri="a2191126-0cd2-4e7c-8b75-40d90f8fe085"/>
    <ds:schemaRef ds:uri="787ce88e-24fb-4716-8e09-eb4fd3fe12c8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D76E64F-B6A4-4814-B1A7-7734B1B2A3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Power Budget CLIMB</vt:lpstr>
      <vt:lpstr>Power Dissipation Budget CLIMB</vt:lpstr>
      <vt:lpstr>'Power Budget CLIMB'!_ftn1</vt:lpstr>
      <vt:lpstr>'Power Dissipation Budget CLIMB'!_ftn1</vt:lpstr>
      <vt:lpstr>'Power Budget CLIMB'!_ftn2</vt:lpstr>
      <vt:lpstr>'Power Dissipation Budget CLIMB'!_ftn2</vt:lpstr>
      <vt:lpstr>'Power Budget CLIMB'!_ftn3</vt:lpstr>
      <vt:lpstr>'Power Dissipation Budget CLIMB'!_ftn3</vt:lpstr>
      <vt:lpstr>'Power Budget CLIMB'!_ftn4</vt:lpstr>
      <vt:lpstr>'Power Dissipation Budget CLIMB'!_ftn4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Scharlemann Carsten</dc:creator>
  <cp:keywords/>
  <dc:description/>
  <cp:lastModifiedBy>Scomparin Giacomo</cp:lastModifiedBy>
  <cp:revision/>
  <dcterms:created xsi:type="dcterms:W3CDTF">2019-02-14T17:36:44Z</dcterms:created>
  <dcterms:modified xsi:type="dcterms:W3CDTF">2024-01-21T17:48:39Z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2706b85f-805a-49d1-8e4b-dc142b6f0cee</vt:lpwstr>
  </property>
  <property fmtid="{D5CDD505-2E9C-101B-9397-08002B2CF9AE}" pid="3" name="ContentTypeId">
    <vt:lpwstr>0x0101005E08BE16749C0E4C9BEDAC11CECB2BB1</vt:lpwstr>
  </property>
  <property fmtid="{D5CDD505-2E9C-101B-9397-08002B2CF9AE}" pid="4" name="MediaServiceImageTags">
    <vt:lpwstr/>
  </property>
</Properties>
</file>